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ddy\Documents\R\MyProjects\March Madness\March Madness 2022\"/>
    </mc:Choice>
  </mc:AlternateContent>
  <xr:revisionPtr revIDLastSave="0" documentId="13_ncr:1_{3C226DFB-DC54-4DA7-923E-F99486893B28}" xr6:coauthVersionLast="46" xr6:coauthVersionMax="46" xr10:uidLastSave="{00000000-0000-0000-0000-000000000000}"/>
  <bookViews>
    <workbookView xWindow="-19320" yWindow="1575" windowWidth="19440" windowHeight="15150" tabRatio="827" xr2:uid="{00000000-000D-0000-FFFF-FFFF00000000}"/>
  </bookViews>
  <sheets>
    <sheet name="2022 Bracket Picker" sheetId="16" r:id="rId1"/>
    <sheet name="Seed History" sheetId="1" r:id="rId2"/>
    <sheet name="Team History" sheetId="14" r:id="rId3"/>
    <sheet name="PASE" sheetId="17" r:id="rId4"/>
    <sheet name="Ranking" sheetId="13" r:id="rId5"/>
    <sheet name="FuzzyLookup_AddIn_Undo_Sheet" sheetId="15" state="hidden" r:id="rId6"/>
    <sheet name="P Adv" sheetId="11" r:id="rId7"/>
    <sheet name="Value Matchup" sheetId="3" r:id="rId8"/>
    <sheet name="Straight" sheetId="7" r:id="rId9"/>
    <sheet name="Generator" sheetId="4" r:id="rId10"/>
    <sheet name="Results" sheetId="8" r:id="rId11"/>
    <sheet name="Binomial" sheetId="9" r:id="rId12"/>
  </sheets>
  <definedNames>
    <definedName name="_xlnm._FilterDatabase" localSheetId="6" hidden="1">'P Adv'!$A$3:$H$356</definedName>
    <definedName name="_xlnm._FilterDatabase" localSheetId="3" hidden="1">PASE!$A$2:$AM$355</definedName>
    <definedName name="_xlnm._FilterDatabase" localSheetId="4" hidden="1">Ranking!$A$3:$V$360</definedName>
    <definedName name="_xlnm._FilterDatabase" localSheetId="2" hidden="1">'Team History'!$A$2:$AT$355</definedName>
    <definedName name="_xlnm._FilterDatabase" localSheetId="7" hidden="1">'Value Matchup'!$B$355:$D$355</definedName>
    <definedName name="_xlnm.Print_Area" localSheetId="9">Generator!$A$1:$AA$64</definedName>
    <definedName name="_xlnm.Print_Area" localSheetId="7">'Value Matchup'!$A$356:$Y$423</definedName>
  </definedNames>
  <calcPr calcId="181029"/>
</workbook>
</file>

<file path=xl/calcChain.xml><?xml version="1.0" encoding="utf-8"?>
<calcChain xmlns="http://schemas.openxmlformats.org/spreadsheetml/2006/main">
  <c r="G2309" i="16" l="1"/>
  <c r="G2310" i="16"/>
  <c r="G2311" i="16"/>
  <c r="G2312" i="16"/>
  <c r="K2309" i="16"/>
  <c r="K2310" i="16"/>
  <c r="K2311" i="16"/>
  <c r="K2312" i="16"/>
  <c r="N2309" i="16"/>
  <c r="N2310" i="16"/>
  <c r="N2311" i="16"/>
  <c r="N2312" i="16"/>
  <c r="O2309" i="16"/>
  <c r="O2310" i="16"/>
  <c r="O2311" i="16"/>
  <c r="O2312" i="16"/>
  <c r="P2309" i="16"/>
  <c r="P2310" i="16"/>
  <c r="P2311" i="16"/>
  <c r="P2312" i="16"/>
  <c r="R2309" i="16"/>
  <c r="R2310" i="16"/>
  <c r="R2311" i="16"/>
  <c r="R2312" i="16"/>
  <c r="B2312" i="16"/>
  <c r="B2311" i="16"/>
  <c r="B2310" i="16"/>
  <c r="B2309" i="16"/>
  <c r="B2305" i="16"/>
  <c r="B2306" i="16"/>
  <c r="B2307" i="16"/>
  <c r="B2308" i="16"/>
  <c r="G2308" i="16"/>
  <c r="K2308" i="16"/>
  <c r="N2308" i="16"/>
  <c r="O2308" i="16"/>
  <c r="P2308" i="16" s="1"/>
  <c r="R2308" i="16"/>
  <c r="G2307" i="16"/>
  <c r="K2307" i="16"/>
  <c r="N2307" i="16"/>
  <c r="O2307" i="16"/>
  <c r="P2307" i="16" s="1"/>
  <c r="R2307" i="16"/>
  <c r="G2306" i="16"/>
  <c r="K2306" i="16"/>
  <c r="N2306" i="16"/>
  <c r="O2306" i="16"/>
  <c r="P2306" i="16" s="1"/>
  <c r="Q2306" i="16"/>
  <c r="R2306" i="16"/>
  <c r="O1" i="1"/>
  <c r="B2289" i="16"/>
  <c r="B2290" i="16"/>
  <c r="B2291" i="16"/>
  <c r="B2292" i="16"/>
  <c r="B2293" i="16"/>
  <c r="B2294" i="16"/>
  <c r="B2295" i="16"/>
  <c r="B2296" i="16"/>
  <c r="B2297" i="16"/>
  <c r="B2298" i="16"/>
  <c r="B2299" i="16"/>
  <c r="B2300" i="16"/>
  <c r="B2301" i="16"/>
  <c r="B2302" i="16"/>
  <c r="B2303" i="16"/>
  <c r="B2304" i="16"/>
  <c r="G2291" i="16"/>
  <c r="G2292" i="16"/>
  <c r="G2293" i="16"/>
  <c r="G2294" i="16"/>
  <c r="G2295" i="16"/>
  <c r="G2296" i="16"/>
  <c r="G2297" i="16"/>
  <c r="G2298" i="16"/>
  <c r="G2299" i="16"/>
  <c r="G2300" i="16"/>
  <c r="G2301" i="16"/>
  <c r="G2302" i="16"/>
  <c r="G2303" i="16"/>
  <c r="G2304" i="16"/>
  <c r="G2305" i="16"/>
  <c r="K2291" i="16"/>
  <c r="K2292" i="16"/>
  <c r="K2293" i="16"/>
  <c r="K2294" i="16"/>
  <c r="K2295" i="16"/>
  <c r="K2296" i="16"/>
  <c r="K2297" i="16"/>
  <c r="K2298" i="16"/>
  <c r="K2299" i="16"/>
  <c r="K2300" i="16"/>
  <c r="K2301" i="16"/>
  <c r="K2302" i="16"/>
  <c r="K2303" i="16"/>
  <c r="K2304" i="16"/>
  <c r="K2305" i="16"/>
  <c r="N2291" i="16"/>
  <c r="N2292" i="16"/>
  <c r="N2293" i="16"/>
  <c r="N2294" i="16"/>
  <c r="N2295" i="16"/>
  <c r="N2296" i="16"/>
  <c r="N2297" i="16"/>
  <c r="N2298" i="16"/>
  <c r="N2299" i="16"/>
  <c r="N2300" i="16"/>
  <c r="N2301" i="16"/>
  <c r="N2302" i="16"/>
  <c r="N2303" i="16"/>
  <c r="N2304" i="16"/>
  <c r="N2305" i="16"/>
  <c r="O2291" i="16"/>
  <c r="P2291" i="16" s="1"/>
  <c r="O2292" i="16"/>
  <c r="P2292" i="16" s="1"/>
  <c r="O2293" i="16"/>
  <c r="P2293" i="16" s="1"/>
  <c r="O2294" i="16"/>
  <c r="O2295" i="16"/>
  <c r="O2296" i="16"/>
  <c r="O2297" i="16"/>
  <c r="P2297" i="16" s="1"/>
  <c r="O2298" i="16"/>
  <c r="P2298" i="16" s="1"/>
  <c r="O2299" i="16"/>
  <c r="P2299" i="16" s="1"/>
  <c r="O2300" i="16"/>
  <c r="P2300" i="16" s="1"/>
  <c r="O2301" i="16"/>
  <c r="P2301" i="16" s="1"/>
  <c r="O2302" i="16"/>
  <c r="P2302" i="16" s="1"/>
  <c r="O2303" i="16"/>
  <c r="P2303" i="16" s="1"/>
  <c r="O2304" i="16"/>
  <c r="P2304" i="16" s="1"/>
  <c r="O2305" i="16"/>
  <c r="P2305" i="16" s="1"/>
  <c r="P2294" i="16"/>
  <c r="P2295" i="16"/>
  <c r="P2296" i="16"/>
  <c r="R2291" i="16"/>
  <c r="R2292" i="16"/>
  <c r="R2293" i="16"/>
  <c r="R2294" i="16"/>
  <c r="R2295" i="16"/>
  <c r="R2296" i="16"/>
  <c r="R2297" i="16"/>
  <c r="R2298" i="16"/>
  <c r="R2299" i="16"/>
  <c r="R2300" i="16"/>
  <c r="R2301" i="16"/>
  <c r="R2302" i="16"/>
  <c r="R2303" i="16"/>
  <c r="R2304" i="16"/>
  <c r="R2305" i="16"/>
  <c r="G2290" i="16"/>
  <c r="K2290" i="16"/>
  <c r="N2290" i="16"/>
  <c r="O2290" i="16"/>
  <c r="P2290" i="16" s="1"/>
  <c r="R2290" i="16"/>
  <c r="G2289" i="16"/>
  <c r="K2289" i="16"/>
  <c r="N2289" i="16"/>
  <c r="O2289" i="16"/>
  <c r="P2289" i="16" s="1"/>
  <c r="R2289" i="16"/>
  <c r="B2259" i="16"/>
  <c r="B2260" i="16"/>
  <c r="B2261" i="16"/>
  <c r="B2262" i="16"/>
  <c r="B2263" i="16"/>
  <c r="B2264" i="16"/>
  <c r="B2265" i="16"/>
  <c r="B2266" i="16"/>
  <c r="B2267" i="16"/>
  <c r="B2268" i="16"/>
  <c r="B2269" i="16"/>
  <c r="B2270" i="16"/>
  <c r="B2271" i="16"/>
  <c r="B2272" i="16"/>
  <c r="B2273" i="16"/>
  <c r="B2274" i="16"/>
  <c r="B2275" i="16"/>
  <c r="B2276" i="16"/>
  <c r="B2277" i="16"/>
  <c r="B2278" i="16"/>
  <c r="B2279" i="16"/>
  <c r="B2280" i="16"/>
  <c r="B2281" i="16"/>
  <c r="B2282" i="16"/>
  <c r="B2283" i="16"/>
  <c r="B2284" i="16"/>
  <c r="B2285" i="16"/>
  <c r="B2286" i="16"/>
  <c r="B2287" i="16"/>
  <c r="B2288" i="16"/>
  <c r="G2272" i="16"/>
  <c r="G2273" i="16"/>
  <c r="G2274" i="16"/>
  <c r="G2275" i="16"/>
  <c r="G2276" i="16"/>
  <c r="G2277" i="16"/>
  <c r="G2278" i="16"/>
  <c r="G2279" i="16"/>
  <c r="G2280" i="16"/>
  <c r="G2281" i="16"/>
  <c r="G2282" i="16"/>
  <c r="G2283" i="16"/>
  <c r="G2284" i="16"/>
  <c r="G2285" i="16"/>
  <c r="G2286" i="16"/>
  <c r="G2287" i="16"/>
  <c r="G2288" i="16"/>
  <c r="K2272" i="16"/>
  <c r="K2273" i="16"/>
  <c r="K2274" i="16"/>
  <c r="K2275" i="16"/>
  <c r="K2276" i="16"/>
  <c r="K2277" i="16"/>
  <c r="K2278" i="16"/>
  <c r="K2279" i="16"/>
  <c r="K2280" i="16"/>
  <c r="K2281" i="16"/>
  <c r="K2282" i="16"/>
  <c r="K2283" i="16"/>
  <c r="K2284" i="16"/>
  <c r="K2285" i="16"/>
  <c r="K2286" i="16"/>
  <c r="K2287" i="16"/>
  <c r="K2288" i="16"/>
  <c r="N2272" i="16"/>
  <c r="N2273" i="16"/>
  <c r="N2274" i="16"/>
  <c r="N2275" i="16"/>
  <c r="N2276" i="16"/>
  <c r="N2277" i="16"/>
  <c r="N2278" i="16"/>
  <c r="N2279" i="16"/>
  <c r="N2280" i="16"/>
  <c r="N2281" i="16"/>
  <c r="N2282" i="16"/>
  <c r="N2283" i="16"/>
  <c r="N2284" i="16"/>
  <c r="N2285" i="16"/>
  <c r="N2286" i="16"/>
  <c r="N2287" i="16"/>
  <c r="N2288" i="16"/>
  <c r="O2272" i="16"/>
  <c r="P2272" i="16" s="1"/>
  <c r="O2273" i="16"/>
  <c r="O2274" i="16"/>
  <c r="P2274" i="16" s="1"/>
  <c r="O2275" i="16"/>
  <c r="P2275" i="16" s="1"/>
  <c r="O2276" i="16"/>
  <c r="P2276" i="16" s="1"/>
  <c r="O2277" i="16"/>
  <c r="P2277" i="16" s="1"/>
  <c r="O2278" i="16"/>
  <c r="P2278" i="16" s="1"/>
  <c r="O2279" i="16"/>
  <c r="P2279" i="16" s="1"/>
  <c r="O2280" i="16"/>
  <c r="P2280" i="16" s="1"/>
  <c r="O2281" i="16"/>
  <c r="P2281" i="16" s="1"/>
  <c r="O2282" i="16"/>
  <c r="P2282" i="16" s="1"/>
  <c r="O2283" i="16"/>
  <c r="P2283" i="16" s="1"/>
  <c r="O2284" i="16"/>
  <c r="P2284" i="16" s="1"/>
  <c r="O2285" i="16"/>
  <c r="P2285" i="16" s="1"/>
  <c r="O2286" i="16"/>
  <c r="P2286" i="16" s="1"/>
  <c r="O2287" i="16"/>
  <c r="P2287" i="16" s="1"/>
  <c r="O2288" i="16"/>
  <c r="P2288" i="16" s="1"/>
  <c r="P2273" i="16"/>
  <c r="R2272" i="16"/>
  <c r="R2273" i="16"/>
  <c r="R2274" i="16"/>
  <c r="R2275" i="16"/>
  <c r="R2276" i="16"/>
  <c r="R2277" i="16"/>
  <c r="R2278" i="16"/>
  <c r="R2279" i="16"/>
  <c r="R2280" i="16"/>
  <c r="R2281" i="16"/>
  <c r="R2282" i="16"/>
  <c r="R2283" i="16"/>
  <c r="R2284" i="16"/>
  <c r="R2285" i="16"/>
  <c r="R2286" i="16"/>
  <c r="R2287" i="16"/>
  <c r="R2288" i="16"/>
  <c r="G2259" i="16"/>
  <c r="G2260" i="16"/>
  <c r="G2261" i="16"/>
  <c r="G2262" i="16"/>
  <c r="G2263" i="16"/>
  <c r="G2264" i="16"/>
  <c r="G2265" i="16"/>
  <c r="G2266" i="16"/>
  <c r="G2267" i="16"/>
  <c r="G2268" i="16"/>
  <c r="G2269" i="16"/>
  <c r="G2270" i="16"/>
  <c r="G2271" i="16"/>
  <c r="K2259" i="16"/>
  <c r="K2260" i="16"/>
  <c r="K2261" i="16"/>
  <c r="K2262" i="16"/>
  <c r="K2263" i="16"/>
  <c r="K2264" i="16"/>
  <c r="K2265" i="16"/>
  <c r="K2266" i="16"/>
  <c r="K2267" i="16"/>
  <c r="K2268" i="16"/>
  <c r="K2269" i="16"/>
  <c r="K2270" i="16"/>
  <c r="K2271" i="16"/>
  <c r="N2259" i="16"/>
  <c r="N2260" i="16"/>
  <c r="N2261" i="16"/>
  <c r="N2262" i="16"/>
  <c r="N2263" i="16"/>
  <c r="N2264" i="16"/>
  <c r="N2265" i="16"/>
  <c r="N2266" i="16"/>
  <c r="N2267" i="16"/>
  <c r="N2268" i="16"/>
  <c r="N2269" i="16"/>
  <c r="N2270" i="16"/>
  <c r="N2271" i="16"/>
  <c r="O2259" i="16"/>
  <c r="P2259" i="16" s="1"/>
  <c r="O2260" i="16"/>
  <c r="O2261" i="16"/>
  <c r="P2261" i="16" s="1"/>
  <c r="O2262" i="16"/>
  <c r="P2262" i="16" s="1"/>
  <c r="O2263" i="16"/>
  <c r="P2263" i="16" s="1"/>
  <c r="O2264" i="16"/>
  <c r="P2264" i="16" s="1"/>
  <c r="O2265" i="16"/>
  <c r="P2265" i="16" s="1"/>
  <c r="O2266" i="16"/>
  <c r="P2266" i="16" s="1"/>
  <c r="O2267" i="16"/>
  <c r="P2267" i="16" s="1"/>
  <c r="O2268" i="16"/>
  <c r="P2268" i="16" s="1"/>
  <c r="O2269" i="16"/>
  <c r="P2269" i="16" s="1"/>
  <c r="O2270" i="16"/>
  <c r="P2270" i="16" s="1"/>
  <c r="O2271" i="16"/>
  <c r="P2271" i="16" s="1"/>
  <c r="P2260" i="16"/>
  <c r="R2259" i="16"/>
  <c r="R2260" i="16"/>
  <c r="R2261" i="16"/>
  <c r="R2262" i="16"/>
  <c r="R2263" i="16"/>
  <c r="R2264" i="16"/>
  <c r="R2265" i="16"/>
  <c r="R2266" i="16"/>
  <c r="R2267" i="16"/>
  <c r="R2268" i="16"/>
  <c r="R2269" i="16"/>
  <c r="R2270" i="16"/>
  <c r="R2271" i="16"/>
  <c r="B2258" i="16"/>
  <c r="G2258" i="16"/>
  <c r="K2258" i="16"/>
  <c r="N2258" i="16"/>
  <c r="O2258" i="16"/>
  <c r="P2258" i="16" s="1"/>
  <c r="R2258" i="16"/>
  <c r="B2257" i="16"/>
  <c r="G2257" i="16"/>
  <c r="K2257" i="16"/>
  <c r="N2257" i="16"/>
  <c r="O2257" i="16"/>
  <c r="P2257" i="16" s="1"/>
  <c r="R2257" i="16"/>
  <c r="B2254" i="16"/>
  <c r="B2255" i="16"/>
  <c r="B2256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B605" i="16"/>
  <c r="B606" i="16"/>
  <c r="B607" i="16"/>
  <c r="B608" i="16"/>
  <c r="B609" i="16"/>
  <c r="B610" i="16"/>
  <c r="B611" i="16"/>
  <c r="B612" i="16"/>
  <c r="B613" i="16"/>
  <c r="B614" i="16"/>
  <c r="B615" i="16"/>
  <c r="B616" i="16"/>
  <c r="B617" i="16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  <c r="B631" i="16"/>
  <c r="B632" i="16"/>
  <c r="B633" i="16"/>
  <c r="B634" i="16"/>
  <c r="B635" i="16"/>
  <c r="B636" i="16"/>
  <c r="B637" i="16"/>
  <c r="B638" i="16"/>
  <c r="B639" i="16"/>
  <c r="B640" i="16"/>
  <c r="B641" i="16"/>
  <c r="B642" i="16"/>
  <c r="B643" i="16"/>
  <c r="B644" i="16"/>
  <c r="B645" i="16"/>
  <c r="B646" i="16"/>
  <c r="B647" i="16"/>
  <c r="B648" i="16"/>
  <c r="B649" i="16"/>
  <c r="B650" i="16"/>
  <c r="B651" i="16"/>
  <c r="B652" i="16"/>
  <c r="B653" i="16"/>
  <c r="B654" i="16"/>
  <c r="B655" i="16"/>
  <c r="B656" i="16"/>
  <c r="B657" i="16"/>
  <c r="B658" i="16"/>
  <c r="B659" i="16"/>
  <c r="B660" i="16"/>
  <c r="B661" i="16"/>
  <c r="B662" i="16"/>
  <c r="B663" i="16"/>
  <c r="B664" i="16"/>
  <c r="B665" i="16"/>
  <c r="B666" i="16"/>
  <c r="B667" i="16"/>
  <c r="B668" i="16"/>
  <c r="B669" i="16"/>
  <c r="B670" i="16"/>
  <c r="B671" i="16"/>
  <c r="B672" i="16"/>
  <c r="B673" i="16"/>
  <c r="B674" i="16"/>
  <c r="B675" i="16"/>
  <c r="B676" i="16"/>
  <c r="B677" i="16"/>
  <c r="B678" i="16"/>
  <c r="B679" i="16"/>
  <c r="B680" i="16"/>
  <c r="B681" i="16"/>
  <c r="B682" i="16"/>
  <c r="B683" i="16"/>
  <c r="B684" i="16"/>
  <c r="B685" i="16"/>
  <c r="B686" i="16"/>
  <c r="B687" i="16"/>
  <c r="B688" i="16"/>
  <c r="B689" i="16"/>
  <c r="B690" i="16"/>
  <c r="B691" i="16"/>
  <c r="B692" i="16"/>
  <c r="B693" i="16"/>
  <c r="B694" i="16"/>
  <c r="B695" i="16"/>
  <c r="B696" i="16"/>
  <c r="B697" i="16"/>
  <c r="B698" i="16"/>
  <c r="B699" i="16"/>
  <c r="B700" i="16"/>
  <c r="B701" i="16"/>
  <c r="B702" i="16"/>
  <c r="B703" i="16"/>
  <c r="B704" i="16"/>
  <c r="B705" i="16"/>
  <c r="B706" i="16"/>
  <c r="B707" i="16"/>
  <c r="B708" i="16"/>
  <c r="B709" i="16"/>
  <c r="B710" i="16"/>
  <c r="B711" i="16"/>
  <c r="B712" i="16"/>
  <c r="B713" i="16"/>
  <c r="B714" i="16"/>
  <c r="B715" i="16"/>
  <c r="B716" i="16"/>
  <c r="B717" i="16"/>
  <c r="B718" i="16"/>
  <c r="B719" i="16"/>
  <c r="B720" i="16"/>
  <c r="B721" i="16"/>
  <c r="B722" i="16"/>
  <c r="B723" i="16"/>
  <c r="B724" i="16"/>
  <c r="B725" i="16"/>
  <c r="B726" i="16"/>
  <c r="B727" i="16"/>
  <c r="B728" i="16"/>
  <c r="B729" i="16"/>
  <c r="B730" i="16"/>
  <c r="B731" i="16"/>
  <c r="B732" i="16"/>
  <c r="B733" i="16"/>
  <c r="B734" i="16"/>
  <c r="B735" i="16"/>
  <c r="B736" i="16"/>
  <c r="B737" i="16"/>
  <c r="B738" i="16"/>
  <c r="B739" i="16"/>
  <c r="B740" i="16"/>
  <c r="B741" i="16"/>
  <c r="B742" i="16"/>
  <c r="B743" i="16"/>
  <c r="B744" i="16"/>
  <c r="B745" i="16"/>
  <c r="B746" i="16"/>
  <c r="B747" i="16"/>
  <c r="B748" i="16"/>
  <c r="B749" i="16"/>
  <c r="B750" i="16"/>
  <c r="B751" i="16"/>
  <c r="B752" i="16"/>
  <c r="B753" i="16"/>
  <c r="B754" i="16"/>
  <c r="B755" i="16"/>
  <c r="B756" i="16"/>
  <c r="B757" i="16"/>
  <c r="B758" i="16"/>
  <c r="B759" i="16"/>
  <c r="B760" i="16"/>
  <c r="B761" i="16"/>
  <c r="B762" i="16"/>
  <c r="B763" i="16"/>
  <c r="B764" i="16"/>
  <c r="B765" i="16"/>
  <c r="B766" i="16"/>
  <c r="B767" i="16"/>
  <c r="B768" i="16"/>
  <c r="B769" i="16"/>
  <c r="B770" i="16"/>
  <c r="B771" i="16"/>
  <c r="B772" i="16"/>
  <c r="B773" i="16"/>
  <c r="B774" i="16"/>
  <c r="B775" i="16"/>
  <c r="B776" i="16"/>
  <c r="B777" i="16"/>
  <c r="B778" i="16"/>
  <c r="B779" i="16"/>
  <c r="B780" i="16"/>
  <c r="B781" i="16"/>
  <c r="B782" i="16"/>
  <c r="B783" i="16"/>
  <c r="B784" i="16"/>
  <c r="B785" i="16"/>
  <c r="B786" i="16"/>
  <c r="B787" i="16"/>
  <c r="B788" i="16"/>
  <c r="B789" i="16"/>
  <c r="B790" i="16"/>
  <c r="B791" i="16"/>
  <c r="B792" i="16"/>
  <c r="B793" i="16"/>
  <c r="B794" i="16"/>
  <c r="B795" i="16"/>
  <c r="B796" i="16"/>
  <c r="B797" i="16"/>
  <c r="B798" i="16"/>
  <c r="B799" i="16"/>
  <c r="B800" i="16"/>
  <c r="B801" i="16"/>
  <c r="B802" i="16"/>
  <c r="B803" i="16"/>
  <c r="B804" i="16"/>
  <c r="B805" i="16"/>
  <c r="B806" i="16"/>
  <c r="B807" i="16"/>
  <c r="B808" i="16"/>
  <c r="B809" i="16"/>
  <c r="B810" i="16"/>
  <c r="B811" i="16"/>
  <c r="B812" i="16"/>
  <c r="B813" i="16"/>
  <c r="B814" i="16"/>
  <c r="B815" i="16"/>
  <c r="B816" i="16"/>
  <c r="B817" i="16"/>
  <c r="B818" i="16"/>
  <c r="B819" i="16"/>
  <c r="B820" i="16"/>
  <c r="B821" i="16"/>
  <c r="B822" i="16"/>
  <c r="B823" i="16"/>
  <c r="B824" i="16"/>
  <c r="B825" i="16"/>
  <c r="B826" i="16"/>
  <c r="B827" i="16"/>
  <c r="B828" i="16"/>
  <c r="B829" i="16"/>
  <c r="B830" i="16"/>
  <c r="B831" i="16"/>
  <c r="B832" i="16"/>
  <c r="B833" i="16"/>
  <c r="B834" i="16"/>
  <c r="B835" i="16"/>
  <c r="B836" i="16"/>
  <c r="B837" i="16"/>
  <c r="B838" i="16"/>
  <c r="B839" i="16"/>
  <c r="B840" i="16"/>
  <c r="B841" i="16"/>
  <c r="B842" i="16"/>
  <c r="B843" i="16"/>
  <c r="B844" i="16"/>
  <c r="B845" i="16"/>
  <c r="B846" i="16"/>
  <c r="B847" i="16"/>
  <c r="B848" i="16"/>
  <c r="B849" i="16"/>
  <c r="B850" i="16"/>
  <c r="B851" i="16"/>
  <c r="B852" i="16"/>
  <c r="B853" i="16"/>
  <c r="B854" i="16"/>
  <c r="B855" i="16"/>
  <c r="B856" i="16"/>
  <c r="B857" i="16"/>
  <c r="B858" i="16"/>
  <c r="B859" i="16"/>
  <c r="B860" i="16"/>
  <c r="B861" i="16"/>
  <c r="B862" i="16"/>
  <c r="B863" i="16"/>
  <c r="B864" i="16"/>
  <c r="B865" i="16"/>
  <c r="B866" i="16"/>
  <c r="B867" i="16"/>
  <c r="B868" i="16"/>
  <c r="B869" i="16"/>
  <c r="B870" i="16"/>
  <c r="B871" i="16"/>
  <c r="B872" i="16"/>
  <c r="B873" i="16"/>
  <c r="B874" i="16"/>
  <c r="B875" i="16"/>
  <c r="B876" i="16"/>
  <c r="B877" i="16"/>
  <c r="B878" i="16"/>
  <c r="B879" i="16"/>
  <c r="B880" i="16"/>
  <c r="B881" i="16"/>
  <c r="B882" i="16"/>
  <c r="B883" i="16"/>
  <c r="B884" i="16"/>
  <c r="B885" i="16"/>
  <c r="B886" i="16"/>
  <c r="B887" i="16"/>
  <c r="B888" i="16"/>
  <c r="B889" i="16"/>
  <c r="B890" i="16"/>
  <c r="B891" i="16"/>
  <c r="B892" i="16"/>
  <c r="B893" i="16"/>
  <c r="B894" i="16"/>
  <c r="B895" i="16"/>
  <c r="B896" i="16"/>
  <c r="B897" i="16"/>
  <c r="B898" i="16"/>
  <c r="B899" i="16"/>
  <c r="B900" i="16"/>
  <c r="B901" i="16"/>
  <c r="B902" i="16"/>
  <c r="B903" i="16"/>
  <c r="B904" i="16"/>
  <c r="B905" i="16"/>
  <c r="B906" i="16"/>
  <c r="B907" i="16"/>
  <c r="B908" i="16"/>
  <c r="B909" i="16"/>
  <c r="B910" i="16"/>
  <c r="B911" i="16"/>
  <c r="B912" i="16"/>
  <c r="B913" i="16"/>
  <c r="B914" i="16"/>
  <c r="B915" i="16"/>
  <c r="B916" i="16"/>
  <c r="B917" i="16"/>
  <c r="B918" i="16"/>
  <c r="B919" i="16"/>
  <c r="B920" i="16"/>
  <c r="B921" i="16"/>
  <c r="B922" i="16"/>
  <c r="B923" i="16"/>
  <c r="B924" i="16"/>
  <c r="B925" i="16"/>
  <c r="B926" i="16"/>
  <c r="B927" i="16"/>
  <c r="B928" i="16"/>
  <c r="B929" i="16"/>
  <c r="B930" i="16"/>
  <c r="B931" i="16"/>
  <c r="B932" i="16"/>
  <c r="B933" i="16"/>
  <c r="B934" i="16"/>
  <c r="B935" i="16"/>
  <c r="B936" i="16"/>
  <c r="B937" i="16"/>
  <c r="B938" i="16"/>
  <c r="B939" i="16"/>
  <c r="B940" i="16"/>
  <c r="B941" i="16"/>
  <c r="B942" i="16"/>
  <c r="B943" i="16"/>
  <c r="B944" i="16"/>
  <c r="B945" i="16"/>
  <c r="B946" i="16"/>
  <c r="B947" i="16"/>
  <c r="B948" i="16"/>
  <c r="B949" i="16"/>
  <c r="B950" i="16"/>
  <c r="B951" i="16"/>
  <c r="B952" i="16"/>
  <c r="B953" i="16"/>
  <c r="B954" i="16"/>
  <c r="B955" i="16"/>
  <c r="B956" i="16"/>
  <c r="B957" i="16"/>
  <c r="B958" i="16"/>
  <c r="B959" i="16"/>
  <c r="B960" i="16"/>
  <c r="B961" i="16"/>
  <c r="B962" i="16"/>
  <c r="B963" i="16"/>
  <c r="B964" i="16"/>
  <c r="B965" i="16"/>
  <c r="B966" i="16"/>
  <c r="B967" i="16"/>
  <c r="B968" i="16"/>
  <c r="B969" i="16"/>
  <c r="B970" i="16"/>
  <c r="B971" i="16"/>
  <c r="B972" i="16"/>
  <c r="B973" i="16"/>
  <c r="B974" i="16"/>
  <c r="B975" i="16"/>
  <c r="B976" i="16"/>
  <c r="B977" i="16"/>
  <c r="B978" i="16"/>
  <c r="B979" i="16"/>
  <c r="B980" i="16"/>
  <c r="B981" i="16"/>
  <c r="B982" i="16"/>
  <c r="B983" i="16"/>
  <c r="B984" i="16"/>
  <c r="B985" i="16"/>
  <c r="B986" i="16"/>
  <c r="B987" i="16"/>
  <c r="B988" i="16"/>
  <c r="B989" i="16"/>
  <c r="B990" i="16"/>
  <c r="B991" i="16"/>
  <c r="B992" i="16"/>
  <c r="B993" i="16"/>
  <c r="B994" i="16"/>
  <c r="B995" i="16"/>
  <c r="B996" i="16"/>
  <c r="B997" i="16"/>
  <c r="B998" i="16"/>
  <c r="B999" i="16"/>
  <c r="B1000" i="16"/>
  <c r="B1001" i="16"/>
  <c r="B1002" i="16"/>
  <c r="B1003" i="16"/>
  <c r="B1004" i="16"/>
  <c r="B1005" i="16"/>
  <c r="B1006" i="16"/>
  <c r="B1007" i="16"/>
  <c r="B1008" i="16"/>
  <c r="B1009" i="16"/>
  <c r="B1010" i="16"/>
  <c r="B1011" i="16"/>
  <c r="B1012" i="16"/>
  <c r="B1013" i="16"/>
  <c r="B1014" i="16"/>
  <c r="B1015" i="16"/>
  <c r="B1016" i="16"/>
  <c r="B1017" i="16"/>
  <c r="B1018" i="16"/>
  <c r="B1019" i="16"/>
  <c r="B1020" i="16"/>
  <c r="B1021" i="16"/>
  <c r="B1022" i="16"/>
  <c r="B1023" i="16"/>
  <c r="B1024" i="16"/>
  <c r="B1025" i="16"/>
  <c r="B1026" i="16"/>
  <c r="B1027" i="16"/>
  <c r="B1028" i="16"/>
  <c r="B1029" i="16"/>
  <c r="B1030" i="16"/>
  <c r="B1031" i="16"/>
  <c r="B1032" i="16"/>
  <c r="B1033" i="16"/>
  <c r="B1034" i="16"/>
  <c r="B1035" i="16"/>
  <c r="B1036" i="16"/>
  <c r="B1037" i="16"/>
  <c r="B1038" i="16"/>
  <c r="B1039" i="16"/>
  <c r="B1040" i="16"/>
  <c r="B1041" i="16"/>
  <c r="B1042" i="16"/>
  <c r="B1043" i="16"/>
  <c r="B1044" i="16"/>
  <c r="B1045" i="16"/>
  <c r="B1046" i="16"/>
  <c r="B1047" i="16"/>
  <c r="B1048" i="16"/>
  <c r="B1049" i="16"/>
  <c r="B1050" i="16"/>
  <c r="B1051" i="16"/>
  <c r="B1052" i="16"/>
  <c r="B1053" i="16"/>
  <c r="B1054" i="16"/>
  <c r="B1055" i="16"/>
  <c r="B1056" i="16"/>
  <c r="B1057" i="16"/>
  <c r="B1058" i="16"/>
  <c r="B1059" i="16"/>
  <c r="B1060" i="16"/>
  <c r="B1061" i="16"/>
  <c r="B1062" i="16"/>
  <c r="B1063" i="16"/>
  <c r="B1064" i="16"/>
  <c r="B1065" i="16"/>
  <c r="B1066" i="16"/>
  <c r="B1067" i="16"/>
  <c r="B1068" i="16"/>
  <c r="B1069" i="16"/>
  <c r="B1070" i="16"/>
  <c r="B1071" i="16"/>
  <c r="B1072" i="16"/>
  <c r="B1073" i="16"/>
  <c r="B1074" i="16"/>
  <c r="B1075" i="16"/>
  <c r="B1076" i="16"/>
  <c r="B1077" i="16"/>
  <c r="B1078" i="16"/>
  <c r="B1079" i="16"/>
  <c r="B1080" i="16"/>
  <c r="B1081" i="16"/>
  <c r="B1082" i="16"/>
  <c r="B1083" i="16"/>
  <c r="B1084" i="16"/>
  <c r="B1085" i="16"/>
  <c r="B1086" i="16"/>
  <c r="B1087" i="16"/>
  <c r="B1088" i="16"/>
  <c r="B1089" i="16"/>
  <c r="B1090" i="16"/>
  <c r="B1091" i="16"/>
  <c r="B1092" i="16"/>
  <c r="B1093" i="16"/>
  <c r="B1094" i="16"/>
  <c r="B1095" i="16"/>
  <c r="B1096" i="16"/>
  <c r="B1097" i="16"/>
  <c r="B1098" i="16"/>
  <c r="B1099" i="16"/>
  <c r="B1100" i="16"/>
  <c r="B1101" i="16"/>
  <c r="B1102" i="16"/>
  <c r="B1103" i="16"/>
  <c r="B1104" i="16"/>
  <c r="B1105" i="16"/>
  <c r="B1106" i="16"/>
  <c r="B1107" i="16"/>
  <c r="B1108" i="16"/>
  <c r="B1109" i="16"/>
  <c r="B1110" i="16"/>
  <c r="B1111" i="16"/>
  <c r="B1112" i="16"/>
  <c r="B1113" i="16"/>
  <c r="B1114" i="16"/>
  <c r="B1115" i="16"/>
  <c r="B1116" i="16"/>
  <c r="B1117" i="16"/>
  <c r="B1118" i="16"/>
  <c r="B1119" i="16"/>
  <c r="B1120" i="16"/>
  <c r="B1121" i="16"/>
  <c r="B1122" i="16"/>
  <c r="B1123" i="16"/>
  <c r="B1124" i="16"/>
  <c r="B1125" i="16"/>
  <c r="B1126" i="16"/>
  <c r="B1127" i="16"/>
  <c r="B1128" i="16"/>
  <c r="B1129" i="16"/>
  <c r="B1130" i="16"/>
  <c r="B1131" i="16"/>
  <c r="B1132" i="16"/>
  <c r="B1133" i="16"/>
  <c r="B1134" i="16"/>
  <c r="B1135" i="16"/>
  <c r="B1136" i="16"/>
  <c r="B1137" i="16"/>
  <c r="B1138" i="16"/>
  <c r="B1139" i="16"/>
  <c r="B1140" i="16"/>
  <c r="B1141" i="16"/>
  <c r="B1142" i="16"/>
  <c r="B1143" i="16"/>
  <c r="B1144" i="16"/>
  <c r="B1145" i="16"/>
  <c r="B1146" i="16"/>
  <c r="B1147" i="16"/>
  <c r="B1148" i="16"/>
  <c r="B1149" i="16"/>
  <c r="B1150" i="16"/>
  <c r="B1151" i="16"/>
  <c r="B1152" i="16"/>
  <c r="B1153" i="16"/>
  <c r="B1154" i="16"/>
  <c r="B1155" i="16"/>
  <c r="B1156" i="16"/>
  <c r="B1157" i="16"/>
  <c r="B1158" i="16"/>
  <c r="B1159" i="16"/>
  <c r="B1160" i="16"/>
  <c r="B1161" i="16"/>
  <c r="B1162" i="16"/>
  <c r="B1163" i="16"/>
  <c r="B1164" i="16"/>
  <c r="B1165" i="16"/>
  <c r="B1166" i="16"/>
  <c r="B1167" i="16"/>
  <c r="B1168" i="16"/>
  <c r="B1169" i="16"/>
  <c r="B1170" i="16"/>
  <c r="B1171" i="16"/>
  <c r="B1172" i="16"/>
  <c r="B1173" i="16"/>
  <c r="B1174" i="16"/>
  <c r="B1175" i="16"/>
  <c r="B1176" i="16"/>
  <c r="B1177" i="16"/>
  <c r="B1178" i="16"/>
  <c r="B1179" i="16"/>
  <c r="B1180" i="16"/>
  <c r="B1181" i="16"/>
  <c r="B1182" i="16"/>
  <c r="B1183" i="16"/>
  <c r="B1184" i="16"/>
  <c r="B1185" i="16"/>
  <c r="B1186" i="16"/>
  <c r="B1187" i="16"/>
  <c r="B1188" i="16"/>
  <c r="B1189" i="16"/>
  <c r="B1190" i="16"/>
  <c r="B1191" i="16"/>
  <c r="B1192" i="16"/>
  <c r="B1193" i="16"/>
  <c r="B1194" i="16"/>
  <c r="B1195" i="16"/>
  <c r="B1196" i="16"/>
  <c r="B1197" i="16"/>
  <c r="B1198" i="16"/>
  <c r="B1199" i="16"/>
  <c r="B1200" i="16"/>
  <c r="B1201" i="16"/>
  <c r="B1202" i="16"/>
  <c r="B1203" i="16"/>
  <c r="B1204" i="16"/>
  <c r="B1205" i="16"/>
  <c r="B1206" i="16"/>
  <c r="B1207" i="16"/>
  <c r="B1208" i="16"/>
  <c r="B1209" i="16"/>
  <c r="B1210" i="16"/>
  <c r="B1211" i="16"/>
  <c r="B1212" i="16"/>
  <c r="B1213" i="16"/>
  <c r="B1214" i="16"/>
  <c r="B1215" i="16"/>
  <c r="B1216" i="16"/>
  <c r="B1217" i="16"/>
  <c r="B1218" i="16"/>
  <c r="B1219" i="16"/>
  <c r="B1220" i="16"/>
  <c r="B1221" i="16"/>
  <c r="B1222" i="16"/>
  <c r="B1223" i="16"/>
  <c r="B1224" i="16"/>
  <c r="B1225" i="16"/>
  <c r="B1226" i="16"/>
  <c r="B1227" i="16"/>
  <c r="B1228" i="16"/>
  <c r="B1229" i="16"/>
  <c r="B1230" i="16"/>
  <c r="B1231" i="16"/>
  <c r="B1232" i="16"/>
  <c r="B1233" i="16"/>
  <c r="B1234" i="16"/>
  <c r="B1235" i="16"/>
  <c r="B1236" i="16"/>
  <c r="B1237" i="16"/>
  <c r="B1238" i="16"/>
  <c r="B1239" i="16"/>
  <c r="B1240" i="16"/>
  <c r="B1241" i="16"/>
  <c r="B1242" i="16"/>
  <c r="B1243" i="16"/>
  <c r="B1244" i="16"/>
  <c r="B1245" i="16"/>
  <c r="B1246" i="16"/>
  <c r="B1247" i="16"/>
  <c r="B1248" i="16"/>
  <c r="B1249" i="16"/>
  <c r="B1250" i="16"/>
  <c r="B1251" i="16"/>
  <c r="B1252" i="16"/>
  <c r="B1253" i="16"/>
  <c r="B1254" i="16"/>
  <c r="B1255" i="16"/>
  <c r="B1256" i="16"/>
  <c r="B1257" i="16"/>
  <c r="B1258" i="16"/>
  <c r="B1259" i="16"/>
  <c r="B1260" i="16"/>
  <c r="B1261" i="16"/>
  <c r="B1262" i="16"/>
  <c r="B1263" i="16"/>
  <c r="B1264" i="16"/>
  <c r="B1265" i="16"/>
  <c r="B1266" i="16"/>
  <c r="B1267" i="16"/>
  <c r="B1268" i="16"/>
  <c r="B1269" i="16"/>
  <c r="B1270" i="16"/>
  <c r="B1271" i="16"/>
  <c r="B1272" i="16"/>
  <c r="B1273" i="16"/>
  <c r="B1274" i="16"/>
  <c r="B1275" i="16"/>
  <c r="B1276" i="16"/>
  <c r="B1277" i="16"/>
  <c r="B1278" i="16"/>
  <c r="B1279" i="16"/>
  <c r="B1280" i="16"/>
  <c r="B1281" i="16"/>
  <c r="B1282" i="16"/>
  <c r="B1283" i="16"/>
  <c r="B1284" i="16"/>
  <c r="B1285" i="16"/>
  <c r="B1286" i="16"/>
  <c r="B1287" i="16"/>
  <c r="B1288" i="16"/>
  <c r="B1289" i="16"/>
  <c r="B1290" i="16"/>
  <c r="B1291" i="16"/>
  <c r="B1292" i="16"/>
  <c r="B1293" i="16"/>
  <c r="B1294" i="16"/>
  <c r="B1295" i="16"/>
  <c r="B1296" i="16"/>
  <c r="B1297" i="16"/>
  <c r="B1298" i="16"/>
  <c r="B1299" i="16"/>
  <c r="B1300" i="16"/>
  <c r="B1301" i="16"/>
  <c r="B1302" i="16"/>
  <c r="B1303" i="16"/>
  <c r="B1304" i="16"/>
  <c r="B1305" i="16"/>
  <c r="B1306" i="16"/>
  <c r="B1307" i="16"/>
  <c r="B1308" i="16"/>
  <c r="B1309" i="16"/>
  <c r="B1310" i="16"/>
  <c r="B1311" i="16"/>
  <c r="B1312" i="16"/>
  <c r="B1313" i="16"/>
  <c r="B1314" i="16"/>
  <c r="B1315" i="16"/>
  <c r="B1316" i="16"/>
  <c r="B1317" i="16"/>
  <c r="B1318" i="16"/>
  <c r="B1319" i="16"/>
  <c r="B1320" i="16"/>
  <c r="B1321" i="16"/>
  <c r="B1322" i="16"/>
  <c r="B1323" i="16"/>
  <c r="B1324" i="16"/>
  <c r="B1325" i="16"/>
  <c r="B1326" i="16"/>
  <c r="B1327" i="16"/>
  <c r="B1328" i="16"/>
  <c r="B1329" i="16"/>
  <c r="B1330" i="16"/>
  <c r="B1331" i="16"/>
  <c r="B1332" i="16"/>
  <c r="B1333" i="16"/>
  <c r="B1334" i="16"/>
  <c r="B1335" i="16"/>
  <c r="B1336" i="16"/>
  <c r="B1337" i="16"/>
  <c r="B1338" i="16"/>
  <c r="B1339" i="16"/>
  <c r="B1340" i="16"/>
  <c r="B1341" i="16"/>
  <c r="B1342" i="16"/>
  <c r="B1343" i="16"/>
  <c r="B1344" i="16"/>
  <c r="B1345" i="16"/>
  <c r="B1346" i="16"/>
  <c r="B1347" i="16"/>
  <c r="B1348" i="16"/>
  <c r="B1349" i="16"/>
  <c r="B1350" i="16"/>
  <c r="B1351" i="16"/>
  <c r="B1352" i="16"/>
  <c r="B1353" i="16"/>
  <c r="B1354" i="16"/>
  <c r="B1355" i="16"/>
  <c r="B1356" i="16"/>
  <c r="B1357" i="16"/>
  <c r="B1358" i="16"/>
  <c r="B1359" i="16"/>
  <c r="B1360" i="16"/>
  <c r="B1361" i="16"/>
  <c r="B1362" i="16"/>
  <c r="B1363" i="16"/>
  <c r="B1364" i="16"/>
  <c r="B1365" i="16"/>
  <c r="B1366" i="16"/>
  <c r="B1367" i="16"/>
  <c r="B1368" i="16"/>
  <c r="B1369" i="16"/>
  <c r="B1370" i="16"/>
  <c r="B1371" i="16"/>
  <c r="B1372" i="16"/>
  <c r="B1373" i="16"/>
  <c r="B1374" i="16"/>
  <c r="B1375" i="16"/>
  <c r="B1376" i="16"/>
  <c r="B1377" i="16"/>
  <c r="B1378" i="16"/>
  <c r="B1379" i="16"/>
  <c r="B1380" i="16"/>
  <c r="B1381" i="16"/>
  <c r="B1382" i="16"/>
  <c r="B1383" i="16"/>
  <c r="B1384" i="16"/>
  <c r="B1385" i="16"/>
  <c r="B1386" i="16"/>
  <c r="B1387" i="16"/>
  <c r="B1388" i="16"/>
  <c r="B1389" i="16"/>
  <c r="B1390" i="16"/>
  <c r="B1391" i="16"/>
  <c r="B1392" i="16"/>
  <c r="B1393" i="16"/>
  <c r="B1394" i="16"/>
  <c r="B1395" i="16"/>
  <c r="B1396" i="16"/>
  <c r="B1397" i="16"/>
  <c r="B1398" i="16"/>
  <c r="B1399" i="16"/>
  <c r="B1400" i="16"/>
  <c r="B1401" i="16"/>
  <c r="B1402" i="16"/>
  <c r="B1403" i="16"/>
  <c r="B1404" i="16"/>
  <c r="B1405" i="16"/>
  <c r="B1406" i="16"/>
  <c r="B1407" i="16"/>
  <c r="B1408" i="16"/>
  <c r="B1409" i="16"/>
  <c r="B1410" i="16"/>
  <c r="B1411" i="16"/>
  <c r="B1412" i="16"/>
  <c r="B1413" i="16"/>
  <c r="B1414" i="16"/>
  <c r="B1415" i="16"/>
  <c r="B1416" i="16"/>
  <c r="B1417" i="16"/>
  <c r="B1418" i="16"/>
  <c r="B1419" i="16"/>
  <c r="B1420" i="16"/>
  <c r="B1421" i="16"/>
  <c r="B1422" i="16"/>
  <c r="B1423" i="16"/>
  <c r="B1424" i="16"/>
  <c r="B1425" i="16"/>
  <c r="B1426" i="16"/>
  <c r="B1427" i="16"/>
  <c r="B1428" i="16"/>
  <c r="B1429" i="16"/>
  <c r="B1430" i="16"/>
  <c r="B1431" i="16"/>
  <c r="B1432" i="16"/>
  <c r="B1433" i="16"/>
  <c r="B1434" i="16"/>
  <c r="B1435" i="16"/>
  <c r="B1436" i="16"/>
  <c r="B1437" i="16"/>
  <c r="B1438" i="16"/>
  <c r="B1439" i="16"/>
  <c r="B1440" i="16"/>
  <c r="B1441" i="16"/>
  <c r="B1442" i="16"/>
  <c r="B1443" i="16"/>
  <c r="B1444" i="16"/>
  <c r="B1445" i="16"/>
  <c r="B1446" i="16"/>
  <c r="B1447" i="16"/>
  <c r="B1448" i="16"/>
  <c r="B1449" i="16"/>
  <c r="B1450" i="16"/>
  <c r="B1451" i="16"/>
  <c r="B1452" i="16"/>
  <c r="B1453" i="16"/>
  <c r="B1454" i="16"/>
  <c r="B1455" i="16"/>
  <c r="B1456" i="16"/>
  <c r="B1457" i="16"/>
  <c r="B1458" i="16"/>
  <c r="B1459" i="16"/>
  <c r="B1460" i="16"/>
  <c r="B1461" i="16"/>
  <c r="B1462" i="16"/>
  <c r="B1463" i="16"/>
  <c r="B1464" i="16"/>
  <c r="B1465" i="16"/>
  <c r="B1466" i="16"/>
  <c r="B1467" i="16"/>
  <c r="B1468" i="16"/>
  <c r="B1469" i="16"/>
  <c r="B1470" i="16"/>
  <c r="B1471" i="16"/>
  <c r="B1472" i="16"/>
  <c r="B1473" i="16"/>
  <c r="B1474" i="16"/>
  <c r="B1475" i="16"/>
  <c r="B1476" i="16"/>
  <c r="B1477" i="16"/>
  <c r="B1478" i="16"/>
  <c r="B1479" i="16"/>
  <c r="B1480" i="16"/>
  <c r="B1481" i="16"/>
  <c r="B1482" i="16"/>
  <c r="B1483" i="16"/>
  <c r="B1484" i="16"/>
  <c r="B1485" i="16"/>
  <c r="B1486" i="16"/>
  <c r="B1487" i="16"/>
  <c r="B1488" i="16"/>
  <c r="B1489" i="16"/>
  <c r="B1490" i="16"/>
  <c r="B1491" i="16"/>
  <c r="B1492" i="16"/>
  <c r="B1493" i="16"/>
  <c r="B1494" i="16"/>
  <c r="B1495" i="16"/>
  <c r="B1496" i="16"/>
  <c r="B1497" i="16"/>
  <c r="B1498" i="16"/>
  <c r="B1499" i="16"/>
  <c r="B1500" i="16"/>
  <c r="B1501" i="16"/>
  <c r="B1502" i="16"/>
  <c r="B1503" i="16"/>
  <c r="B1504" i="16"/>
  <c r="B1505" i="16"/>
  <c r="B1506" i="16"/>
  <c r="B1507" i="16"/>
  <c r="B1508" i="16"/>
  <c r="B1509" i="16"/>
  <c r="B1510" i="16"/>
  <c r="B1511" i="16"/>
  <c r="B1512" i="16"/>
  <c r="B1513" i="16"/>
  <c r="B1514" i="16"/>
  <c r="B1515" i="16"/>
  <c r="B1516" i="16"/>
  <c r="B1517" i="16"/>
  <c r="B1518" i="16"/>
  <c r="B1519" i="16"/>
  <c r="B1520" i="16"/>
  <c r="B1521" i="16"/>
  <c r="B1522" i="16"/>
  <c r="B1523" i="16"/>
  <c r="B1524" i="16"/>
  <c r="B1525" i="16"/>
  <c r="B1526" i="16"/>
  <c r="B1527" i="16"/>
  <c r="B1528" i="16"/>
  <c r="B1529" i="16"/>
  <c r="B1530" i="16"/>
  <c r="B1531" i="16"/>
  <c r="B1532" i="16"/>
  <c r="B1533" i="16"/>
  <c r="B1534" i="16"/>
  <c r="B1535" i="16"/>
  <c r="B1536" i="16"/>
  <c r="B1537" i="16"/>
  <c r="B1538" i="16"/>
  <c r="B1539" i="16"/>
  <c r="B1540" i="16"/>
  <c r="B1541" i="16"/>
  <c r="B1542" i="16"/>
  <c r="B1543" i="16"/>
  <c r="B1544" i="16"/>
  <c r="B1545" i="16"/>
  <c r="B1546" i="16"/>
  <c r="B1547" i="16"/>
  <c r="B1548" i="16"/>
  <c r="B1549" i="16"/>
  <c r="B1550" i="16"/>
  <c r="B1551" i="16"/>
  <c r="B1552" i="16"/>
  <c r="B1553" i="16"/>
  <c r="B1554" i="16"/>
  <c r="B1555" i="16"/>
  <c r="B1556" i="16"/>
  <c r="B1557" i="16"/>
  <c r="B1558" i="16"/>
  <c r="B1559" i="16"/>
  <c r="B1560" i="16"/>
  <c r="B1561" i="16"/>
  <c r="B1562" i="16"/>
  <c r="B1563" i="16"/>
  <c r="B1564" i="16"/>
  <c r="B1565" i="16"/>
  <c r="B1566" i="16"/>
  <c r="B1567" i="16"/>
  <c r="B1568" i="16"/>
  <c r="B1569" i="16"/>
  <c r="B1570" i="16"/>
  <c r="B1571" i="16"/>
  <c r="B1572" i="16"/>
  <c r="B1573" i="16"/>
  <c r="B1574" i="16"/>
  <c r="B1575" i="16"/>
  <c r="B1576" i="16"/>
  <c r="B1577" i="16"/>
  <c r="B1578" i="16"/>
  <c r="B1579" i="16"/>
  <c r="B1580" i="16"/>
  <c r="B1581" i="16"/>
  <c r="B1582" i="16"/>
  <c r="B1583" i="16"/>
  <c r="B1584" i="16"/>
  <c r="B1585" i="16"/>
  <c r="B1586" i="16"/>
  <c r="B1587" i="16"/>
  <c r="B1588" i="16"/>
  <c r="B1589" i="16"/>
  <c r="B1590" i="16"/>
  <c r="B1591" i="16"/>
  <c r="B1592" i="16"/>
  <c r="B1593" i="16"/>
  <c r="B1594" i="16"/>
  <c r="B1595" i="16"/>
  <c r="B1596" i="16"/>
  <c r="B1597" i="16"/>
  <c r="B1598" i="16"/>
  <c r="B1599" i="16"/>
  <c r="B1600" i="16"/>
  <c r="B1601" i="16"/>
  <c r="B1602" i="16"/>
  <c r="B1603" i="16"/>
  <c r="B1604" i="16"/>
  <c r="B1605" i="16"/>
  <c r="B1606" i="16"/>
  <c r="B1607" i="16"/>
  <c r="B1608" i="16"/>
  <c r="B1609" i="16"/>
  <c r="B1610" i="16"/>
  <c r="B1611" i="16"/>
  <c r="B1612" i="16"/>
  <c r="B1613" i="16"/>
  <c r="B1614" i="16"/>
  <c r="B1615" i="16"/>
  <c r="B1616" i="16"/>
  <c r="B1617" i="16"/>
  <c r="B1618" i="16"/>
  <c r="B1619" i="16"/>
  <c r="B1620" i="16"/>
  <c r="B1621" i="16"/>
  <c r="B1622" i="16"/>
  <c r="B1623" i="16"/>
  <c r="B1624" i="16"/>
  <c r="B1625" i="16"/>
  <c r="B1626" i="16"/>
  <c r="B1627" i="16"/>
  <c r="B1628" i="16"/>
  <c r="B1629" i="16"/>
  <c r="B1630" i="16"/>
  <c r="B1631" i="16"/>
  <c r="B1632" i="16"/>
  <c r="B1633" i="16"/>
  <c r="B1634" i="16"/>
  <c r="B1635" i="16"/>
  <c r="B1636" i="16"/>
  <c r="B1637" i="16"/>
  <c r="B1638" i="16"/>
  <c r="B1639" i="16"/>
  <c r="B1640" i="16"/>
  <c r="B1641" i="16"/>
  <c r="B1642" i="16"/>
  <c r="B1643" i="16"/>
  <c r="B1644" i="16"/>
  <c r="B1645" i="16"/>
  <c r="B1646" i="16"/>
  <c r="B1647" i="16"/>
  <c r="B1648" i="16"/>
  <c r="B1649" i="16"/>
  <c r="B1650" i="16"/>
  <c r="B1651" i="16"/>
  <c r="B1652" i="16"/>
  <c r="B1653" i="16"/>
  <c r="B1654" i="16"/>
  <c r="B1655" i="16"/>
  <c r="B1656" i="16"/>
  <c r="B1657" i="16"/>
  <c r="B1658" i="16"/>
  <c r="B1659" i="16"/>
  <c r="B1660" i="16"/>
  <c r="B1661" i="16"/>
  <c r="B1662" i="16"/>
  <c r="B1663" i="16"/>
  <c r="B1664" i="16"/>
  <c r="B1665" i="16"/>
  <c r="B1666" i="16"/>
  <c r="B1667" i="16"/>
  <c r="B1668" i="16"/>
  <c r="B1669" i="16"/>
  <c r="B1670" i="16"/>
  <c r="B1671" i="16"/>
  <c r="B1672" i="16"/>
  <c r="B1673" i="16"/>
  <c r="B1674" i="16"/>
  <c r="B1675" i="16"/>
  <c r="B1676" i="16"/>
  <c r="B1677" i="16"/>
  <c r="B1678" i="16"/>
  <c r="B1679" i="16"/>
  <c r="B1680" i="16"/>
  <c r="B1681" i="16"/>
  <c r="B1682" i="16"/>
  <c r="B1683" i="16"/>
  <c r="B1684" i="16"/>
  <c r="B1685" i="16"/>
  <c r="B1686" i="16"/>
  <c r="B1687" i="16"/>
  <c r="B1688" i="16"/>
  <c r="B1689" i="16"/>
  <c r="B1690" i="16"/>
  <c r="B1691" i="16"/>
  <c r="B1692" i="16"/>
  <c r="B1693" i="16"/>
  <c r="B1694" i="16"/>
  <c r="B1695" i="16"/>
  <c r="B1696" i="16"/>
  <c r="B1697" i="16"/>
  <c r="B1698" i="16"/>
  <c r="B1699" i="16"/>
  <c r="B1700" i="16"/>
  <c r="B1701" i="16"/>
  <c r="B1702" i="16"/>
  <c r="B1703" i="16"/>
  <c r="B1704" i="16"/>
  <c r="B1705" i="16"/>
  <c r="B1706" i="16"/>
  <c r="B1707" i="16"/>
  <c r="B1708" i="16"/>
  <c r="B1709" i="16"/>
  <c r="B1710" i="16"/>
  <c r="B1711" i="16"/>
  <c r="B1712" i="16"/>
  <c r="B1713" i="16"/>
  <c r="B1714" i="16"/>
  <c r="B1715" i="16"/>
  <c r="B1716" i="16"/>
  <c r="B1717" i="16"/>
  <c r="B1718" i="16"/>
  <c r="B1719" i="16"/>
  <c r="B1720" i="16"/>
  <c r="B1721" i="16"/>
  <c r="B1722" i="16"/>
  <c r="B1723" i="16"/>
  <c r="B1724" i="16"/>
  <c r="B1725" i="16"/>
  <c r="B1726" i="16"/>
  <c r="B1727" i="16"/>
  <c r="B1728" i="16"/>
  <c r="B1729" i="16"/>
  <c r="B1730" i="16"/>
  <c r="B1731" i="16"/>
  <c r="B1732" i="16"/>
  <c r="B1733" i="16"/>
  <c r="B1734" i="16"/>
  <c r="B1735" i="16"/>
  <c r="B1736" i="16"/>
  <c r="B1737" i="16"/>
  <c r="B1738" i="16"/>
  <c r="B1739" i="16"/>
  <c r="B1740" i="16"/>
  <c r="B1741" i="16"/>
  <c r="B1742" i="16"/>
  <c r="B1743" i="16"/>
  <c r="B1744" i="16"/>
  <c r="B1745" i="16"/>
  <c r="B1746" i="16"/>
  <c r="B1747" i="16"/>
  <c r="B1748" i="16"/>
  <c r="B1749" i="16"/>
  <c r="B1750" i="16"/>
  <c r="B1751" i="16"/>
  <c r="B1752" i="16"/>
  <c r="B1753" i="16"/>
  <c r="B1754" i="16"/>
  <c r="B1755" i="16"/>
  <c r="B1756" i="16"/>
  <c r="B1757" i="16"/>
  <c r="B1758" i="16"/>
  <c r="B1759" i="16"/>
  <c r="B1760" i="16"/>
  <c r="B1761" i="16"/>
  <c r="B1762" i="16"/>
  <c r="B1763" i="16"/>
  <c r="B1764" i="16"/>
  <c r="B1765" i="16"/>
  <c r="B1766" i="16"/>
  <c r="B1767" i="16"/>
  <c r="B1768" i="16"/>
  <c r="B1769" i="16"/>
  <c r="B1770" i="16"/>
  <c r="B1771" i="16"/>
  <c r="B1772" i="16"/>
  <c r="B1773" i="16"/>
  <c r="B1774" i="16"/>
  <c r="B1775" i="16"/>
  <c r="B1776" i="16"/>
  <c r="B1777" i="16"/>
  <c r="B1778" i="16"/>
  <c r="B1779" i="16"/>
  <c r="B1780" i="16"/>
  <c r="B1781" i="16"/>
  <c r="B1782" i="16"/>
  <c r="B1783" i="16"/>
  <c r="B1784" i="16"/>
  <c r="B1785" i="16"/>
  <c r="B1786" i="16"/>
  <c r="B1787" i="16"/>
  <c r="B1788" i="16"/>
  <c r="B1789" i="16"/>
  <c r="B1790" i="16"/>
  <c r="B1791" i="16"/>
  <c r="B1792" i="16"/>
  <c r="B1793" i="16"/>
  <c r="B1794" i="16"/>
  <c r="B1795" i="16"/>
  <c r="B1796" i="16"/>
  <c r="B1797" i="16"/>
  <c r="B1798" i="16"/>
  <c r="B1799" i="16"/>
  <c r="B1800" i="16"/>
  <c r="B1801" i="16"/>
  <c r="B1802" i="16"/>
  <c r="B1803" i="16"/>
  <c r="B1804" i="16"/>
  <c r="B1805" i="16"/>
  <c r="B1806" i="16"/>
  <c r="B1807" i="16"/>
  <c r="B1808" i="16"/>
  <c r="B1809" i="16"/>
  <c r="B1810" i="16"/>
  <c r="B1811" i="16"/>
  <c r="B1812" i="16"/>
  <c r="B1813" i="16"/>
  <c r="B1814" i="16"/>
  <c r="B1815" i="16"/>
  <c r="B1816" i="16"/>
  <c r="B1817" i="16"/>
  <c r="B1818" i="16"/>
  <c r="B1819" i="16"/>
  <c r="B1820" i="16"/>
  <c r="B1821" i="16"/>
  <c r="B1822" i="16"/>
  <c r="B1823" i="16"/>
  <c r="B1824" i="16"/>
  <c r="B1825" i="16"/>
  <c r="B1826" i="16"/>
  <c r="B1827" i="16"/>
  <c r="B1828" i="16"/>
  <c r="B1829" i="16"/>
  <c r="B1830" i="16"/>
  <c r="B1831" i="16"/>
  <c r="B1832" i="16"/>
  <c r="B1833" i="16"/>
  <c r="B1834" i="16"/>
  <c r="B1835" i="16"/>
  <c r="B1836" i="16"/>
  <c r="B1837" i="16"/>
  <c r="B1838" i="16"/>
  <c r="B1839" i="16"/>
  <c r="B1840" i="16"/>
  <c r="B1841" i="16"/>
  <c r="B1842" i="16"/>
  <c r="B1843" i="16"/>
  <c r="B1844" i="16"/>
  <c r="B1845" i="16"/>
  <c r="B1846" i="16"/>
  <c r="B1847" i="16"/>
  <c r="B1848" i="16"/>
  <c r="B1849" i="16"/>
  <c r="B1850" i="16"/>
  <c r="B1851" i="16"/>
  <c r="B1852" i="16"/>
  <c r="B1853" i="16"/>
  <c r="B1854" i="16"/>
  <c r="B1855" i="16"/>
  <c r="B1856" i="16"/>
  <c r="B1857" i="16"/>
  <c r="B1858" i="16"/>
  <c r="B1859" i="16"/>
  <c r="B1860" i="16"/>
  <c r="B1861" i="16"/>
  <c r="B1862" i="16"/>
  <c r="B1863" i="16"/>
  <c r="B1864" i="16"/>
  <c r="B1865" i="16"/>
  <c r="B1866" i="16"/>
  <c r="B1867" i="16"/>
  <c r="B1868" i="16"/>
  <c r="B1869" i="16"/>
  <c r="B1870" i="16"/>
  <c r="B1871" i="16"/>
  <c r="B1872" i="16"/>
  <c r="B1873" i="16"/>
  <c r="B1874" i="16"/>
  <c r="B1875" i="16"/>
  <c r="B1876" i="16"/>
  <c r="B1877" i="16"/>
  <c r="B1878" i="16"/>
  <c r="B1879" i="16"/>
  <c r="B1880" i="16"/>
  <c r="B1881" i="16"/>
  <c r="B1882" i="16"/>
  <c r="B1883" i="16"/>
  <c r="B1884" i="16"/>
  <c r="B1885" i="16"/>
  <c r="B1886" i="16"/>
  <c r="B1887" i="16"/>
  <c r="B1888" i="16"/>
  <c r="B1889" i="16"/>
  <c r="B1890" i="16"/>
  <c r="B1891" i="16"/>
  <c r="B1892" i="16"/>
  <c r="B1893" i="16"/>
  <c r="B1894" i="16"/>
  <c r="B1895" i="16"/>
  <c r="B1896" i="16"/>
  <c r="B1897" i="16"/>
  <c r="B1898" i="16"/>
  <c r="B1899" i="16"/>
  <c r="B1900" i="16"/>
  <c r="B1901" i="16"/>
  <c r="B1902" i="16"/>
  <c r="B1903" i="16"/>
  <c r="B1904" i="16"/>
  <c r="B1905" i="16"/>
  <c r="B1906" i="16"/>
  <c r="B1907" i="16"/>
  <c r="B1908" i="16"/>
  <c r="B1909" i="16"/>
  <c r="B1910" i="16"/>
  <c r="B1911" i="16"/>
  <c r="B1912" i="16"/>
  <c r="B1913" i="16"/>
  <c r="B1914" i="16"/>
  <c r="B1915" i="16"/>
  <c r="B1916" i="16"/>
  <c r="B1917" i="16"/>
  <c r="B1918" i="16"/>
  <c r="B1919" i="16"/>
  <c r="B1920" i="16"/>
  <c r="B1921" i="16"/>
  <c r="B1922" i="16"/>
  <c r="B1923" i="16"/>
  <c r="B1924" i="16"/>
  <c r="B1925" i="16"/>
  <c r="B1926" i="16"/>
  <c r="B1927" i="16"/>
  <c r="B1928" i="16"/>
  <c r="B1929" i="16"/>
  <c r="B1930" i="16"/>
  <c r="B1931" i="16"/>
  <c r="B1932" i="16"/>
  <c r="B1933" i="16"/>
  <c r="B1934" i="16"/>
  <c r="B1935" i="16"/>
  <c r="B1936" i="16"/>
  <c r="B1937" i="16"/>
  <c r="B1938" i="16"/>
  <c r="B1939" i="16"/>
  <c r="B1940" i="16"/>
  <c r="B1941" i="16"/>
  <c r="B1942" i="16"/>
  <c r="B1943" i="16"/>
  <c r="B1944" i="16"/>
  <c r="B1945" i="16"/>
  <c r="B1946" i="16"/>
  <c r="B1947" i="16"/>
  <c r="B1948" i="16"/>
  <c r="B1949" i="16"/>
  <c r="B1950" i="16"/>
  <c r="B1951" i="16"/>
  <c r="B1952" i="16"/>
  <c r="B1953" i="16"/>
  <c r="B1954" i="16"/>
  <c r="B1955" i="16"/>
  <c r="B1956" i="16"/>
  <c r="B1957" i="16"/>
  <c r="B1958" i="16"/>
  <c r="B1959" i="16"/>
  <c r="B1960" i="16"/>
  <c r="B1961" i="16"/>
  <c r="B1962" i="16"/>
  <c r="B1963" i="16"/>
  <c r="B1964" i="16"/>
  <c r="B1965" i="16"/>
  <c r="B1966" i="16"/>
  <c r="B1967" i="16"/>
  <c r="B1968" i="16"/>
  <c r="B1969" i="16"/>
  <c r="B1970" i="16"/>
  <c r="B1971" i="16"/>
  <c r="B1972" i="16"/>
  <c r="B1973" i="16"/>
  <c r="B1974" i="16"/>
  <c r="B1975" i="16"/>
  <c r="B1976" i="16"/>
  <c r="B1977" i="16"/>
  <c r="B1978" i="16"/>
  <c r="B1979" i="16"/>
  <c r="B1980" i="16"/>
  <c r="B1981" i="16"/>
  <c r="B1982" i="16"/>
  <c r="B1983" i="16"/>
  <c r="B1984" i="16"/>
  <c r="B1985" i="16"/>
  <c r="B1986" i="16"/>
  <c r="B1987" i="16"/>
  <c r="B1988" i="16"/>
  <c r="B1989" i="16"/>
  <c r="B1990" i="16"/>
  <c r="B1991" i="16"/>
  <c r="B1992" i="16"/>
  <c r="B1993" i="16"/>
  <c r="B1994" i="16"/>
  <c r="B1995" i="16"/>
  <c r="B1996" i="16"/>
  <c r="B1997" i="16"/>
  <c r="B1998" i="16"/>
  <c r="B1999" i="16"/>
  <c r="B2000" i="16"/>
  <c r="B2001" i="16"/>
  <c r="B2002" i="16"/>
  <c r="B2003" i="16"/>
  <c r="B2004" i="16"/>
  <c r="B2005" i="16"/>
  <c r="B2006" i="16"/>
  <c r="B2007" i="16"/>
  <c r="B2008" i="16"/>
  <c r="B2009" i="16"/>
  <c r="B2010" i="16"/>
  <c r="B2011" i="16"/>
  <c r="B2012" i="16"/>
  <c r="B2013" i="16"/>
  <c r="B2014" i="16"/>
  <c r="B2015" i="16"/>
  <c r="B2016" i="16"/>
  <c r="B2017" i="16"/>
  <c r="B2018" i="16"/>
  <c r="B2019" i="16"/>
  <c r="B2020" i="16"/>
  <c r="B2021" i="16"/>
  <c r="B2022" i="16"/>
  <c r="B2023" i="16"/>
  <c r="B2024" i="16"/>
  <c r="B2025" i="16"/>
  <c r="B2026" i="16"/>
  <c r="B2027" i="16"/>
  <c r="B2028" i="16"/>
  <c r="B2029" i="16"/>
  <c r="B2030" i="16"/>
  <c r="B2031" i="16"/>
  <c r="B2032" i="16"/>
  <c r="B2033" i="16"/>
  <c r="B2034" i="16"/>
  <c r="B2035" i="16"/>
  <c r="B2036" i="16"/>
  <c r="B2037" i="16"/>
  <c r="B2038" i="16"/>
  <c r="B2039" i="16"/>
  <c r="B2040" i="16"/>
  <c r="B2041" i="16"/>
  <c r="B2042" i="16"/>
  <c r="B2043" i="16"/>
  <c r="B2044" i="16"/>
  <c r="B2045" i="16"/>
  <c r="B2046" i="16"/>
  <c r="B2047" i="16"/>
  <c r="B2048" i="16"/>
  <c r="B2049" i="16"/>
  <c r="B2050" i="16"/>
  <c r="B2051" i="16"/>
  <c r="B2052" i="16"/>
  <c r="B2053" i="16"/>
  <c r="B2054" i="16"/>
  <c r="B2055" i="16"/>
  <c r="B2056" i="16"/>
  <c r="B2057" i="16"/>
  <c r="B2058" i="16"/>
  <c r="B2059" i="16"/>
  <c r="B2060" i="16"/>
  <c r="B2061" i="16"/>
  <c r="B2062" i="16"/>
  <c r="B2063" i="16"/>
  <c r="B2064" i="16"/>
  <c r="B2065" i="16"/>
  <c r="B2066" i="16"/>
  <c r="B2067" i="16"/>
  <c r="B2068" i="16"/>
  <c r="B2069" i="16"/>
  <c r="B2070" i="16"/>
  <c r="B2071" i="16"/>
  <c r="B2072" i="16"/>
  <c r="B2073" i="16"/>
  <c r="B2074" i="16"/>
  <c r="B2075" i="16"/>
  <c r="B2076" i="16"/>
  <c r="B2077" i="16"/>
  <c r="B2078" i="16"/>
  <c r="B2079" i="16"/>
  <c r="B2080" i="16"/>
  <c r="B2081" i="16"/>
  <c r="B2082" i="16"/>
  <c r="B2083" i="16"/>
  <c r="B2084" i="16"/>
  <c r="B2085" i="16"/>
  <c r="B2086" i="16"/>
  <c r="B2087" i="16"/>
  <c r="B2088" i="16"/>
  <c r="B2089" i="16"/>
  <c r="B2090" i="16"/>
  <c r="B2091" i="16"/>
  <c r="B2092" i="16"/>
  <c r="B2093" i="16"/>
  <c r="B2094" i="16"/>
  <c r="B2095" i="16"/>
  <c r="B2096" i="16"/>
  <c r="B2097" i="16"/>
  <c r="B2098" i="16"/>
  <c r="B2099" i="16"/>
  <c r="B2100" i="16"/>
  <c r="B2101" i="16"/>
  <c r="B2102" i="16"/>
  <c r="B2103" i="16"/>
  <c r="B2104" i="16"/>
  <c r="B2105" i="16"/>
  <c r="B2106" i="16"/>
  <c r="B2107" i="16"/>
  <c r="B2108" i="16"/>
  <c r="B2109" i="16"/>
  <c r="B2110" i="16"/>
  <c r="B2111" i="16"/>
  <c r="B2112" i="16"/>
  <c r="B2113" i="16"/>
  <c r="B2114" i="16"/>
  <c r="B2115" i="16"/>
  <c r="B2116" i="16"/>
  <c r="B2117" i="16"/>
  <c r="B2118" i="16"/>
  <c r="B2119" i="16"/>
  <c r="B2120" i="16"/>
  <c r="B2121" i="16"/>
  <c r="B2122" i="16"/>
  <c r="B2123" i="16"/>
  <c r="B2124" i="16"/>
  <c r="B2125" i="16"/>
  <c r="B2126" i="16"/>
  <c r="B2127" i="16"/>
  <c r="B2128" i="16"/>
  <c r="B2129" i="16"/>
  <c r="B2130" i="16"/>
  <c r="B2131" i="16"/>
  <c r="B2132" i="16"/>
  <c r="B2133" i="16"/>
  <c r="B2134" i="16"/>
  <c r="B2135" i="16"/>
  <c r="B2136" i="16"/>
  <c r="B2137" i="16"/>
  <c r="B2138" i="16"/>
  <c r="B2139" i="16"/>
  <c r="B2140" i="16"/>
  <c r="B2141" i="16"/>
  <c r="B2142" i="16"/>
  <c r="B2143" i="16"/>
  <c r="B2144" i="16"/>
  <c r="B2145" i="16"/>
  <c r="B2146" i="16"/>
  <c r="B2147" i="16"/>
  <c r="B2148" i="16"/>
  <c r="B2149" i="16"/>
  <c r="B2150" i="16"/>
  <c r="B2151" i="16"/>
  <c r="B2152" i="16"/>
  <c r="B2153" i="16"/>
  <c r="B2154" i="16"/>
  <c r="B2155" i="16"/>
  <c r="B2156" i="16"/>
  <c r="B2157" i="16"/>
  <c r="B2158" i="16"/>
  <c r="B2159" i="16"/>
  <c r="B2160" i="16"/>
  <c r="B2161" i="16"/>
  <c r="B2162" i="16"/>
  <c r="B2163" i="16"/>
  <c r="B2164" i="16"/>
  <c r="B2165" i="16"/>
  <c r="B2166" i="16"/>
  <c r="B2167" i="16"/>
  <c r="B2168" i="16"/>
  <c r="B2169" i="16"/>
  <c r="B2170" i="16"/>
  <c r="B2171" i="16"/>
  <c r="B2172" i="16"/>
  <c r="B2173" i="16"/>
  <c r="B2174" i="16"/>
  <c r="B2175" i="16"/>
  <c r="B2176" i="16"/>
  <c r="B2177" i="16"/>
  <c r="B2178" i="16"/>
  <c r="B2179" i="16"/>
  <c r="B2180" i="16"/>
  <c r="B2181" i="16"/>
  <c r="B2182" i="16"/>
  <c r="B2183" i="16"/>
  <c r="B2184" i="16"/>
  <c r="B2185" i="16"/>
  <c r="B2186" i="16"/>
  <c r="B2187" i="16"/>
  <c r="B2188" i="16"/>
  <c r="B2189" i="16"/>
  <c r="B2190" i="16"/>
  <c r="B2191" i="16"/>
  <c r="B2192" i="16"/>
  <c r="B2193" i="16"/>
  <c r="B2194" i="16"/>
  <c r="B2195" i="16"/>
  <c r="B2196" i="16"/>
  <c r="B2197" i="16"/>
  <c r="B2198" i="16"/>
  <c r="B2199" i="16"/>
  <c r="B2200" i="16"/>
  <c r="B2201" i="16"/>
  <c r="B2202" i="16"/>
  <c r="B2203" i="16"/>
  <c r="B2204" i="16"/>
  <c r="B2205" i="16"/>
  <c r="B2206" i="16"/>
  <c r="B2207" i="16"/>
  <c r="B2208" i="16"/>
  <c r="B2209" i="16"/>
  <c r="B2210" i="16"/>
  <c r="B2211" i="16"/>
  <c r="B2212" i="16"/>
  <c r="B2213" i="16"/>
  <c r="B2214" i="16"/>
  <c r="B2215" i="16"/>
  <c r="B2216" i="16"/>
  <c r="B2217" i="16"/>
  <c r="B2218" i="16"/>
  <c r="B2219" i="16"/>
  <c r="B2220" i="16"/>
  <c r="B2221" i="16"/>
  <c r="B2222" i="16"/>
  <c r="B2223" i="16"/>
  <c r="B2224" i="16"/>
  <c r="B2225" i="16"/>
  <c r="B2226" i="16"/>
  <c r="B2227" i="16"/>
  <c r="B2228" i="16"/>
  <c r="B2229" i="16"/>
  <c r="B2230" i="16"/>
  <c r="B2231" i="16"/>
  <c r="B2232" i="16"/>
  <c r="B2233" i="16"/>
  <c r="B2234" i="16"/>
  <c r="B2235" i="16"/>
  <c r="B2236" i="16"/>
  <c r="B2237" i="16"/>
  <c r="B2238" i="16"/>
  <c r="B2239" i="16"/>
  <c r="B2240" i="16"/>
  <c r="B2241" i="16"/>
  <c r="B2242" i="16"/>
  <c r="B2243" i="16"/>
  <c r="B2244" i="16"/>
  <c r="B2245" i="16"/>
  <c r="B2246" i="16"/>
  <c r="B2247" i="16"/>
  <c r="B2248" i="16"/>
  <c r="B2249" i="16"/>
  <c r="B2250" i="16"/>
  <c r="B2251" i="16"/>
  <c r="B2252" i="16"/>
  <c r="B2253" i="16"/>
  <c r="B2" i="16"/>
  <c r="G2256" i="16"/>
  <c r="K2256" i="16"/>
  <c r="N2256" i="16"/>
  <c r="O2256" i="16"/>
  <c r="P2256" i="16" s="1"/>
  <c r="R2256" i="16"/>
  <c r="G2255" i="16"/>
  <c r="K2255" i="16"/>
  <c r="N2255" i="16"/>
  <c r="O2255" i="16"/>
  <c r="P2255" i="16" s="1"/>
  <c r="R2255" i="16"/>
  <c r="G2254" i="16"/>
  <c r="K2254" i="16"/>
  <c r="N2254" i="16"/>
  <c r="O2254" i="16"/>
  <c r="P2254" i="16" s="1"/>
  <c r="R2254" i="16"/>
  <c r="G2253" i="16"/>
  <c r="K2253" i="16"/>
  <c r="N2253" i="16"/>
  <c r="O2253" i="16"/>
  <c r="P2253" i="16" s="1"/>
  <c r="R2253" i="16"/>
  <c r="S2306" i="16" l="1"/>
  <c r="D4" i="17"/>
  <c r="J18" i="14"/>
  <c r="J17" i="14"/>
  <c r="J13" i="14"/>
  <c r="J9" i="14"/>
  <c r="J5" i="14"/>
  <c r="D15" i="17"/>
  <c r="D11" i="17"/>
  <c r="D7" i="17"/>
  <c r="J3" i="14"/>
  <c r="J16" i="14"/>
  <c r="J12" i="14"/>
  <c r="J8" i="14"/>
  <c r="J4" i="14"/>
  <c r="D14" i="17"/>
  <c r="D10" i="17"/>
  <c r="J19" i="14"/>
  <c r="J15" i="14"/>
  <c r="J11" i="14"/>
  <c r="J7" i="14"/>
  <c r="D13" i="17"/>
  <c r="D9" i="17"/>
  <c r="D5" i="17"/>
  <c r="J14" i="14"/>
  <c r="J10" i="14"/>
  <c r="J6" i="14"/>
  <c r="D16" i="17"/>
  <c r="D8" i="17"/>
  <c r="D335" i="11"/>
  <c r="E335" i="11"/>
  <c r="F335" i="11"/>
  <c r="G335" i="11"/>
  <c r="H335" i="11"/>
  <c r="C335" i="11"/>
  <c r="D74" i="11"/>
  <c r="E74" i="11"/>
  <c r="F74" i="11"/>
  <c r="C74" i="11"/>
  <c r="H350" i="11"/>
  <c r="G350" i="11"/>
  <c r="F350" i="11"/>
  <c r="E350" i="11"/>
  <c r="D350" i="11"/>
  <c r="H349" i="11"/>
  <c r="G349" i="11"/>
  <c r="F349" i="11"/>
  <c r="E349" i="11"/>
  <c r="D349" i="11"/>
  <c r="H347" i="11"/>
  <c r="G347" i="11"/>
  <c r="F347" i="11"/>
  <c r="E347" i="11"/>
  <c r="D347" i="11"/>
  <c r="H342" i="11"/>
  <c r="G342" i="11"/>
  <c r="F342" i="11"/>
  <c r="E342" i="11"/>
  <c r="D342" i="11"/>
  <c r="H334" i="11"/>
  <c r="G334" i="11"/>
  <c r="F334" i="11"/>
  <c r="E334" i="11"/>
  <c r="D334" i="11"/>
  <c r="H333" i="11"/>
  <c r="G333" i="11"/>
  <c r="F333" i="11"/>
  <c r="E333" i="11"/>
  <c r="D333" i="11"/>
  <c r="H331" i="11"/>
  <c r="G331" i="11"/>
  <c r="F331" i="11"/>
  <c r="E331" i="11"/>
  <c r="D331" i="11"/>
  <c r="H320" i="11"/>
  <c r="G320" i="11"/>
  <c r="F320" i="11"/>
  <c r="E320" i="11"/>
  <c r="D320" i="11"/>
  <c r="H317" i="11"/>
  <c r="G317" i="11"/>
  <c r="F317" i="11"/>
  <c r="E317" i="11"/>
  <c r="D317" i="11"/>
  <c r="H312" i="11"/>
  <c r="G312" i="11"/>
  <c r="F312" i="11"/>
  <c r="E312" i="11"/>
  <c r="D312" i="11"/>
  <c r="H310" i="11"/>
  <c r="G310" i="11"/>
  <c r="F310" i="11"/>
  <c r="E310" i="11"/>
  <c r="D310" i="11"/>
  <c r="H299" i="11"/>
  <c r="G299" i="11"/>
  <c r="F299" i="11"/>
  <c r="E299" i="11"/>
  <c r="D299" i="11"/>
  <c r="H297" i="11"/>
  <c r="G297" i="11"/>
  <c r="F297" i="11"/>
  <c r="E297" i="11"/>
  <c r="D297" i="11"/>
  <c r="H294" i="11"/>
  <c r="G294" i="11"/>
  <c r="F294" i="11"/>
  <c r="E294" i="11"/>
  <c r="D294" i="11"/>
  <c r="H290" i="11"/>
  <c r="G290" i="11"/>
  <c r="F290" i="11"/>
  <c r="E290" i="11"/>
  <c r="D290" i="11"/>
  <c r="H287" i="11"/>
  <c r="G287" i="11"/>
  <c r="F287" i="11"/>
  <c r="E287" i="11"/>
  <c r="D287" i="11"/>
  <c r="H279" i="11"/>
  <c r="G279" i="11"/>
  <c r="F279" i="11"/>
  <c r="E279" i="11"/>
  <c r="D279" i="11"/>
  <c r="H263" i="11"/>
  <c r="G263" i="11"/>
  <c r="F263" i="11"/>
  <c r="E263" i="11"/>
  <c r="D263" i="11"/>
  <c r="H257" i="11"/>
  <c r="G257" i="11"/>
  <c r="F257" i="11"/>
  <c r="E257" i="11"/>
  <c r="D257" i="11"/>
  <c r="H247" i="11"/>
  <c r="G247" i="11"/>
  <c r="F247" i="11"/>
  <c r="E247" i="11"/>
  <c r="D247" i="11"/>
  <c r="H238" i="11"/>
  <c r="G238" i="11"/>
  <c r="F238" i="11"/>
  <c r="E238" i="11"/>
  <c r="D238" i="11"/>
  <c r="H226" i="11"/>
  <c r="G226" i="11"/>
  <c r="F226" i="11"/>
  <c r="E226" i="11"/>
  <c r="D226" i="11"/>
  <c r="H225" i="11"/>
  <c r="G225" i="11"/>
  <c r="F225" i="11"/>
  <c r="E225" i="11"/>
  <c r="D225" i="11"/>
  <c r="H224" i="11"/>
  <c r="G224" i="11"/>
  <c r="F224" i="11"/>
  <c r="E224" i="11"/>
  <c r="D224" i="11"/>
  <c r="H222" i="11"/>
  <c r="G222" i="11"/>
  <c r="F222" i="11"/>
  <c r="E222" i="11"/>
  <c r="D222" i="11"/>
  <c r="H221" i="11"/>
  <c r="G221" i="11"/>
  <c r="F221" i="11"/>
  <c r="E221" i="11"/>
  <c r="D221" i="11"/>
  <c r="H220" i="11"/>
  <c r="G220" i="11"/>
  <c r="F220" i="11"/>
  <c r="E220" i="11"/>
  <c r="D220" i="11"/>
  <c r="H219" i="11"/>
  <c r="G219" i="11"/>
  <c r="F219" i="11"/>
  <c r="E219" i="11"/>
  <c r="D219" i="11"/>
  <c r="H208" i="11"/>
  <c r="G208" i="11"/>
  <c r="F208" i="11"/>
  <c r="E208" i="11"/>
  <c r="D208" i="11"/>
  <c r="H201" i="11"/>
  <c r="G201" i="11"/>
  <c r="F201" i="11"/>
  <c r="E201" i="11"/>
  <c r="D201" i="11"/>
  <c r="H199" i="11"/>
  <c r="G199" i="11"/>
  <c r="F199" i="11"/>
  <c r="E199" i="11"/>
  <c r="D199" i="11"/>
  <c r="H186" i="11"/>
  <c r="G186" i="11"/>
  <c r="F186" i="11"/>
  <c r="E186" i="11"/>
  <c r="D186" i="11"/>
  <c r="H184" i="11"/>
  <c r="G184" i="11"/>
  <c r="F184" i="11"/>
  <c r="E184" i="11"/>
  <c r="D184" i="11"/>
  <c r="H179" i="11"/>
  <c r="G179" i="11"/>
  <c r="F179" i="11"/>
  <c r="E179" i="11"/>
  <c r="D179" i="11"/>
  <c r="H172" i="11"/>
  <c r="G172" i="11"/>
  <c r="F172" i="11"/>
  <c r="E172" i="11"/>
  <c r="D172" i="11"/>
  <c r="H171" i="11"/>
  <c r="G171" i="11"/>
  <c r="F171" i="11"/>
  <c r="E171" i="11"/>
  <c r="D171" i="11"/>
  <c r="H163" i="11"/>
  <c r="G163" i="11"/>
  <c r="F163" i="11"/>
  <c r="E163" i="11"/>
  <c r="D163" i="11"/>
  <c r="H157" i="11"/>
  <c r="G157" i="11"/>
  <c r="F157" i="11"/>
  <c r="E157" i="11"/>
  <c r="D157" i="11"/>
  <c r="H154" i="11"/>
  <c r="G154" i="11"/>
  <c r="F154" i="11"/>
  <c r="E154" i="11"/>
  <c r="D154" i="11"/>
  <c r="H153" i="11"/>
  <c r="G153" i="11"/>
  <c r="F153" i="11"/>
  <c r="E153" i="11"/>
  <c r="D153" i="11"/>
  <c r="H144" i="11"/>
  <c r="G144" i="11"/>
  <c r="F144" i="11"/>
  <c r="E144" i="11"/>
  <c r="D144" i="11"/>
  <c r="H135" i="11"/>
  <c r="G135" i="11"/>
  <c r="F135" i="11"/>
  <c r="E135" i="11"/>
  <c r="D135" i="11"/>
  <c r="H128" i="11"/>
  <c r="G128" i="11"/>
  <c r="F128" i="11"/>
  <c r="E128" i="11"/>
  <c r="D128" i="11"/>
  <c r="H127" i="11"/>
  <c r="G127" i="11"/>
  <c r="F127" i="11"/>
  <c r="E127" i="11"/>
  <c r="D127" i="11"/>
  <c r="H121" i="11"/>
  <c r="G121" i="11"/>
  <c r="F121" i="11"/>
  <c r="E121" i="11"/>
  <c r="D121" i="11"/>
  <c r="H116" i="11"/>
  <c r="G116" i="11"/>
  <c r="F116" i="11"/>
  <c r="E116" i="11"/>
  <c r="D116" i="11"/>
  <c r="H110" i="11"/>
  <c r="G110" i="11"/>
  <c r="F110" i="11"/>
  <c r="E110" i="11"/>
  <c r="D110" i="11"/>
  <c r="H107" i="11"/>
  <c r="G107" i="11"/>
  <c r="F107" i="11"/>
  <c r="E107" i="11"/>
  <c r="D107" i="11"/>
  <c r="H105" i="11"/>
  <c r="G105" i="11"/>
  <c r="F105" i="11"/>
  <c r="E105" i="11"/>
  <c r="D105" i="11"/>
  <c r="H104" i="11"/>
  <c r="G104" i="11"/>
  <c r="F104" i="11"/>
  <c r="E104" i="11"/>
  <c r="D104" i="11"/>
  <c r="H100" i="11"/>
  <c r="G100" i="11"/>
  <c r="F100" i="11"/>
  <c r="E100" i="11"/>
  <c r="D100" i="11"/>
  <c r="H93" i="11"/>
  <c r="G93" i="11"/>
  <c r="F93" i="11"/>
  <c r="E93" i="11"/>
  <c r="D93" i="11"/>
  <c r="H89" i="11"/>
  <c r="G89" i="11"/>
  <c r="F89" i="11"/>
  <c r="E89" i="11"/>
  <c r="D89" i="11"/>
  <c r="H83" i="11"/>
  <c r="G83" i="11"/>
  <c r="F83" i="11"/>
  <c r="E83" i="11"/>
  <c r="D83" i="11"/>
  <c r="H75" i="11"/>
  <c r="G75" i="11"/>
  <c r="F75" i="11"/>
  <c r="E75" i="11"/>
  <c r="D75" i="11"/>
  <c r="H65" i="11"/>
  <c r="G65" i="11"/>
  <c r="F65" i="11"/>
  <c r="E65" i="11"/>
  <c r="D65" i="11"/>
  <c r="H62" i="11"/>
  <c r="G62" i="11"/>
  <c r="F62" i="11"/>
  <c r="E62" i="11"/>
  <c r="D62" i="11"/>
  <c r="H60" i="11"/>
  <c r="G60" i="11"/>
  <c r="F60" i="11"/>
  <c r="E60" i="11"/>
  <c r="D60" i="11"/>
  <c r="H59" i="11"/>
  <c r="G59" i="11"/>
  <c r="F59" i="11"/>
  <c r="E59" i="11"/>
  <c r="D59" i="11"/>
  <c r="H58" i="11"/>
  <c r="G58" i="11"/>
  <c r="F58" i="11"/>
  <c r="E58" i="11"/>
  <c r="D58" i="11"/>
  <c r="H56" i="11"/>
  <c r="G56" i="11"/>
  <c r="F56" i="11"/>
  <c r="E56" i="11"/>
  <c r="D56" i="11"/>
  <c r="H55" i="11"/>
  <c r="G55" i="11"/>
  <c r="F55" i="11"/>
  <c r="E55" i="11"/>
  <c r="D55" i="11"/>
  <c r="H37" i="11"/>
  <c r="G37" i="11"/>
  <c r="F37" i="11"/>
  <c r="E37" i="11"/>
  <c r="D37" i="11"/>
  <c r="H23" i="11"/>
  <c r="G23" i="11"/>
  <c r="F23" i="11"/>
  <c r="E23" i="11"/>
  <c r="D23" i="11"/>
  <c r="H16" i="11"/>
  <c r="G16" i="11"/>
  <c r="F16" i="11"/>
  <c r="E16" i="11"/>
  <c r="D16" i="11"/>
  <c r="H13" i="11"/>
  <c r="G13" i="11"/>
  <c r="F13" i="11"/>
  <c r="E13" i="11"/>
  <c r="D13" i="11"/>
  <c r="H7" i="11"/>
  <c r="G7" i="11"/>
  <c r="F7" i="11"/>
  <c r="E7" i="11"/>
  <c r="D7" i="11"/>
  <c r="H4" i="11"/>
  <c r="G4" i="11"/>
  <c r="F4" i="11"/>
  <c r="E4" i="11"/>
  <c r="D4" i="11"/>
  <c r="C220" i="11"/>
  <c r="C350" i="11"/>
  <c r="C349" i="11"/>
  <c r="C347" i="11"/>
  <c r="C342" i="11"/>
  <c r="C334" i="11"/>
  <c r="C333" i="11"/>
  <c r="C331" i="11"/>
  <c r="C320" i="11"/>
  <c r="C317" i="11"/>
  <c r="C312" i="11"/>
  <c r="C310" i="11"/>
  <c r="C299" i="11"/>
  <c r="C297" i="11"/>
  <c r="C294" i="11"/>
  <c r="C290" i="11"/>
  <c r="C287" i="11"/>
  <c r="C279" i="11"/>
  <c r="C263" i="11"/>
  <c r="C257" i="11"/>
  <c r="C247" i="11"/>
  <c r="C238" i="11"/>
  <c r="C226" i="11"/>
  <c r="C225" i="11"/>
  <c r="C224" i="11"/>
  <c r="C222" i="11"/>
  <c r="C221" i="11"/>
  <c r="C219" i="11"/>
  <c r="C208" i="11"/>
  <c r="C201" i="11"/>
  <c r="C199" i="11"/>
  <c r="C186" i="11"/>
  <c r="C184" i="11"/>
  <c r="C179" i="11"/>
  <c r="C172" i="11"/>
  <c r="C171" i="11"/>
  <c r="C163" i="11"/>
  <c r="C157" i="11"/>
  <c r="C154" i="11"/>
  <c r="C153" i="11"/>
  <c r="C144" i="11"/>
  <c r="C135" i="11"/>
  <c r="C128" i="11"/>
  <c r="C127" i="11"/>
  <c r="C121" i="11"/>
  <c r="C116" i="11"/>
  <c r="C110" i="11"/>
  <c r="C107" i="11"/>
  <c r="C105" i="11"/>
  <c r="C104" i="11"/>
  <c r="C100" i="11"/>
  <c r="C93" i="11"/>
  <c r="C89" i="11"/>
  <c r="C83" i="11"/>
  <c r="C75" i="11"/>
  <c r="C65" i="11"/>
  <c r="C62" i="11"/>
  <c r="C60" i="11"/>
  <c r="C59" i="11"/>
  <c r="C58" i="11"/>
  <c r="C56" i="11"/>
  <c r="C55" i="11"/>
  <c r="C37" i="11"/>
  <c r="C23" i="11"/>
  <c r="C16" i="11"/>
  <c r="C15" i="11"/>
  <c r="C13" i="11"/>
  <c r="C7" i="11"/>
  <c r="C4" i="11"/>
  <c r="G2252" i="16" l="1"/>
  <c r="K2252" i="16"/>
  <c r="N2252" i="16"/>
  <c r="O2252" i="16"/>
  <c r="P2252" i="16" s="1"/>
  <c r="R2252" i="16"/>
  <c r="G2251" i="16"/>
  <c r="K2251" i="16"/>
  <c r="N2251" i="16"/>
  <c r="O2251" i="16"/>
  <c r="P2251" i="16" s="1"/>
  <c r="R2251" i="16"/>
  <c r="G2250" i="16"/>
  <c r="K2250" i="16"/>
  <c r="N2250" i="16"/>
  <c r="O2250" i="16"/>
  <c r="P2250" i="16" s="1"/>
  <c r="R2250" i="16"/>
  <c r="G2249" i="16"/>
  <c r="K2249" i="16"/>
  <c r="N2249" i="16"/>
  <c r="O2249" i="16"/>
  <c r="P2249" i="16" s="1"/>
  <c r="R2249" i="16"/>
  <c r="G2248" i="16"/>
  <c r="K2248" i="16"/>
  <c r="N2248" i="16"/>
  <c r="O2248" i="16"/>
  <c r="P2248" i="16" s="1"/>
  <c r="R2248" i="16"/>
  <c r="G2247" i="16"/>
  <c r="K2247" i="16"/>
  <c r="N2247" i="16"/>
  <c r="O2247" i="16"/>
  <c r="P2247" i="16" s="1"/>
  <c r="R2247" i="16"/>
  <c r="G2246" i="16"/>
  <c r="K2246" i="16"/>
  <c r="N2246" i="16"/>
  <c r="O2246" i="16"/>
  <c r="P2246" i="16" s="1"/>
  <c r="R2246" i="16"/>
  <c r="G2239" i="16"/>
  <c r="G2240" i="16"/>
  <c r="G2241" i="16"/>
  <c r="G2242" i="16"/>
  <c r="G2243" i="16"/>
  <c r="G2244" i="16"/>
  <c r="G2245" i="16"/>
  <c r="K2239" i="16"/>
  <c r="K2240" i="16"/>
  <c r="K2241" i="16"/>
  <c r="K2242" i="16"/>
  <c r="K2243" i="16"/>
  <c r="K2244" i="16"/>
  <c r="K2245" i="16"/>
  <c r="N2239" i="16"/>
  <c r="N2240" i="16"/>
  <c r="N2241" i="16"/>
  <c r="N2242" i="16"/>
  <c r="N2243" i="16"/>
  <c r="N2244" i="16"/>
  <c r="N2245" i="16"/>
  <c r="O2239" i="16"/>
  <c r="P2239" i="16" s="1"/>
  <c r="O2240" i="16"/>
  <c r="P2240" i="16" s="1"/>
  <c r="O2241" i="16"/>
  <c r="P2241" i="16" s="1"/>
  <c r="O2242" i="16"/>
  <c r="P2242" i="16" s="1"/>
  <c r="O2243" i="16"/>
  <c r="P2243" i="16" s="1"/>
  <c r="O2244" i="16"/>
  <c r="P2244" i="16" s="1"/>
  <c r="O2245" i="16"/>
  <c r="P2245" i="16" s="1"/>
  <c r="R2239" i="16"/>
  <c r="R2240" i="16"/>
  <c r="R2241" i="16"/>
  <c r="R2242" i="16"/>
  <c r="R2243" i="16"/>
  <c r="R2244" i="16"/>
  <c r="R2245" i="16"/>
  <c r="G2238" i="16"/>
  <c r="K2238" i="16"/>
  <c r="N2238" i="16"/>
  <c r="O2238" i="16"/>
  <c r="P2238" i="16" s="1"/>
  <c r="R2238" i="16"/>
  <c r="G2234" i="16" l="1"/>
  <c r="G2235" i="16"/>
  <c r="G2236" i="16"/>
  <c r="G2237" i="16"/>
  <c r="K2234" i="16"/>
  <c r="K2235" i="16"/>
  <c r="K2236" i="16"/>
  <c r="K2237" i="16"/>
  <c r="N2234" i="16"/>
  <c r="N2235" i="16"/>
  <c r="N2236" i="16"/>
  <c r="N2237" i="16"/>
  <c r="O2234" i="16"/>
  <c r="P2234" i="16" s="1"/>
  <c r="O2235" i="16"/>
  <c r="P2235" i="16" s="1"/>
  <c r="O2236" i="16"/>
  <c r="P2236" i="16" s="1"/>
  <c r="O2237" i="16"/>
  <c r="P2237" i="16" s="1"/>
  <c r="R2234" i="16"/>
  <c r="R2235" i="16"/>
  <c r="R2236" i="16"/>
  <c r="R2237" i="16"/>
  <c r="G2224" i="16"/>
  <c r="G2225" i="16"/>
  <c r="G2226" i="16"/>
  <c r="G2227" i="16"/>
  <c r="G2228" i="16"/>
  <c r="G2229" i="16"/>
  <c r="G2230" i="16"/>
  <c r="G2231" i="16"/>
  <c r="G2232" i="16"/>
  <c r="G2233" i="16"/>
  <c r="K2224" i="16"/>
  <c r="K2225" i="16"/>
  <c r="K2226" i="16"/>
  <c r="K2227" i="16"/>
  <c r="K2228" i="16"/>
  <c r="K2229" i="16"/>
  <c r="K2230" i="16"/>
  <c r="K2231" i="16"/>
  <c r="K2232" i="16"/>
  <c r="K2233" i="16"/>
  <c r="N2224" i="16"/>
  <c r="N2225" i="16"/>
  <c r="N2226" i="16"/>
  <c r="N2227" i="16"/>
  <c r="N2228" i="16"/>
  <c r="N2229" i="16"/>
  <c r="N2230" i="16"/>
  <c r="N2231" i="16"/>
  <c r="N2232" i="16"/>
  <c r="N2233" i="16"/>
  <c r="O2224" i="16"/>
  <c r="P2224" i="16" s="1"/>
  <c r="O2225" i="16"/>
  <c r="P2225" i="16" s="1"/>
  <c r="O2226" i="16"/>
  <c r="O2227" i="16"/>
  <c r="O2228" i="16"/>
  <c r="P2228" i="16" s="1"/>
  <c r="O2229" i="16"/>
  <c r="P2229" i="16" s="1"/>
  <c r="O2230" i="16"/>
  <c r="P2230" i="16" s="1"/>
  <c r="O2231" i="16"/>
  <c r="P2231" i="16" s="1"/>
  <c r="O2232" i="16"/>
  <c r="P2232" i="16" s="1"/>
  <c r="O2233" i="16"/>
  <c r="P2233" i="16" s="1"/>
  <c r="P2226" i="16"/>
  <c r="P2227" i="16"/>
  <c r="R2224" i="16"/>
  <c r="R2225" i="16"/>
  <c r="R2226" i="16"/>
  <c r="R2227" i="16"/>
  <c r="R2228" i="16"/>
  <c r="R2229" i="16"/>
  <c r="R2230" i="16"/>
  <c r="R2231" i="16"/>
  <c r="R2232" i="16"/>
  <c r="R2233" i="16"/>
  <c r="G2223" i="16"/>
  <c r="K2223" i="16"/>
  <c r="N2223" i="16"/>
  <c r="O2223" i="16"/>
  <c r="P2223" i="16" s="1"/>
  <c r="R2223" i="16"/>
  <c r="G2222" i="16"/>
  <c r="K2222" i="16"/>
  <c r="N2222" i="16"/>
  <c r="O2222" i="16"/>
  <c r="P2222" i="16" s="1"/>
  <c r="R2222" i="16"/>
  <c r="G2221" i="16"/>
  <c r="K2221" i="16"/>
  <c r="N2221" i="16"/>
  <c r="O2221" i="16"/>
  <c r="P2221" i="16" s="1"/>
  <c r="R2221" i="16"/>
  <c r="G2206" i="16"/>
  <c r="G2207" i="16"/>
  <c r="G2208" i="16"/>
  <c r="G2209" i="16"/>
  <c r="G2210" i="16"/>
  <c r="G2211" i="16"/>
  <c r="G2212" i="16"/>
  <c r="G2213" i="16"/>
  <c r="G2214" i="16"/>
  <c r="G2215" i="16"/>
  <c r="G2216" i="16"/>
  <c r="G2217" i="16"/>
  <c r="G2218" i="16"/>
  <c r="G2219" i="16"/>
  <c r="G2220" i="16"/>
  <c r="K2206" i="16"/>
  <c r="K2207" i="16"/>
  <c r="K2208" i="16"/>
  <c r="K2209" i="16"/>
  <c r="K2210" i="16"/>
  <c r="K2211" i="16"/>
  <c r="K2212" i="16"/>
  <c r="K2213" i="16"/>
  <c r="K2214" i="16"/>
  <c r="K2215" i="16"/>
  <c r="K2216" i="16"/>
  <c r="K2217" i="16"/>
  <c r="K2218" i="16"/>
  <c r="K2219" i="16"/>
  <c r="K2220" i="16"/>
  <c r="N2206" i="16"/>
  <c r="N2207" i="16"/>
  <c r="N2208" i="16"/>
  <c r="N2209" i="16"/>
  <c r="N2210" i="16"/>
  <c r="N2211" i="16"/>
  <c r="N2212" i="16"/>
  <c r="N2213" i="16"/>
  <c r="N2214" i="16"/>
  <c r="N2215" i="16"/>
  <c r="N2216" i="16"/>
  <c r="N2217" i="16"/>
  <c r="N2218" i="16"/>
  <c r="N2219" i="16"/>
  <c r="N2220" i="16"/>
  <c r="O2206" i="16"/>
  <c r="P2206" i="16" s="1"/>
  <c r="O2207" i="16"/>
  <c r="P2207" i="16" s="1"/>
  <c r="O2208" i="16"/>
  <c r="P2208" i="16" s="1"/>
  <c r="O2209" i="16"/>
  <c r="P2209" i="16" s="1"/>
  <c r="O2210" i="16"/>
  <c r="P2210" i="16" s="1"/>
  <c r="O2211" i="16"/>
  <c r="P2211" i="16" s="1"/>
  <c r="O2212" i="16"/>
  <c r="P2212" i="16" s="1"/>
  <c r="O2213" i="16"/>
  <c r="P2213" i="16" s="1"/>
  <c r="O2214" i="16"/>
  <c r="P2214" i="16" s="1"/>
  <c r="O2215" i="16"/>
  <c r="P2215" i="16" s="1"/>
  <c r="O2216" i="16"/>
  <c r="P2216" i="16" s="1"/>
  <c r="O2217" i="16"/>
  <c r="P2217" i="16" s="1"/>
  <c r="O2218" i="16"/>
  <c r="P2218" i="16" s="1"/>
  <c r="O2219" i="16"/>
  <c r="P2219" i="16" s="1"/>
  <c r="O2220" i="16"/>
  <c r="P2220" i="16" s="1"/>
  <c r="R2206" i="16"/>
  <c r="R2207" i="16"/>
  <c r="R2208" i="16"/>
  <c r="R2209" i="16"/>
  <c r="R2210" i="16"/>
  <c r="R2211" i="16"/>
  <c r="R2212" i="16"/>
  <c r="R2213" i="16"/>
  <c r="R2214" i="16"/>
  <c r="R2215" i="16"/>
  <c r="R2216" i="16"/>
  <c r="R2217" i="16"/>
  <c r="R2218" i="16"/>
  <c r="R2219" i="16"/>
  <c r="R2220" i="16"/>
  <c r="K2193" i="16"/>
  <c r="K2194" i="16"/>
  <c r="K2195" i="16"/>
  <c r="K2196" i="16"/>
  <c r="K2197" i="16"/>
  <c r="K2198" i="16"/>
  <c r="K2199" i="16"/>
  <c r="K2200" i="16"/>
  <c r="K2201" i="16"/>
  <c r="K2202" i="16"/>
  <c r="K2203" i="16"/>
  <c r="K2204" i="16"/>
  <c r="K2205" i="16"/>
  <c r="G2193" i="16"/>
  <c r="G2194" i="16"/>
  <c r="G2195" i="16"/>
  <c r="G2196" i="16"/>
  <c r="G2197" i="16"/>
  <c r="G2198" i="16"/>
  <c r="G2199" i="16"/>
  <c r="G2200" i="16"/>
  <c r="G2201" i="16"/>
  <c r="G2202" i="16"/>
  <c r="G2203" i="16"/>
  <c r="G2204" i="16"/>
  <c r="G2205" i="16"/>
  <c r="N2205" i="16"/>
  <c r="O2205" i="16"/>
  <c r="P2205" i="16" s="1"/>
  <c r="R2205" i="16"/>
  <c r="N2204" i="16"/>
  <c r="O2204" i="16"/>
  <c r="P2204" i="16" s="1"/>
  <c r="R2204" i="16"/>
  <c r="N2203" i="16"/>
  <c r="O2203" i="16"/>
  <c r="P2203" i="16" s="1"/>
  <c r="R2203" i="16"/>
  <c r="N2202" i="16"/>
  <c r="O2202" i="16"/>
  <c r="P2202" i="16" s="1"/>
  <c r="R2202" i="16"/>
  <c r="N2201" i="16"/>
  <c r="O2201" i="16"/>
  <c r="P2201" i="16" s="1"/>
  <c r="R2201" i="16"/>
  <c r="N2200" i="16"/>
  <c r="O2200" i="16"/>
  <c r="P2200" i="16" s="1"/>
  <c r="R2200" i="16"/>
  <c r="N2199" i="16"/>
  <c r="O2199" i="16"/>
  <c r="P2199" i="16" s="1"/>
  <c r="R2199" i="16"/>
  <c r="N2198" i="16"/>
  <c r="O2198" i="16"/>
  <c r="P2198" i="16" s="1"/>
  <c r="R2198" i="16"/>
  <c r="N2197" i="16"/>
  <c r="O2197" i="16"/>
  <c r="P2197" i="16" s="1"/>
  <c r="R2197" i="16"/>
  <c r="N2196" i="16"/>
  <c r="O2196" i="16"/>
  <c r="P2196" i="16" s="1"/>
  <c r="R2196" i="16"/>
  <c r="N2195" i="16"/>
  <c r="O2195" i="16"/>
  <c r="P2195" i="16" s="1"/>
  <c r="R2195" i="16"/>
  <c r="N2194" i="16"/>
  <c r="O2194" i="16"/>
  <c r="P2194" i="16" s="1"/>
  <c r="R2194" i="16"/>
  <c r="N2193" i="16"/>
  <c r="O2193" i="16"/>
  <c r="P2193" i="16" s="1"/>
  <c r="R2193" i="16"/>
  <c r="G2192" i="16" l="1"/>
  <c r="K2192" i="16"/>
  <c r="N2192" i="16"/>
  <c r="O2192" i="16"/>
  <c r="P2192" i="16" s="1"/>
  <c r="R2192" i="16"/>
  <c r="G2191" i="16" l="1"/>
  <c r="K2191" i="16"/>
  <c r="N2191" i="16"/>
  <c r="O2191" i="16"/>
  <c r="P2191" i="16" s="1"/>
  <c r="R2191" i="16"/>
  <c r="V16" i="9"/>
  <c r="AT4" i="14" l="1"/>
  <c r="I4" i="14" s="1"/>
  <c r="AT5" i="14"/>
  <c r="I5" i="14" s="1"/>
  <c r="AT6" i="14"/>
  <c r="I6" i="14" s="1"/>
  <c r="AT7" i="14"/>
  <c r="I7" i="14" s="1"/>
  <c r="AT8" i="14"/>
  <c r="I8" i="14" s="1"/>
  <c r="AT9" i="14"/>
  <c r="I9" i="14" s="1"/>
  <c r="AT10" i="14"/>
  <c r="I10" i="14" s="1"/>
  <c r="AT11" i="14"/>
  <c r="I11" i="14" s="1"/>
  <c r="AT12" i="14"/>
  <c r="I12" i="14" s="1"/>
  <c r="AT13" i="14"/>
  <c r="I13" i="14" s="1"/>
  <c r="AT14" i="14"/>
  <c r="I14" i="14" s="1"/>
  <c r="AT15" i="14"/>
  <c r="I15" i="14" s="1"/>
  <c r="AT16" i="14"/>
  <c r="I16" i="14" s="1"/>
  <c r="AT17" i="14"/>
  <c r="I17" i="14" s="1"/>
  <c r="AT18" i="14"/>
  <c r="I18" i="14" s="1"/>
  <c r="AT19" i="14"/>
  <c r="I19" i="14" s="1"/>
  <c r="AT20" i="14"/>
  <c r="I20" i="14" s="1"/>
  <c r="AT21" i="14"/>
  <c r="I21" i="14" s="1"/>
  <c r="AT22" i="14"/>
  <c r="I22" i="14" s="1"/>
  <c r="AT23" i="14"/>
  <c r="I23" i="14" s="1"/>
  <c r="AT24" i="14"/>
  <c r="I24" i="14" s="1"/>
  <c r="AT25" i="14"/>
  <c r="I25" i="14" s="1"/>
  <c r="AT26" i="14"/>
  <c r="I26" i="14" s="1"/>
  <c r="AT27" i="14"/>
  <c r="I27" i="14" s="1"/>
  <c r="AT28" i="14"/>
  <c r="I28" i="14" s="1"/>
  <c r="AT29" i="14"/>
  <c r="I29" i="14" s="1"/>
  <c r="AT30" i="14"/>
  <c r="I30" i="14" s="1"/>
  <c r="AT31" i="14"/>
  <c r="I31" i="14" s="1"/>
  <c r="AT32" i="14"/>
  <c r="I32" i="14" s="1"/>
  <c r="AT33" i="14"/>
  <c r="I33" i="14" s="1"/>
  <c r="AT34" i="14"/>
  <c r="I34" i="14" s="1"/>
  <c r="AT35" i="14"/>
  <c r="I35" i="14" s="1"/>
  <c r="AT36" i="14"/>
  <c r="I36" i="14" s="1"/>
  <c r="AT37" i="14"/>
  <c r="I37" i="14" s="1"/>
  <c r="AT38" i="14"/>
  <c r="I38" i="14" s="1"/>
  <c r="AT39" i="14"/>
  <c r="I39" i="14" s="1"/>
  <c r="AT40" i="14"/>
  <c r="I40" i="14" s="1"/>
  <c r="AT41" i="14"/>
  <c r="I41" i="14" s="1"/>
  <c r="AT42" i="14"/>
  <c r="I42" i="14" s="1"/>
  <c r="AT43" i="14"/>
  <c r="I43" i="14" s="1"/>
  <c r="AT44" i="14"/>
  <c r="I44" i="14" s="1"/>
  <c r="AT45" i="14"/>
  <c r="I45" i="14" s="1"/>
  <c r="AT46" i="14"/>
  <c r="I46" i="14" s="1"/>
  <c r="AT47" i="14"/>
  <c r="I47" i="14" s="1"/>
  <c r="AT48" i="14"/>
  <c r="I48" i="14" s="1"/>
  <c r="AT49" i="14"/>
  <c r="I49" i="14" s="1"/>
  <c r="AT50" i="14"/>
  <c r="I50" i="14" s="1"/>
  <c r="AT51" i="14"/>
  <c r="I51" i="14" s="1"/>
  <c r="AT52" i="14"/>
  <c r="I52" i="14" s="1"/>
  <c r="AT53" i="14"/>
  <c r="I53" i="14" s="1"/>
  <c r="AT54" i="14"/>
  <c r="I54" i="14" s="1"/>
  <c r="AT55" i="14"/>
  <c r="I55" i="14" s="1"/>
  <c r="AT56" i="14"/>
  <c r="I56" i="14" s="1"/>
  <c r="AT57" i="14"/>
  <c r="I57" i="14" s="1"/>
  <c r="AT58" i="14"/>
  <c r="I58" i="14" s="1"/>
  <c r="AT59" i="14"/>
  <c r="I59" i="14" s="1"/>
  <c r="AT60" i="14"/>
  <c r="I60" i="14" s="1"/>
  <c r="AT61" i="14"/>
  <c r="I61" i="14" s="1"/>
  <c r="AT62" i="14"/>
  <c r="I62" i="14" s="1"/>
  <c r="AT63" i="14"/>
  <c r="I63" i="14" s="1"/>
  <c r="AT64" i="14"/>
  <c r="I64" i="14" s="1"/>
  <c r="AT65" i="14"/>
  <c r="I65" i="14" s="1"/>
  <c r="AT66" i="14"/>
  <c r="I66" i="14" s="1"/>
  <c r="AT67" i="14"/>
  <c r="I67" i="14" s="1"/>
  <c r="AT68" i="14"/>
  <c r="I68" i="14" s="1"/>
  <c r="AT69" i="14"/>
  <c r="I69" i="14" s="1"/>
  <c r="AT70" i="14"/>
  <c r="I70" i="14" s="1"/>
  <c r="AT71" i="14"/>
  <c r="I71" i="14" s="1"/>
  <c r="AT72" i="14"/>
  <c r="I72" i="14" s="1"/>
  <c r="AT73" i="14"/>
  <c r="I73" i="14" s="1"/>
  <c r="AT74" i="14"/>
  <c r="I74" i="14" s="1"/>
  <c r="AT75" i="14"/>
  <c r="I75" i="14" s="1"/>
  <c r="AT76" i="14"/>
  <c r="I76" i="14" s="1"/>
  <c r="AT77" i="14"/>
  <c r="I77" i="14" s="1"/>
  <c r="AT78" i="14"/>
  <c r="I78" i="14" s="1"/>
  <c r="AT79" i="14"/>
  <c r="I79" i="14" s="1"/>
  <c r="AT80" i="14"/>
  <c r="I80" i="14" s="1"/>
  <c r="AT81" i="14"/>
  <c r="I81" i="14" s="1"/>
  <c r="AT82" i="14"/>
  <c r="I82" i="14" s="1"/>
  <c r="AT83" i="14"/>
  <c r="I83" i="14" s="1"/>
  <c r="AT84" i="14"/>
  <c r="I84" i="14" s="1"/>
  <c r="AT85" i="14"/>
  <c r="I85" i="14" s="1"/>
  <c r="AT86" i="14"/>
  <c r="I86" i="14" s="1"/>
  <c r="AT87" i="14"/>
  <c r="I87" i="14" s="1"/>
  <c r="AT88" i="14"/>
  <c r="I88" i="14" s="1"/>
  <c r="AT89" i="14"/>
  <c r="I89" i="14" s="1"/>
  <c r="AT90" i="14"/>
  <c r="I90" i="14" s="1"/>
  <c r="AT91" i="14"/>
  <c r="I91" i="14" s="1"/>
  <c r="AT92" i="14"/>
  <c r="I92" i="14" s="1"/>
  <c r="AT93" i="14"/>
  <c r="I93" i="14" s="1"/>
  <c r="AT94" i="14"/>
  <c r="I94" i="14" s="1"/>
  <c r="AT95" i="14"/>
  <c r="I95" i="14" s="1"/>
  <c r="AT96" i="14"/>
  <c r="I96" i="14" s="1"/>
  <c r="AT97" i="14"/>
  <c r="I97" i="14" s="1"/>
  <c r="AT98" i="14"/>
  <c r="I98" i="14" s="1"/>
  <c r="AT99" i="14"/>
  <c r="I99" i="14" s="1"/>
  <c r="AT100" i="14"/>
  <c r="I100" i="14" s="1"/>
  <c r="AT101" i="14"/>
  <c r="I101" i="14" s="1"/>
  <c r="AT102" i="14"/>
  <c r="I102" i="14" s="1"/>
  <c r="AT103" i="14"/>
  <c r="I103" i="14" s="1"/>
  <c r="AT104" i="14"/>
  <c r="I104" i="14" s="1"/>
  <c r="AT105" i="14"/>
  <c r="I105" i="14" s="1"/>
  <c r="AT106" i="14"/>
  <c r="I106" i="14" s="1"/>
  <c r="AT107" i="14"/>
  <c r="I107" i="14" s="1"/>
  <c r="AT108" i="14"/>
  <c r="I108" i="14" s="1"/>
  <c r="AT109" i="14"/>
  <c r="I109" i="14" s="1"/>
  <c r="AT110" i="14"/>
  <c r="I110" i="14" s="1"/>
  <c r="AT111" i="14"/>
  <c r="I111" i="14" s="1"/>
  <c r="AT112" i="14"/>
  <c r="I112" i="14" s="1"/>
  <c r="AT113" i="14"/>
  <c r="I113" i="14" s="1"/>
  <c r="AT114" i="14"/>
  <c r="I114" i="14" s="1"/>
  <c r="AT115" i="14"/>
  <c r="I115" i="14" s="1"/>
  <c r="AT116" i="14"/>
  <c r="I116" i="14" s="1"/>
  <c r="AT117" i="14"/>
  <c r="I117" i="14" s="1"/>
  <c r="AT118" i="14"/>
  <c r="I118" i="14" s="1"/>
  <c r="AT119" i="14"/>
  <c r="I119" i="14" s="1"/>
  <c r="AT120" i="14"/>
  <c r="I120" i="14" s="1"/>
  <c r="AT121" i="14"/>
  <c r="I121" i="14" s="1"/>
  <c r="AT122" i="14"/>
  <c r="I122" i="14" s="1"/>
  <c r="AT123" i="14"/>
  <c r="I123" i="14" s="1"/>
  <c r="AT124" i="14"/>
  <c r="I124" i="14" s="1"/>
  <c r="AT125" i="14"/>
  <c r="I125" i="14" s="1"/>
  <c r="AT126" i="14"/>
  <c r="I126" i="14" s="1"/>
  <c r="AT127" i="14"/>
  <c r="I127" i="14" s="1"/>
  <c r="AT128" i="14"/>
  <c r="I128" i="14" s="1"/>
  <c r="AT129" i="14"/>
  <c r="I129" i="14" s="1"/>
  <c r="AT130" i="14"/>
  <c r="I130" i="14" s="1"/>
  <c r="AT131" i="14"/>
  <c r="I131" i="14" s="1"/>
  <c r="AT132" i="14"/>
  <c r="I132" i="14" s="1"/>
  <c r="AT133" i="14"/>
  <c r="I133" i="14" s="1"/>
  <c r="AT134" i="14"/>
  <c r="I134" i="14" s="1"/>
  <c r="AT135" i="14"/>
  <c r="I135" i="14" s="1"/>
  <c r="AT136" i="14"/>
  <c r="I136" i="14" s="1"/>
  <c r="AT137" i="14"/>
  <c r="I137" i="14" s="1"/>
  <c r="AT138" i="14"/>
  <c r="I138" i="14" s="1"/>
  <c r="AT139" i="14"/>
  <c r="I139" i="14" s="1"/>
  <c r="AT140" i="14"/>
  <c r="I140" i="14" s="1"/>
  <c r="AT141" i="14"/>
  <c r="I141" i="14" s="1"/>
  <c r="AT142" i="14"/>
  <c r="I142" i="14" s="1"/>
  <c r="AT143" i="14"/>
  <c r="I143" i="14" s="1"/>
  <c r="AT144" i="14"/>
  <c r="I144" i="14" s="1"/>
  <c r="AT145" i="14"/>
  <c r="I145" i="14" s="1"/>
  <c r="AT146" i="14"/>
  <c r="I146" i="14" s="1"/>
  <c r="AT147" i="14"/>
  <c r="I147" i="14" s="1"/>
  <c r="AT148" i="14"/>
  <c r="I148" i="14" s="1"/>
  <c r="AT149" i="14"/>
  <c r="I149" i="14" s="1"/>
  <c r="AT150" i="14"/>
  <c r="I150" i="14" s="1"/>
  <c r="AT151" i="14"/>
  <c r="I151" i="14" s="1"/>
  <c r="AT152" i="14"/>
  <c r="I152" i="14" s="1"/>
  <c r="AT153" i="14"/>
  <c r="I153" i="14" s="1"/>
  <c r="AT154" i="14"/>
  <c r="I154" i="14" s="1"/>
  <c r="AT155" i="14"/>
  <c r="I155" i="14" s="1"/>
  <c r="AT156" i="14"/>
  <c r="I156" i="14" s="1"/>
  <c r="AT157" i="14"/>
  <c r="I157" i="14" s="1"/>
  <c r="AT158" i="14"/>
  <c r="I158" i="14" s="1"/>
  <c r="AT159" i="14"/>
  <c r="I159" i="14" s="1"/>
  <c r="AT160" i="14"/>
  <c r="I160" i="14" s="1"/>
  <c r="AT161" i="14"/>
  <c r="I161" i="14" s="1"/>
  <c r="AT162" i="14"/>
  <c r="I162" i="14" s="1"/>
  <c r="AT163" i="14"/>
  <c r="I163" i="14" s="1"/>
  <c r="AT164" i="14"/>
  <c r="I164" i="14" s="1"/>
  <c r="AT165" i="14"/>
  <c r="I165" i="14" s="1"/>
  <c r="AT166" i="14"/>
  <c r="I166" i="14" s="1"/>
  <c r="AT167" i="14"/>
  <c r="I167" i="14" s="1"/>
  <c r="AT168" i="14"/>
  <c r="I168" i="14" s="1"/>
  <c r="AT169" i="14"/>
  <c r="I169" i="14" s="1"/>
  <c r="AT170" i="14"/>
  <c r="I170" i="14" s="1"/>
  <c r="AT171" i="14"/>
  <c r="I171" i="14" s="1"/>
  <c r="AT172" i="14"/>
  <c r="I172" i="14" s="1"/>
  <c r="AT173" i="14"/>
  <c r="I173" i="14" s="1"/>
  <c r="AT174" i="14"/>
  <c r="I174" i="14" s="1"/>
  <c r="AT175" i="14"/>
  <c r="I175" i="14" s="1"/>
  <c r="AT176" i="14"/>
  <c r="I176" i="14" s="1"/>
  <c r="AT177" i="14"/>
  <c r="I177" i="14" s="1"/>
  <c r="AT178" i="14"/>
  <c r="I178" i="14" s="1"/>
  <c r="AT179" i="14"/>
  <c r="I179" i="14" s="1"/>
  <c r="AT180" i="14"/>
  <c r="I180" i="14" s="1"/>
  <c r="AT181" i="14"/>
  <c r="I181" i="14" s="1"/>
  <c r="AT182" i="14"/>
  <c r="I182" i="14" s="1"/>
  <c r="AT183" i="14"/>
  <c r="I183" i="14" s="1"/>
  <c r="AT184" i="14"/>
  <c r="I184" i="14" s="1"/>
  <c r="AT185" i="14"/>
  <c r="I185" i="14" s="1"/>
  <c r="AT186" i="14"/>
  <c r="I186" i="14" s="1"/>
  <c r="AT187" i="14"/>
  <c r="I187" i="14" s="1"/>
  <c r="AT188" i="14"/>
  <c r="I188" i="14" s="1"/>
  <c r="AT189" i="14"/>
  <c r="I189" i="14" s="1"/>
  <c r="AT190" i="14"/>
  <c r="I190" i="14" s="1"/>
  <c r="AT191" i="14"/>
  <c r="I191" i="14" s="1"/>
  <c r="AT192" i="14"/>
  <c r="I192" i="14" s="1"/>
  <c r="AT193" i="14"/>
  <c r="I193" i="14" s="1"/>
  <c r="AT194" i="14"/>
  <c r="I194" i="14" s="1"/>
  <c r="AT195" i="14"/>
  <c r="I195" i="14" s="1"/>
  <c r="AT196" i="14"/>
  <c r="I196" i="14" s="1"/>
  <c r="AT197" i="14"/>
  <c r="I197" i="14" s="1"/>
  <c r="AT198" i="14"/>
  <c r="I198" i="14" s="1"/>
  <c r="AT199" i="14"/>
  <c r="I199" i="14" s="1"/>
  <c r="AT200" i="14"/>
  <c r="I200" i="14" s="1"/>
  <c r="AT201" i="14"/>
  <c r="I201" i="14" s="1"/>
  <c r="AT202" i="14"/>
  <c r="I202" i="14" s="1"/>
  <c r="AT203" i="14"/>
  <c r="I203" i="14" s="1"/>
  <c r="AT204" i="14"/>
  <c r="I204" i="14" s="1"/>
  <c r="AT205" i="14"/>
  <c r="I205" i="14" s="1"/>
  <c r="AT206" i="14"/>
  <c r="I206" i="14" s="1"/>
  <c r="AT207" i="14"/>
  <c r="I207" i="14" s="1"/>
  <c r="AT208" i="14"/>
  <c r="I208" i="14" s="1"/>
  <c r="AT209" i="14"/>
  <c r="I209" i="14" s="1"/>
  <c r="AT210" i="14"/>
  <c r="I210" i="14" s="1"/>
  <c r="AT211" i="14"/>
  <c r="I211" i="14" s="1"/>
  <c r="AT212" i="14"/>
  <c r="I212" i="14" s="1"/>
  <c r="AT213" i="14"/>
  <c r="I213" i="14" s="1"/>
  <c r="AT214" i="14"/>
  <c r="I214" i="14" s="1"/>
  <c r="AT215" i="14"/>
  <c r="I215" i="14" s="1"/>
  <c r="AT216" i="14"/>
  <c r="I216" i="14" s="1"/>
  <c r="AT217" i="14"/>
  <c r="I217" i="14" s="1"/>
  <c r="AT218" i="14"/>
  <c r="I218" i="14" s="1"/>
  <c r="AT219" i="14"/>
  <c r="I219" i="14" s="1"/>
  <c r="AT220" i="14"/>
  <c r="I220" i="14" s="1"/>
  <c r="AT221" i="14"/>
  <c r="I221" i="14" s="1"/>
  <c r="AT222" i="14"/>
  <c r="I222" i="14" s="1"/>
  <c r="AT223" i="14"/>
  <c r="I223" i="14" s="1"/>
  <c r="AT224" i="14"/>
  <c r="I224" i="14" s="1"/>
  <c r="AT225" i="14"/>
  <c r="I225" i="14" s="1"/>
  <c r="AT226" i="14"/>
  <c r="I226" i="14" s="1"/>
  <c r="AT227" i="14"/>
  <c r="I227" i="14" s="1"/>
  <c r="AT228" i="14"/>
  <c r="I228" i="14" s="1"/>
  <c r="AT229" i="14"/>
  <c r="I229" i="14" s="1"/>
  <c r="AT230" i="14"/>
  <c r="I230" i="14" s="1"/>
  <c r="AT231" i="14"/>
  <c r="I231" i="14" s="1"/>
  <c r="AT232" i="14"/>
  <c r="I232" i="14" s="1"/>
  <c r="AT233" i="14"/>
  <c r="I233" i="14" s="1"/>
  <c r="AT234" i="14"/>
  <c r="I234" i="14" s="1"/>
  <c r="AT235" i="14"/>
  <c r="I235" i="14" s="1"/>
  <c r="AT236" i="14"/>
  <c r="I236" i="14" s="1"/>
  <c r="AT237" i="14"/>
  <c r="I237" i="14" s="1"/>
  <c r="AT238" i="14"/>
  <c r="I238" i="14" s="1"/>
  <c r="AT239" i="14"/>
  <c r="I239" i="14" s="1"/>
  <c r="AT240" i="14"/>
  <c r="I240" i="14" s="1"/>
  <c r="AT241" i="14"/>
  <c r="I241" i="14" s="1"/>
  <c r="AT242" i="14"/>
  <c r="I242" i="14" s="1"/>
  <c r="AT243" i="14"/>
  <c r="I243" i="14" s="1"/>
  <c r="AT244" i="14"/>
  <c r="I244" i="14" s="1"/>
  <c r="AT245" i="14"/>
  <c r="I245" i="14" s="1"/>
  <c r="AT246" i="14"/>
  <c r="I246" i="14" s="1"/>
  <c r="AT247" i="14"/>
  <c r="I247" i="14" s="1"/>
  <c r="AT248" i="14"/>
  <c r="I248" i="14" s="1"/>
  <c r="AT249" i="14"/>
  <c r="I249" i="14" s="1"/>
  <c r="AT250" i="14"/>
  <c r="I250" i="14" s="1"/>
  <c r="AT251" i="14"/>
  <c r="I251" i="14" s="1"/>
  <c r="AT252" i="14"/>
  <c r="I252" i="14" s="1"/>
  <c r="AT253" i="14"/>
  <c r="I253" i="14" s="1"/>
  <c r="AT254" i="14"/>
  <c r="I254" i="14" s="1"/>
  <c r="AT255" i="14"/>
  <c r="I255" i="14" s="1"/>
  <c r="AT256" i="14"/>
  <c r="I256" i="14" s="1"/>
  <c r="AT257" i="14"/>
  <c r="I257" i="14" s="1"/>
  <c r="AT258" i="14"/>
  <c r="I258" i="14" s="1"/>
  <c r="AT259" i="14"/>
  <c r="I259" i="14" s="1"/>
  <c r="AT260" i="14"/>
  <c r="I260" i="14" s="1"/>
  <c r="AT261" i="14"/>
  <c r="I261" i="14" s="1"/>
  <c r="AT262" i="14"/>
  <c r="I262" i="14" s="1"/>
  <c r="AT263" i="14"/>
  <c r="I263" i="14" s="1"/>
  <c r="AT264" i="14"/>
  <c r="I264" i="14" s="1"/>
  <c r="AT265" i="14"/>
  <c r="I265" i="14" s="1"/>
  <c r="AT266" i="14"/>
  <c r="I266" i="14" s="1"/>
  <c r="AT267" i="14"/>
  <c r="I267" i="14" s="1"/>
  <c r="AT268" i="14"/>
  <c r="I268" i="14" s="1"/>
  <c r="AT269" i="14"/>
  <c r="I269" i="14" s="1"/>
  <c r="AT270" i="14"/>
  <c r="I270" i="14" s="1"/>
  <c r="AT271" i="14"/>
  <c r="I271" i="14" s="1"/>
  <c r="AT272" i="14"/>
  <c r="I272" i="14" s="1"/>
  <c r="AT273" i="14"/>
  <c r="I273" i="14" s="1"/>
  <c r="AT274" i="14"/>
  <c r="I274" i="14" s="1"/>
  <c r="AT275" i="14"/>
  <c r="I275" i="14" s="1"/>
  <c r="AT276" i="14"/>
  <c r="I276" i="14" s="1"/>
  <c r="AT277" i="14"/>
  <c r="I277" i="14" s="1"/>
  <c r="AT278" i="14"/>
  <c r="I278" i="14" s="1"/>
  <c r="AT279" i="14"/>
  <c r="I279" i="14" s="1"/>
  <c r="AT280" i="14"/>
  <c r="I280" i="14" s="1"/>
  <c r="AT281" i="14"/>
  <c r="I281" i="14" s="1"/>
  <c r="AT282" i="14"/>
  <c r="I282" i="14" s="1"/>
  <c r="AT283" i="14"/>
  <c r="I283" i="14" s="1"/>
  <c r="AT284" i="14"/>
  <c r="I284" i="14" s="1"/>
  <c r="AT285" i="14"/>
  <c r="I285" i="14" s="1"/>
  <c r="AT286" i="14"/>
  <c r="I286" i="14" s="1"/>
  <c r="AT287" i="14"/>
  <c r="I287" i="14" s="1"/>
  <c r="AT288" i="14"/>
  <c r="I288" i="14" s="1"/>
  <c r="AT289" i="14"/>
  <c r="I289" i="14" s="1"/>
  <c r="AT290" i="14"/>
  <c r="I290" i="14" s="1"/>
  <c r="AT291" i="14"/>
  <c r="I291" i="14" s="1"/>
  <c r="AT292" i="14"/>
  <c r="I292" i="14" s="1"/>
  <c r="AT293" i="14"/>
  <c r="I293" i="14" s="1"/>
  <c r="AT294" i="14"/>
  <c r="I294" i="14" s="1"/>
  <c r="AT295" i="14"/>
  <c r="I295" i="14" s="1"/>
  <c r="AT296" i="14"/>
  <c r="I296" i="14" s="1"/>
  <c r="AT297" i="14"/>
  <c r="I297" i="14" s="1"/>
  <c r="AT298" i="14"/>
  <c r="I298" i="14" s="1"/>
  <c r="AT299" i="14"/>
  <c r="I299" i="14" s="1"/>
  <c r="AT300" i="14"/>
  <c r="I300" i="14" s="1"/>
  <c r="AT301" i="14"/>
  <c r="I301" i="14" s="1"/>
  <c r="AT302" i="14"/>
  <c r="I302" i="14" s="1"/>
  <c r="AT303" i="14"/>
  <c r="I303" i="14" s="1"/>
  <c r="AT304" i="14"/>
  <c r="I304" i="14" s="1"/>
  <c r="AT305" i="14"/>
  <c r="I305" i="14" s="1"/>
  <c r="AT306" i="14"/>
  <c r="I306" i="14" s="1"/>
  <c r="AT307" i="14"/>
  <c r="I307" i="14" s="1"/>
  <c r="AT308" i="14"/>
  <c r="I308" i="14" s="1"/>
  <c r="AT309" i="14"/>
  <c r="I309" i="14" s="1"/>
  <c r="AT310" i="14"/>
  <c r="I310" i="14" s="1"/>
  <c r="AT311" i="14"/>
  <c r="I311" i="14" s="1"/>
  <c r="AT312" i="14"/>
  <c r="I312" i="14" s="1"/>
  <c r="AT313" i="14"/>
  <c r="I313" i="14" s="1"/>
  <c r="AT314" i="14"/>
  <c r="I314" i="14" s="1"/>
  <c r="AT315" i="14"/>
  <c r="I315" i="14" s="1"/>
  <c r="AT316" i="14"/>
  <c r="I316" i="14" s="1"/>
  <c r="AT317" i="14"/>
  <c r="I317" i="14" s="1"/>
  <c r="AT318" i="14"/>
  <c r="I318" i="14" s="1"/>
  <c r="AT319" i="14"/>
  <c r="I319" i="14" s="1"/>
  <c r="AT320" i="14"/>
  <c r="I320" i="14" s="1"/>
  <c r="AT321" i="14"/>
  <c r="I321" i="14" s="1"/>
  <c r="AT322" i="14"/>
  <c r="I322" i="14" s="1"/>
  <c r="AT323" i="14"/>
  <c r="I323" i="14" s="1"/>
  <c r="AT324" i="14"/>
  <c r="I324" i="14" s="1"/>
  <c r="AT325" i="14"/>
  <c r="I325" i="14" s="1"/>
  <c r="AT326" i="14"/>
  <c r="I326" i="14" s="1"/>
  <c r="AT327" i="14"/>
  <c r="I327" i="14" s="1"/>
  <c r="AT328" i="14"/>
  <c r="I328" i="14" s="1"/>
  <c r="AT329" i="14"/>
  <c r="I329" i="14" s="1"/>
  <c r="AT330" i="14"/>
  <c r="I330" i="14" s="1"/>
  <c r="AT331" i="14"/>
  <c r="I331" i="14" s="1"/>
  <c r="AT332" i="14"/>
  <c r="I332" i="14" s="1"/>
  <c r="AT333" i="14"/>
  <c r="I333" i="14" s="1"/>
  <c r="AT334" i="14"/>
  <c r="I334" i="14" s="1"/>
  <c r="AT335" i="14"/>
  <c r="I335" i="14" s="1"/>
  <c r="AT336" i="14"/>
  <c r="I336" i="14" s="1"/>
  <c r="AT337" i="14"/>
  <c r="I337" i="14" s="1"/>
  <c r="AT338" i="14"/>
  <c r="I338" i="14" s="1"/>
  <c r="AT339" i="14"/>
  <c r="I339" i="14" s="1"/>
  <c r="AT340" i="14"/>
  <c r="I340" i="14" s="1"/>
  <c r="AT341" i="14"/>
  <c r="I341" i="14" s="1"/>
  <c r="AT342" i="14"/>
  <c r="I342" i="14" s="1"/>
  <c r="AT343" i="14"/>
  <c r="I343" i="14" s="1"/>
  <c r="AT344" i="14"/>
  <c r="I344" i="14" s="1"/>
  <c r="AT345" i="14"/>
  <c r="I345" i="14" s="1"/>
  <c r="AT346" i="14"/>
  <c r="I346" i="14" s="1"/>
  <c r="AT347" i="14"/>
  <c r="I347" i="14" s="1"/>
  <c r="AT348" i="14"/>
  <c r="I348" i="14" s="1"/>
  <c r="AT349" i="14"/>
  <c r="I349" i="14" s="1"/>
  <c r="AT350" i="14"/>
  <c r="I350" i="14" s="1"/>
  <c r="AT351" i="14"/>
  <c r="I351" i="14" s="1"/>
  <c r="AT352" i="14"/>
  <c r="I352" i="14" s="1"/>
  <c r="AT353" i="14"/>
  <c r="I353" i="14" s="1"/>
  <c r="AT354" i="14"/>
  <c r="I354" i="14" s="1"/>
  <c r="AT355" i="14"/>
  <c r="I355" i="14" s="1"/>
  <c r="C297" i="14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4" i="14"/>
  <c r="D4" i="14"/>
  <c r="E4" i="14"/>
  <c r="F4" i="14"/>
  <c r="G4" i="14"/>
  <c r="H4" i="14"/>
  <c r="C5" i="14"/>
  <c r="D5" i="14"/>
  <c r="E5" i="14"/>
  <c r="F5" i="14"/>
  <c r="G5" i="14"/>
  <c r="H5" i="14"/>
  <c r="C6" i="14"/>
  <c r="D6" i="14"/>
  <c r="E6" i="14"/>
  <c r="F6" i="14"/>
  <c r="G6" i="14"/>
  <c r="H6" i="14"/>
  <c r="C7" i="14"/>
  <c r="D7" i="14"/>
  <c r="E7" i="14"/>
  <c r="F7" i="14"/>
  <c r="G7" i="14"/>
  <c r="H7" i="14"/>
  <c r="C8" i="14"/>
  <c r="D8" i="14"/>
  <c r="E8" i="14"/>
  <c r="F8" i="14"/>
  <c r="G8" i="14"/>
  <c r="H8" i="14"/>
  <c r="C9" i="14"/>
  <c r="D9" i="14"/>
  <c r="E9" i="14"/>
  <c r="F9" i="14"/>
  <c r="G9" i="14"/>
  <c r="H9" i="14"/>
  <c r="C10" i="14"/>
  <c r="D10" i="14"/>
  <c r="E10" i="14"/>
  <c r="F10" i="14"/>
  <c r="G10" i="14"/>
  <c r="H10" i="14"/>
  <c r="C11" i="14"/>
  <c r="D11" i="14"/>
  <c r="E11" i="14"/>
  <c r="F11" i="14"/>
  <c r="G11" i="14"/>
  <c r="H11" i="14"/>
  <c r="C12" i="14"/>
  <c r="D12" i="14"/>
  <c r="E12" i="14"/>
  <c r="F12" i="14"/>
  <c r="G12" i="14"/>
  <c r="H12" i="14"/>
  <c r="C13" i="14"/>
  <c r="D13" i="14"/>
  <c r="E13" i="14"/>
  <c r="F13" i="14"/>
  <c r="G13" i="14"/>
  <c r="H13" i="14"/>
  <c r="C14" i="14"/>
  <c r="D14" i="14"/>
  <c r="E14" i="14"/>
  <c r="F14" i="14"/>
  <c r="G14" i="14"/>
  <c r="H14" i="14"/>
  <c r="C15" i="14"/>
  <c r="D15" i="14"/>
  <c r="E15" i="14"/>
  <c r="F15" i="14"/>
  <c r="G15" i="14"/>
  <c r="H15" i="14"/>
  <c r="C16" i="14"/>
  <c r="D16" i="14"/>
  <c r="E16" i="14"/>
  <c r="F16" i="14"/>
  <c r="G16" i="14"/>
  <c r="H16" i="14"/>
  <c r="C17" i="14"/>
  <c r="D17" i="14"/>
  <c r="E17" i="14"/>
  <c r="F17" i="14"/>
  <c r="G17" i="14"/>
  <c r="H17" i="14"/>
  <c r="C18" i="14"/>
  <c r="D18" i="14"/>
  <c r="E18" i="14"/>
  <c r="F18" i="14"/>
  <c r="G18" i="14"/>
  <c r="H18" i="14"/>
  <c r="C19" i="14"/>
  <c r="D19" i="14"/>
  <c r="E19" i="14"/>
  <c r="F19" i="14"/>
  <c r="G19" i="14"/>
  <c r="H19" i="14"/>
  <c r="C20" i="14"/>
  <c r="D20" i="14"/>
  <c r="E20" i="14"/>
  <c r="F20" i="14"/>
  <c r="G20" i="14"/>
  <c r="H20" i="14"/>
  <c r="C21" i="14"/>
  <c r="D21" i="14"/>
  <c r="E21" i="14"/>
  <c r="F21" i="14"/>
  <c r="G21" i="14"/>
  <c r="H21" i="14"/>
  <c r="C22" i="14"/>
  <c r="D22" i="14"/>
  <c r="E22" i="14"/>
  <c r="F22" i="14"/>
  <c r="G22" i="14"/>
  <c r="H22" i="14"/>
  <c r="C23" i="14"/>
  <c r="D23" i="14"/>
  <c r="E23" i="14"/>
  <c r="F23" i="14"/>
  <c r="G23" i="14"/>
  <c r="H23" i="14"/>
  <c r="C24" i="14"/>
  <c r="D24" i="14"/>
  <c r="E24" i="14"/>
  <c r="F24" i="14"/>
  <c r="G24" i="14"/>
  <c r="H24" i="14"/>
  <c r="C25" i="14"/>
  <c r="D25" i="14"/>
  <c r="E25" i="14"/>
  <c r="F25" i="14"/>
  <c r="G25" i="14"/>
  <c r="H25" i="14"/>
  <c r="C26" i="14"/>
  <c r="D26" i="14"/>
  <c r="E26" i="14"/>
  <c r="F26" i="14"/>
  <c r="G26" i="14"/>
  <c r="H26" i="14"/>
  <c r="C27" i="14"/>
  <c r="D27" i="14"/>
  <c r="E27" i="14"/>
  <c r="F27" i="14"/>
  <c r="G27" i="14"/>
  <c r="H27" i="14"/>
  <c r="C28" i="14"/>
  <c r="D28" i="14"/>
  <c r="E28" i="14"/>
  <c r="F28" i="14"/>
  <c r="G28" i="14"/>
  <c r="H28" i="14"/>
  <c r="C29" i="14"/>
  <c r="D29" i="14"/>
  <c r="E29" i="14"/>
  <c r="F29" i="14"/>
  <c r="G29" i="14"/>
  <c r="H29" i="14"/>
  <c r="C30" i="14"/>
  <c r="D30" i="14"/>
  <c r="E30" i="14"/>
  <c r="F30" i="14"/>
  <c r="G30" i="14"/>
  <c r="H30" i="14"/>
  <c r="C31" i="14"/>
  <c r="D31" i="14"/>
  <c r="E31" i="14"/>
  <c r="F31" i="14"/>
  <c r="G31" i="14"/>
  <c r="H31" i="14"/>
  <c r="C32" i="14"/>
  <c r="D32" i="14"/>
  <c r="E32" i="14"/>
  <c r="F32" i="14"/>
  <c r="G32" i="14"/>
  <c r="H32" i="14"/>
  <c r="C33" i="14"/>
  <c r="D33" i="14"/>
  <c r="E33" i="14"/>
  <c r="F33" i="14"/>
  <c r="G33" i="14"/>
  <c r="H33" i="14"/>
  <c r="C34" i="14"/>
  <c r="D34" i="14"/>
  <c r="E34" i="14"/>
  <c r="F34" i="14"/>
  <c r="G34" i="14"/>
  <c r="H34" i="14"/>
  <c r="C35" i="14"/>
  <c r="D35" i="14"/>
  <c r="E35" i="14"/>
  <c r="F35" i="14"/>
  <c r="G35" i="14"/>
  <c r="H35" i="14"/>
  <c r="C36" i="14"/>
  <c r="D36" i="14"/>
  <c r="E36" i="14"/>
  <c r="F36" i="14"/>
  <c r="G36" i="14"/>
  <c r="H36" i="14"/>
  <c r="C37" i="14"/>
  <c r="D37" i="14"/>
  <c r="E37" i="14"/>
  <c r="F37" i="14"/>
  <c r="G37" i="14"/>
  <c r="H37" i="14"/>
  <c r="C38" i="14"/>
  <c r="D38" i="14"/>
  <c r="E38" i="14"/>
  <c r="F38" i="14"/>
  <c r="G38" i="14"/>
  <c r="H38" i="14"/>
  <c r="C39" i="14"/>
  <c r="D39" i="14"/>
  <c r="E39" i="14"/>
  <c r="F39" i="14"/>
  <c r="G39" i="14"/>
  <c r="H39" i="14"/>
  <c r="C40" i="14"/>
  <c r="D40" i="14"/>
  <c r="E40" i="14"/>
  <c r="F40" i="14"/>
  <c r="G40" i="14"/>
  <c r="H40" i="14"/>
  <c r="C41" i="14"/>
  <c r="D41" i="14"/>
  <c r="E41" i="14"/>
  <c r="F41" i="14"/>
  <c r="G41" i="14"/>
  <c r="H41" i="14"/>
  <c r="C42" i="14"/>
  <c r="D42" i="14"/>
  <c r="E42" i="14"/>
  <c r="F42" i="14"/>
  <c r="G42" i="14"/>
  <c r="H42" i="14"/>
  <c r="C43" i="14"/>
  <c r="D43" i="14"/>
  <c r="E43" i="14"/>
  <c r="F43" i="14"/>
  <c r="G43" i="14"/>
  <c r="H43" i="14"/>
  <c r="C44" i="14"/>
  <c r="D44" i="14"/>
  <c r="E44" i="14"/>
  <c r="F44" i="14"/>
  <c r="G44" i="14"/>
  <c r="H44" i="14"/>
  <c r="C45" i="14"/>
  <c r="D45" i="14"/>
  <c r="E45" i="14"/>
  <c r="F45" i="14"/>
  <c r="G45" i="14"/>
  <c r="H45" i="14"/>
  <c r="C46" i="14"/>
  <c r="D46" i="14"/>
  <c r="E46" i="14"/>
  <c r="F46" i="14"/>
  <c r="G46" i="14"/>
  <c r="H46" i="14"/>
  <c r="C47" i="14"/>
  <c r="D47" i="14"/>
  <c r="E47" i="14"/>
  <c r="F47" i="14"/>
  <c r="G47" i="14"/>
  <c r="H47" i="14"/>
  <c r="C48" i="14"/>
  <c r="D48" i="14"/>
  <c r="E48" i="14"/>
  <c r="F48" i="14"/>
  <c r="G48" i="14"/>
  <c r="H48" i="14"/>
  <c r="C49" i="14"/>
  <c r="D49" i="14"/>
  <c r="E49" i="14"/>
  <c r="F49" i="14"/>
  <c r="G49" i="14"/>
  <c r="H49" i="14"/>
  <c r="C50" i="14"/>
  <c r="D50" i="14"/>
  <c r="E50" i="14"/>
  <c r="F50" i="14"/>
  <c r="G50" i="14"/>
  <c r="H50" i="14"/>
  <c r="C51" i="14"/>
  <c r="D51" i="14"/>
  <c r="E51" i="14"/>
  <c r="F51" i="14"/>
  <c r="G51" i="14"/>
  <c r="H51" i="14"/>
  <c r="C52" i="14"/>
  <c r="D52" i="14"/>
  <c r="E52" i="14"/>
  <c r="F52" i="14"/>
  <c r="G52" i="14"/>
  <c r="H52" i="14"/>
  <c r="C53" i="14"/>
  <c r="D53" i="14"/>
  <c r="E53" i="14"/>
  <c r="F53" i="14"/>
  <c r="G53" i="14"/>
  <c r="H53" i="14"/>
  <c r="C54" i="14"/>
  <c r="D54" i="14"/>
  <c r="E54" i="14"/>
  <c r="F54" i="14"/>
  <c r="G54" i="14"/>
  <c r="H54" i="14"/>
  <c r="C55" i="14"/>
  <c r="D55" i="14"/>
  <c r="E55" i="14"/>
  <c r="F55" i="14"/>
  <c r="G55" i="14"/>
  <c r="H55" i="14"/>
  <c r="C56" i="14"/>
  <c r="D56" i="14"/>
  <c r="E56" i="14"/>
  <c r="F56" i="14"/>
  <c r="G56" i="14"/>
  <c r="H56" i="14"/>
  <c r="C57" i="14"/>
  <c r="D57" i="14"/>
  <c r="E57" i="14"/>
  <c r="F57" i="14"/>
  <c r="G57" i="14"/>
  <c r="H57" i="14"/>
  <c r="C58" i="14"/>
  <c r="D58" i="14"/>
  <c r="E58" i="14"/>
  <c r="F58" i="14"/>
  <c r="G58" i="14"/>
  <c r="H58" i="14"/>
  <c r="C59" i="14"/>
  <c r="D59" i="14"/>
  <c r="E59" i="14"/>
  <c r="F59" i="14"/>
  <c r="G59" i="14"/>
  <c r="H59" i="14"/>
  <c r="C60" i="14"/>
  <c r="D60" i="14"/>
  <c r="E60" i="14"/>
  <c r="F60" i="14"/>
  <c r="G60" i="14"/>
  <c r="H60" i="14"/>
  <c r="C61" i="14"/>
  <c r="D61" i="14"/>
  <c r="E61" i="14"/>
  <c r="F61" i="14"/>
  <c r="G61" i="14"/>
  <c r="H61" i="14"/>
  <c r="C62" i="14"/>
  <c r="D62" i="14"/>
  <c r="E62" i="14"/>
  <c r="F62" i="14"/>
  <c r="G62" i="14"/>
  <c r="H62" i="14"/>
  <c r="C63" i="14"/>
  <c r="D63" i="14"/>
  <c r="E63" i="14"/>
  <c r="F63" i="14"/>
  <c r="G63" i="14"/>
  <c r="H63" i="14"/>
  <c r="C64" i="14"/>
  <c r="D64" i="14"/>
  <c r="E64" i="14"/>
  <c r="F64" i="14"/>
  <c r="G64" i="14"/>
  <c r="H64" i="14"/>
  <c r="C65" i="14"/>
  <c r="D65" i="14"/>
  <c r="E65" i="14"/>
  <c r="F65" i="14"/>
  <c r="G65" i="14"/>
  <c r="H65" i="14"/>
  <c r="C66" i="14"/>
  <c r="D66" i="14"/>
  <c r="E66" i="14"/>
  <c r="F66" i="14"/>
  <c r="G66" i="14"/>
  <c r="H66" i="14"/>
  <c r="C67" i="14"/>
  <c r="D67" i="14"/>
  <c r="E67" i="14"/>
  <c r="F67" i="14"/>
  <c r="G67" i="14"/>
  <c r="H67" i="14"/>
  <c r="C68" i="14"/>
  <c r="D68" i="14"/>
  <c r="E68" i="14"/>
  <c r="F68" i="14"/>
  <c r="G68" i="14"/>
  <c r="H68" i="14"/>
  <c r="C69" i="14"/>
  <c r="D69" i="14"/>
  <c r="E69" i="14"/>
  <c r="F69" i="14"/>
  <c r="G69" i="14"/>
  <c r="H69" i="14"/>
  <c r="C70" i="14"/>
  <c r="D70" i="14"/>
  <c r="E70" i="14"/>
  <c r="F70" i="14"/>
  <c r="G70" i="14"/>
  <c r="H70" i="14"/>
  <c r="C71" i="14"/>
  <c r="D71" i="14"/>
  <c r="E71" i="14"/>
  <c r="F71" i="14"/>
  <c r="G71" i="14"/>
  <c r="H71" i="14"/>
  <c r="C72" i="14"/>
  <c r="D72" i="14"/>
  <c r="E72" i="14"/>
  <c r="F72" i="14"/>
  <c r="G72" i="14"/>
  <c r="H72" i="14"/>
  <c r="C73" i="14"/>
  <c r="D73" i="14"/>
  <c r="E73" i="14"/>
  <c r="F73" i="14"/>
  <c r="G73" i="14"/>
  <c r="H73" i="14"/>
  <c r="C74" i="14"/>
  <c r="D74" i="14"/>
  <c r="E74" i="14"/>
  <c r="F74" i="14"/>
  <c r="G74" i="14"/>
  <c r="H74" i="14"/>
  <c r="C75" i="14"/>
  <c r="D75" i="14"/>
  <c r="E75" i="14"/>
  <c r="F75" i="14"/>
  <c r="G75" i="14"/>
  <c r="H75" i="14"/>
  <c r="C76" i="14"/>
  <c r="D76" i="14"/>
  <c r="E76" i="14"/>
  <c r="F76" i="14"/>
  <c r="G76" i="14"/>
  <c r="H76" i="14"/>
  <c r="C77" i="14"/>
  <c r="D77" i="14"/>
  <c r="E77" i="14"/>
  <c r="F77" i="14"/>
  <c r="G77" i="14"/>
  <c r="H77" i="14"/>
  <c r="C78" i="14"/>
  <c r="D78" i="14"/>
  <c r="E78" i="14"/>
  <c r="F78" i="14"/>
  <c r="G78" i="14"/>
  <c r="H78" i="14"/>
  <c r="C79" i="14"/>
  <c r="D79" i="14"/>
  <c r="E79" i="14"/>
  <c r="F79" i="14"/>
  <c r="G79" i="14"/>
  <c r="H79" i="14"/>
  <c r="C80" i="14"/>
  <c r="D80" i="14"/>
  <c r="E80" i="14"/>
  <c r="F80" i="14"/>
  <c r="G80" i="14"/>
  <c r="H80" i="14"/>
  <c r="C81" i="14"/>
  <c r="D81" i="14"/>
  <c r="E81" i="14"/>
  <c r="F81" i="14"/>
  <c r="G81" i="14"/>
  <c r="H81" i="14"/>
  <c r="C82" i="14"/>
  <c r="D82" i="14"/>
  <c r="E82" i="14"/>
  <c r="F82" i="14"/>
  <c r="G82" i="14"/>
  <c r="H82" i="14"/>
  <c r="C83" i="14"/>
  <c r="D83" i="14"/>
  <c r="E83" i="14"/>
  <c r="F83" i="14"/>
  <c r="G83" i="14"/>
  <c r="H83" i="14"/>
  <c r="C84" i="14"/>
  <c r="D84" i="14"/>
  <c r="E84" i="14"/>
  <c r="F84" i="14"/>
  <c r="G84" i="14"/>
  <c r="H84" i="14"/>
  <c r="C85" i="14"/>
  <c r="D85" i="14"/>
  <c r="E85" i="14"/>
  <c r="F85" i="14"/>
  <c r="G85" i="14"/>
  <c r="H85" i="14"/>
  <c r="C86" i="14"/>
  <c r="D86" i="14"/>
  <c r="E86" i="14"/>
  <c r="F86" i="14"/>
  <c r="G86" i="14"/>
  <c r="H86" i="14"/>
  <c r="C87" i="14"/>
  <c r="D87" i="14"/>
  <c r="E87" i="14"/>
  <c r="F87" i="14"/>
  <c r="G87" i="14"/>
  <c r="H87" i="14"/>
  <c r="C88" i="14"/>
  <c r="D88" i="14"/>
  <c r="E88" i="14"/>
  <c r="F88" i="14"/>
  <c r="G88" i="14"/>
  <c r="H88" i="14"/>
  <c r="C89" i="14"/>
  <c r="D89" i="14"/>
  <c r="E89" i="14"/>
  <c r="F89" i="14"/>
  <c r="G89" i="14"/>
  <c r="H89" i="14"/>
  <c r="C90" i="14"/>
  <c r="D90" i="14"/>
  <c r="E90" i="14"/>
  <c r="F90" i="14"/>
  <c r="G90" i="14"/>
  <c r="H90" i="14"/>
  <c r="C91" i="14"/>
  <c r="D91" i="14"/>
  <c r="E91" i="14"/>
  <c r="F91" i="14"/>
  <c r="G91" i="14"/>
  <c r="H91" i="14"/>
  <c r="C92" i="14"/>
  <c r="D92" i="14"/>
  <c r="E92" i="14"/>
  <c r="F92" i="14"/>
  <c r="G92" i="14"/>
  <c r="H92" i="14"/>
  <c r="C93" i="14"/>
  <c r="D93" i="14"/>
  <c r="E93" i="14"/>
  <c r="F93" i="14"/>
  <c r="G93" i="14"/>
  <c r="H93" i="14"/>
  <c r="C94" i="14"/>
  <c r="D94" i="14"/>
  <c r="E94" i="14"/>
  <c r="F94" i="14"/>
  <c r="G94" i="14"/>
  <c r="H94" i="14"/>
  <c r="C95" i="14"/>
  <c r="D95" i="14"/>
  <c r="E95" i="14"/>
  <c r="F95" i="14"/>
  <c r="G95" i="14"/>
  <c r="H95" i="14"/>
  <c r="C96" i="14"/>
  <c r="D96" i="14"/>
  <c r="E96" i="14"/>
  <c r="F96" i="14"/>
  <c r="G96" i="14"/>
  <c r="H96" i="14"/>
  <c r="C97" i="14"/>
  <c r="D97" i="14"/>
  <c r="E97" i="14"/>
  <c r="F97" i="14"/>
  <c r="G97" i="14"/>
  <c r="H97" i="14"/>
  <c r="C98" i="14"/>
  <c r="D98" i="14"/>
  <c r="E98" i="14"/>
  <c r="F98" i="14"/>
  <c r="G98" i="14"/>
  <c r="H98" i="14"/>
  <c r="C99" i="14"/>
  <c r="D99" i="14"/>
  <c r="E99" i="14"/>
  <c r="F99" i="14"/>
  <c r="G99" i="14"/>
  <c r="H99" i="14"/>
  <c r="C100" i="14"/>
  <c r="D100" i="14"/>
  <c r="E100" i="14"/>
  <c r="F100" i="14"/>
  <c r="G100" i="14"/>
  <c r="H100" i="14"/>
  <c r="C101" i="14"/>
  <c r="D101" i="14"/>
  <c r="E101" i="14"/>
  <c r="F101" i="14"/>
  <c r="G101" i="14"/>
  <c r="H101" i="14"/>
  <c r="C102" i="14"/>
  <c r="D102" i="14"/>
  <c r="E102" i="14"/>
  <c r="F102" i="14"/>
  <c r="G102" i="14"/>
  <c r="H102" i="14"/>
  <c r="C103" i="14"/>
  <c r="D103" i="14"/>
  <c r="E103" i="14"/>
  <c r="F103" i="14"/>
  <c r="G103" i="14"/>
  <c r="H103" i="14"/>
  <c r="C104" i="14"/>
  <c r="D104" i="14"/>
  <c r="E104" i="14"/>
  <c r="F104" i="14"/>
  <c r="G104" i="14"/>
  <c r="H104" i="14"/>
  <c r="C105" i="14"/>
  <c r="D105" i="14"/>
  <c r="E105" i="14"/>
  <c r="F105" i="14"/>
  <c r="G105" i="14"/>
  <c r="H105" i="14"/>
  <c r="C106" i="14"/>
  <c r="D106" i="14"/>
  <c r="E106" i="14"/>
  <c r="F106" i="14"/>
  <c r="G106" i="14"/>
  <c r="H106" i="14"/>
  <c r="C107" i="14"/>
  <c r="D107" i="14"/>
  <c r="E107" i="14"/>
  <c r="F107" i="14"/>
  <c r="G107" i="14"/>
  <c r="H107" i="14"/>
  <c r="C108" i="14"/>
  <c r="D108" i="14"/>
  <c r="E108" i="14"/>
  <c r="F108" i="14"/>
  <c r="G108" i="14"/>
  <c r="H108" i="14"/>
  <c r="C109" i="14"/>
  <c r="D109" i="14"/>
  <c r="E109" i="14"/>
  <c r="F109" i="14"/>
  <c r="G109" i="14"/>
  <c r="H109" i="14"/>
  <c r="C110" i="14"/>
  <c r="D110" i="14"/>
  <c r="E110" i="14"/>
  <c r="F110" i="14"/>
  <c r="G110" i="14"/>
  <c r="H110" i="14"/>
  <c r="C111" i="14"/>
  <c r="D111" i="14"/>
  <c r="E111" i="14"/>
  <c r="F111" i="14"/>
  <c r="G111" i="14"/>
  <c r="H111" i="14"/>
  <c r="C112" i="14"/>
  <c r="D112" i="14"/>
  <c r="E112" i="14"/>
  <c r="F112" i="14"/>
  <c r="G112" i="14"/>
  <c r="H112" i="14"/>
  <c r="C113" i="14"/>
  <c r="D113" i="14"/>
  <c r="E113" i="14"/>
  <c r="F113" i="14"/>
  <c r="G113" i="14"/>
  <c r="H113" i="14"/>
  <c r="C114" i="14"/>
  <c r="D114" i="14"/>
  <c r="E114" i="14"/>
  <c r="F114" i="14"/>
  <c r="G114" i="14"/>
  <c r="H114" i="14"/>
  <c r="C115" i="14"/>
  <c r="D115" i="14"/>
  <c r="E115" i="14"/>
  <c r="F115" i="14"/>
  <c r="G115" i="14"/>
  <c r="H115" i="14"/>
  <c r="C116" i="14"/>
  <c r="D116" i="14"/>
  <c r="E116" i="14"/>
  <c r="F116" i="14"/>
  <c r="G116" i="14"/>
  <c r="H116" i="14"/>
  <c r="C117" i="14"/>
  <c r="D117" i="14"/>
  <c r="E117" i="14"/>
  <c r="F117" i="14"/>
  <c r="G117" i="14"/>
  <c r="H117" i="14"/>
  <c r="C118" i="14"/>
  <c r="D118" i="14"/>
  <c r="E118" i="14"/>
  <c r="F118" i="14"/>
  <c r="G118" i="14"/>
  <c r="H118" i="14"/>
  <c r="C119" i="14"/>
  <c r="D119" i="14"/>
  <c r="E119" i="14"/>
  <c r="F119" i="14"/>
  <c r="G119" i="14"/>
  <c r="H119" i="14"/>
  <c r="C120" i="14"/>
  <c r="D120" i="14"/>
  <c r="E120" i="14"/>
  <c r="F120" i="14"/>
  <c r="G120" i="14"/>
  <c r="H120" i="14"/>
  <c r="C121" i="14"/>
  <c r="D121" i="14"/>
  <c r="E121" i="14"/>
  <c r="F121" i="14"/>
  <c r="G121" i="14"/>
  <c r="H121" i="14"/>
  <c r="C122" i="14"/>
  <c r="D122" i="14"/>
  <c r="E122" i="14"/>
  <c r="F122" i="14"/>
  <c r="G122" i="14"/>
  <c r="H122" i="14"/>
  <c r="C123" i="14"/>
  <c r="D123" i="14"/>
  <c r="E123" i="14"/>
  <c r="F123" i="14"/>
  <c r="G123" i="14"/>
  <c r="H123" i="14"/>
  <c r="C124" i="14"/>
  <c r="D124" i="14"/>
  <c r="E124" i="14"/>
  <c r="F124" i="14"/>
  <c r="G124" i="14"/>
  <c r="H124" i="14"/>
  <c r="C125" i="14"/>
  <c r="D125" i="14"/>
  <c r="E125" i="14"/>
  <c r="F125" i="14"/>
  <c r="G125" i="14"/>
  <c r="H125" i="14"/>
  <c r="C126" i="14"/>
  <c r="D126" i="14"/>
  <c r="E126" i="14"/>
  <c r="F126" i="14"/>
  <c r="G126" i="14"/>
  <c r="H126" i="14"/>
  <c r="C127" i="14"/>
  <c r="D127" i="14"/>
  <c r="E127" i="14"/>
  <c r="F127" i="14"/>
  <c r="G127" i="14"/>
  <c r="H127" i="14"/>
  <c r="C128" i="14"/>
  <c r="D128" i="14"/>
  <c r="E128" i="14"/>
  <c r="F128" i="14"/>
  <c r="G128" i="14"/>
  <c r="H128" i="14"/>
  <c r="C129" i="14"/>
  <c r="D129" i="14"/>
  <c r="E129" i="14"/>
  <c r="F129" i="14"/>
  <c r="G129" i="14"/>
  <c r="H129" i="14"/>
  <c r="C130" i="14"/>
  <c r="D130" i="14"/>
  <c r="E130" i="14"/>
  <c r="F130" i="14"/>
  <c r="G130" i="14"/>
  <c r="H130" i="14"/>
  <c r="C131" i="14"/>
  <c r="D131" i="14"/>
  <c r="E131" i="14"/>
  <c r="F131" i="14"/>
  <c r="G131" i="14"/>
  <c r="H131" i="14"/>
  <c r="C132" i="14"/>
  <c r="D132" i="14"/>
  <c r="E132" i="14"/>
  <c r="F132" i="14"/>
  <c r="G132" i="14"/>
  <c r="H132" i="14"/>
  <c r="C133" i="14"/>
  <c r="D133" i="14"/>
  <c r="E133" i="14"/>
  <c r="F133" i="14"/>
  <c r="G133" i="14"/>
  <c r="H133" i="14"/>
  <c r="C134" i="14"/>
  <c r="D134" i="14"/>
  <c r="E134" i="14"/>
  <c r="F134" i="14"/>
  <c r="G134" i="14"/>
  <c r="H134" i="14"/>
  <c r="C135" i="14"/>
  <c r="D135" i="14"/>
  <c r="E135" i="14"/>
  <c r="F135" i="14"/>
  <c r="G135" i="14"/>
  <c r="H135" i="14"/>
  <c r="C136" i="14"/>
  <c r="D136" i="14"/>
  <c r="E136" i="14"/>
  <c r="F136" i="14"/>
  <c r="G136" i="14"/>
  <c r="H136" i="14"/>
  <c r="C137" i="14"/>
  <c r="D137" i="14"/>
  <c r="E137" i="14"/>
  <c r="F137" i="14"/>
  <c r="G137" i="14"/>
  <c r="H137" i="14"/>
  <c r="C138" i="14"/>
  <c r="D138" i="14"/>
  <c r="E138" i="14"/>
  <c r="F138" i="14"/>
  <c r="G138" i="14"/>
  <c r="H138" i="14"/>
  <c r="C139" i="14"/>
  <c r="D139" i="14"/>
  <c r="E139" i="14"/>
  <c r="F139" i="14"/>
  <c r="G139" i="14"/>
  <c r="H139" i="14"/>
  <c r="C140" i="14"/>
  <c r="D140" i="14"/>
  <c r="E140" i="14"/>
  <c r="F140" i="14"/>
  <c r="G140" i="14"/>
  <c r="H140" i="14"/>
  <c r="C141" i="14"/>
  <c r="D141" i="14"/>
  <c r="E141" i="14"/>
  <c r="F141" i="14"/>
  <c r="G141" i="14"/>
  <c r="H141" i="14"/>
  <c r="C142" i="14"/>
  <c r="D142" i="14"/>
  <c r="E142" i="14"/>
  <c r="F142" i="14"/>
  <c r="G142" i="14"/>
  <c r="H142" i="14"/>
  <c r="C143" i="14"/>
  <c r="D143" i="14"/>
  <c r="E143" i="14"/>
  <c r="F143" i="14"/>
  <c r="G143" i="14"/>
  <c r="H143" i="14"/>
  <c r="C144" i="14"/>
  <c r="D144" i="14"/>
  <c r="E144" i="14"/>
  <c r="F144" i="14"/>
  <c r="G144" i="14"/>
  <c r="H144" i="14"/>
  <c r="C145" i="14"/>
  <c r="D145" i="14"/>
  <c r="E145" i="14"/>
  <c r="F145" i="14"/>
  <c r="G145" i="14"/>
  <c r="H145" i="14"/>
  <c r="C146" i="14"/>
  <c r="D146" i="14"/>
  <c r="E146" i="14"/>
  <c r="F146" i="14"/>
  <c r="G146" i="14"/>
  <c r="H146" i="14"/>
  <c r="C147" i="14"/>
  <c r="D147" i="14"/>
  <c r="E147" i="14"/>
  <c r="F147" i="14"/>
  <c r="G147" i="14"/>
  <c r="H147" i="14"/>
  <c r="C148" i="14"/>
  <c r="D148" i="14"/>
  <c r="E148" i="14"/>
  <c r="F148" i="14"/>
  <c r="G148" i="14"/>
  <c r="H148" i="14"/>
  <c r="C149" i="14"/>
  <c r="D149" i="14"/>
  <c r="E149" i="14"/>
  <c r="F149" i="14"/>
  <c r="G149" i="14"/>
  <c r="H149" i="14"/>
  <c r="C150" i="14"/>
  <c r="D150" i="14"/>
  <c r="E150" i="14"/>
  <c r="F150" i="14"/>
  <c r="G150" i="14"/>
  <c r="H150" i="14"/>
  <c r="C151" i="14"/>
  <c r="D151" i="14"/>
  <c r="E151" i="14"/>
  <c r="F151" i="14"/>
  <c r="G151" i="14"/>
  <c r="H151" i="14"/>
  <c r="C152" i="14"/>
  <c r="D152" i="14"/>
  <c r="E152" i="14"/>
  <c r="F152" i="14"/>
  <c r="G152" i="14"/>
  <c r="H152" i="14"/>
  <c r="C153" i="14"/>
  <c r="D153" i="14"/>
  <c r="E153" i="14"/>
  <c r="F153" i="14"/>
  <c r="G153" i="14"/>
  <c r="H153" i="14"/>
  <c r="C154" i="14"/>
  <c r="D154" i="14"/>
  <c r="E154" i="14"/>
  <c r="F154" i="14"/>
  <c r="G154" i="14"/>
  <c r="H154" i="14"/>
  <c r="C155" i="14"/>
  <c r="D155" i="14"/>
  <c r="E155" i="14"/>
  <c r="F155" i="14"/>
  <c r="G155" i="14"/>
  <c r="H155" i="14"/>
  <c r="C156" i="14"/>
  <c r="D156" i="14"/>
  <c r="E156" i="14"/>
  <c r="F156" i="14"/>
  <c r="G156" i="14"/>
  <c r="H156" i="14"/>
  <c r="C157" i="14"/>
  <c r="D157" i="14"/>
  <c r="E157" i="14"/>
  <c r="F157" i="14"/>
  <c r="G157" i="14"/>
  <c r="H157" i="14"/>
  <c r="C158" i="14"/>
  <c r="D158" i="14"/>
  <c r="E158" i="14"/>
  <c r="F158" i="14"/>
  <c r="G158" i="14"/>
  <c r="H158" i="14"/>
  <c r="C159" i="14"/>
  <c r="D159" i="14"/>
  <c r="E159" i="14"/>
  <c r="F159" i="14"/>
  <c r="G159" i="14"/>
  <c r="H159" i="14"/>
  <c r="C160" i="14"/>
  <c r="D160" i="14"/>
  <c r="E160" i="14"/>
  <c r="F160" i="14"/>
  <c r="G160" i="14"/>
  <c r="H160" i="14"/>
  <c r="C161" i="14"/>
  <c r="D161" i="14"/>
  <c r="E161" i="14"/>
  <c r="F161" i="14"/>
  <c r="G161" i="14"/>
  <c r="H161" i="14"/>
  <c r="C162" i="14"/>
  <c r="D162" i="14"/>
  <c r="E162" i="14"/>
  <c r="F162" i="14"/>
  <c r="G162" i="14"/>
  <c r="H162" i="14"/>
  <c r="C163" i="14"/>
  <c r="D163" i="14"/>
  <c r="E163" i="14"/>
  <c r="F163" i="14"/>
  <c r="G163" i="14"/>
  <c r="H163" i="14"/>
  <c r="C164" i="14"/>
  <c r="D164" i="14"/>
  <c r="E164" i="14"/>
  <c r="F164" i="14"/>
  <c r="G164" i="14"/>
  <c r="H164" i="14"/>
  <c r="C165" i="14"/>
  <c r="D165" i="14"/>
  <c r="E165" i="14"/>
  <c r="F165" i="14"/>
  <c r="G165" i="14"/>
  <c r="H165" i="14"/>
  <c r="C166" i="14"/>
  <c r="D166" i="14"/>
  <c r="E166" i="14"/>
  <c r="F166" i="14"/>
  <c r="G166" i="14"/>
  <c r="H166" i="14"/>
  <c r="C167" i="14"/>
  <c r="D167" i="14"/>
  <c r="E167" i="14"/>
  <c r="F167" i="14"/>
  <c r="G167" i="14"/>
  <c r="H167" i="14"/>
  <c r="C168" i="14"/>
  <c r="D168" i="14"/>
  <c r="E168" i="14"/>
  <c r="F168" i="14"/>
  <c r="G168" i="14"/>
  <c r="H168" i="14"/>
  <c r="C169" i="14"/>
  <c r="D169" i="14"/>
  <c r="E169" i="14"/>
  <c r="F169" i="14"/>
  <c r="G169" i="14"/>
  <c r="H169" i="14"/>
  <c r="C170" i="14"/>
  <c r="D170" i="14"/>
  <c r="E170" i="14"/>
  <c r="F170" i="14"/>
  <c r="G170" i="14"/>
  <c r="H170" i="14"/>
  <c r="C171" i="14"/>
  <c r="D171" i="14"/>
  <c r="E171" i="14"/>
  <c r="F171" i="14"/>
  <c r="G171" i="14"/>
  <c r="H171" i="14"/>
  <c r="C172" i="14"/>
  <c r="D172" i="14"/>
  <c r="E172" i="14"/>
  <c r="F172" i="14"/>
  <c r="G172" i="14"/>
  <c r="H172" i="14"/>
  <c r="C173" i="14"/>
  <c r="D173" i="14"/>
  <c r="E173" i="14"/>
  <c r="F173" i="14"/>
  <c r="G173" i="14"/>
  <c r="H173" i="14"/>
  <c r="C174" i="14"/>
  <c r="D174" i="14"/>
  <c r="E174" i="14"/>
  <c r="F174" i="14"/>
  <c r="G174" i="14"/>
  <c r="H174" i="14"/>
  <c r="C175" i="14"/>
  <c r="D175" i="14"/>
  <c r="E175" i="14"/>
  <c r="F175" i="14"/>
  <c r="G175" i="14"/>
  <c r="H175" i="14"/>
  <c r="C176" i="14"/>
  <c r="D176" i="14"/>
  <c r="E176" i="14"/>
  <c r="F176" i="14"/>
  <c r="G176" i="14"/>
  <c r="H176" i="14"/>
  <c r="C177" i="14"/>
  <c r="D177" i="14"/>
  <c r="E177" i="14"/>
  <c r="F177" i="14"/>
  <c r="G177" i="14"/>
  <c r="H177" i="14"/>
  <c r="C178" i="14"/>
  <c r="D178" i="14"/>
  <c r="E178" i="14"/>
  <c r="F178" i="14"/>
  <c r="G178" i="14"/>
  <c r="H178" i="14"/>
  <c r="C179" i="14"/>
  <c r="D179" i="14"/>
  <c r="E179" i="14"/>
  <c r="F179" i="14"/>
  <c r="G179" i="14"/>
  <c r="H179" i="14"/>
  <c r="C180" i="14"/>
  <c r="D180" i="14"/>
  <c r="E180" i="14"/>
  <c r="F180" i="14"/>
  <c r="G180" i="14"/>
  <c r="H180" i="14"/>
  <c r="C181" i="14"/>
  <c r="D181" i="14"/>
  <c r="E181" i="14"/>
  <c r="F181" i="14"/>
  <c r="G181" i="14"/>
  <c r="H181" i="14"/>
  <c r="C182" i="14"/>
  <c r="D182" i="14"/>
  <c r="E182" i="14"/>
  <c r="F182" i="14"/>
  <c r="G182" i="14"/>
  <c r="H182" i="14"/>
  <c r="C183" i="14"/>
  <c r="D183" i="14"/>
  <c r="E183" i="14"/>
  <c r="F183" i="14"/>
  <c r="G183" i="14"/>
  <c r="H183" i="14"/>
  <c r="C184" i="14"/>
  <c r="D184" i="14"/>
  <c r="E184" i="14"/>
  <c r="F184" i="14"/>
  <c r="G184" i="14"/>
  <c r="H184" i="14"/>
  <c r="C185" i="14"/>
  <c r="D185" i="14"/>
  <c r="E185" i="14"/>
  <c r="F185" i="14"/>
  <c r="G185" i="14"/>
  <c r="H185" i="14"/>
  <c r="C186" i="14"/>
  <c r="D186" i="14"/>
  <c r="E186" i="14"/>
  <c r="F186" i="14"/>
  <c r="G186" i="14"/>
  <c r="H186" i="14"/>
  <c r="C187" i="14"/>
  <c r="D187" i="14"/>
  <c r="E187" i="14"/>
  <c r="F187" i="14"/>
  <c r="G187" i="14"/>
  <c r="H187" i="14"/>
  <c r="C188" i="14"/>
  <c r="D188" i="14"/>
  <c r="E188" i="14"/>
  <c r="F188" i="14"/>
  <c r="G188" i="14"/>
  <c r="H188" i="14"/>
  <c r="C189" i="14"/>
  <c r="D189" i="14"/>
  <c r="E189" i="14"/>
  <c r="F189" i="14"/>
  <c r="G189" i="14"/>
  <c r="H189" i="14"/>
  <c r="C190" i="14"/>
  <c r="D190" i="14"/>
  <c r="E190" i="14"/>
  <c r="F190" i="14"/>
  <c r="G190" i="14"/>
  <c r="H190" i="14"/>
  <c r="C191" i="14"/>
  <c r="D191" i="14"/>
  <c r="E191" i="14"/>
  <c r="F191" i="14"/>
  <c r="G191" i="14"/>
  <c r="H191" i="14"/>
  <c r="C192" i="14"/>
  <c r="D192" i="14"/>
  <c r="E192" i="14"/>
  <c r="F192" i="14"/>
  <c r="G192" i="14"/>
  <c r="H192" i="14"/>
  <c r="C193" i="14"/>
  <c r="D193" i="14"/>
  <c r="E193" i="14"/>
  <c r="F193" i="14"/>
  <c r="G193" i="14"/>
  <c r="H193" i="14"/>
  <c r="C194" i="14"/>
  <c r="D194" i="14"/>
  <c r="E194" i="14"/>
  <c r="F194" i="14"/>
  <c r="G194" i="14"/>
  <c r="H194" i="14"/>
  <c r="C195" i="14"/>
  <c r="D195" i="14"/>
  <c r="E195" i="14"/>
  <c r="F195" i="14"/>
  <c r="G195" i="14"/>
  <c r="H195" i="14"/>
  <c r="C196" i="14"/>
  <c r="D196" i="14"/>
  <c r="E196" i="14"/>
  <c r="F196" i="14"/>
  <c r="G196" i="14"/>
  <c r="H196" i="14"/>
  <c r="C197" i="14"/>
  <c r="D197" i="14"/>
  <c r="E197" i="14"/>
  <c r="F197" i="14"/>
  <c r="G197" i="14"/>
  <c r="H197" i="14"/>
  <c r="C198" i="14"/>
  <c r="D198" i="14"/>
  <c r="E198" i="14"/>
  <c r="F198" i="14"/>
  <c r="G198" i="14"/>
  <c r="H198" i="14"/>
  <c r="C199" i="14"/>
  <c r="D199" i="14"/>
  <c r="E199" i="14"/>
  <c r="F199" i="14"/>
  <c r="G199" i="14"/>
  <c r="H199" i="14"/>
  <c r="C200" i="14"/>
  <c r="D200" i="14"/>
  <c r="E200" i="14"/>
  <c r="F200" i="14"/>
  <c r="G200" i="14"/>
  <c r="H200" i="14"/>
  <c r="C201" i="14"/>
  <c r="D201" i="14"/>
  <c r="E201" i="14"/>
  <c r="F201" i="14"/>
  <c r="G201" i="14"/>
  <c r="H201" i="14"/>
  <c r="C202" i="14"/>
  <c r="D202" i="14"/>
  <c r="E202" i="14"/>
  <c r="F202" i="14"/>
  <c r="G202" i="14"/>
  <c r="H202" i="14"/>
  <c r="C203" i="14"/>
  <c r="D203" i="14"/>
  <c r="E203" i="14"/>
  <c r="F203" i="14"/>
  <c r="G203" i="14"/>
  <c r="H203" i="14"/>
  <c r="C204" i="14"/>
  <c r="D204" i="14"/>
  <c r="E204" i="14"/>
  <c r="F204" i="14"/>
  <c r="G204" i="14"/>
  <c r="H204" i="14"/>
  <c r="C205" i="14"/>
  <c r="D205" i="14"/>
  <c r="E205" i="14"/>
  <c r="F205" i="14"/>
  <c r="G205" i="14"/>
  <c r="H205" i="14"/>
  <c r="C206" i="14"/>
  <c r="D206" i="14"/>
  <c r="E206" i="14"/>
  <c r="F206" i="14"/>
  <c r="G206" i="14"/>
  <c r="H206" i="14"/>
  <c r="C207" i="14"/>
  <c r="D207" i="14"/>
  <c r="E207" i="14"/>
  <c r="F207" i="14"/>
  <c r="G207" i="14"/>
  <c r="H207" i="14"/>
  <c r="C208" i="14"/>
  <c r="D208" i="14"/>
  <c r="E208" i="14"/>
  <c r="F208" i="14"/>
  <c r="G208" i="14"/>
  <c r="H208" i="14"/>
  <c r="C209" i="14"/>
  <c r="D209" i="14"/>
  <c r="E209" i="14"/>
  <c r="F209" i="14"/>
  <c r="G209" i="14"/>
  <c r="H209" i="14"/>
  <c r="C210" i="14"/>
  <c r="D210" i="14"/>
  <c r="E210" i="14"/>
  <c r="F210" i="14"/>
  <c r="G210" i="14"/>
  <c r="H210" i="14"/>
  <c r="C211" i="14"/>
  <c r="D211" i="14"/>
  <c r="E211" i="14"/>
  <c r="F211" i="14"/>
  <c r="G211" i="14"/>
  <c r="H211" i="14"/>
  <c r="C212" i="14"/>
  <c r="D212" i="14"/>
  <c r="E212" i="14"/>
  <c r="F212" i="14"/>
  <c r="G212" i="14"/>
  <c r="H212" i="14"/>
  <c r="C213" i="14"/>
  <c r="D213" i="14"/>
  <c r="E213" i="14"/>
  <c r="F213" i="14"/>
  <c r="G213" i="14"/>
  <c r="H213" i="14"/>
  <c r="C214" i="14"/>
  <c r="D214" i="14"/>
  <c r="E214" i="14"/>
  <c r="F214" i="14"/>
  <c r="G214" i="14"/>
  <c r="H214" i="14"/>
  <c r="C215" i="14"/>
  <c r="D215" i="14"/>
  <c r="E215" i="14"/>
  <c r="F215" i="14"/>
  <c r="G215" i="14"/>
  <c r="H215" i="14"/>
  <c r="C216" i="14"/>
  <c r="D216" i="14"/>
  <c r="E216" i="14"/>
  <c r="F216" i="14"/>
  <c r="G216" i="14"/>
  <c r="H216" i="14"/>
  <c r="C217" i="14"/>
  <c r="D217" i="14"/>
  <c r="E217" i="14"/>
  <c r="F217" i="14"/>
  <c r="G217" i="14"/>
  <c r="H217" i="14"/>
  <c r="C218" i="14"/>
  <c r="D218" i="14"/>
  <c r="E218" i="14"/>
  <c r="F218" i="14"/>
  <c r="G218" i="14"/>
  <c r="H218" i="14"/>
  <c r="C219" i="14"/>
  <c r="D219" i="14"/>
  <c r="E219" i="14"/>
  <c r="F219" i="14"/>
  <c r="G219" i="14"/>
  <c r="H219" i="14"/>
  <c r="C220" i="14"/>
  <c r="D220" i="14"/>
  <c r="E220" i="14"/>
  <c r="F220" i="14"/>
  <c r="G220" i="14"/>
  <c r="H220" i="14"/>
  <c r="C221" i="14"/>
  <c r="D221" i="14"/>
  <c r="E221" i="14"/>
  <c r="F221" i="14"/>
  <c r="G221" i="14"/>
  <c r="H221" i="14"/>
  <c r="C222" i="14"/>
  <c r="D222" i="14"/>
  <c r="E222" i="14"/>
  <c r="F222" i="14"/>
  <c r="G222" i="14"/>
  <c r="H222" i="14"/>
  <c r="C223" i="14"/>
  <c r="D223" i="14"/>
  <c r="E223" i="14"/>
  <c r="F223" i="14"/>
  <c r="G223" i="14"/>
  <c r="H223" i="14"/>
  <c r="C224" i="14"/>
  <c r="D224" i="14"/>
  <c r="E224" i="14"/>
  <c r="F224" i="14"/>
  <c r="G224" i="14"/>
  <c r="H224" i="14"/>
  <c r="C225" i="14"/>
  <c r="D225" i="14"/>
  <c r="E225" i="14"/>
  <c r="F225" i="14"/>
  <c r="G225" i="14"/>
  <c r="H225" i="14"/>
  <c r="C226" i="14"/>
  <c r="D226" i="14"/>
  <c r="E226" i="14"/>
  <c r="F226" i="14"/>
  <c r="G226" i="14"/>
  <c r="H226" i="14"/>
  <c r="C227" i="14"/>
  <c r="D227" i="14"/>
  <c r="E227" i="14"/>
  <c r="F227" i="14"/>
  <c r="G227" i="14"/>
  <c r="H227" i="14"/>
  <c r="C228" i="14"/>
  <c r="D228" i="14"/>
  <c r="E228" i="14"/>
  <c r="F228" i="14"/>
  <c r="G228" i="14"/>
  <c r="H228" i="14"/>
  <c r="C229" i="14"/>
  <c r="D229" i="14"/>
  <c r="E229" i="14"/>
  <c r="F229" i="14"/>
  <c r="G229" i="14"/>
  <c r="H229" i="14"/>
  <c r="C230" i="14"/>
  <c r="D230" i="14"/>
  <c r="E230" i="14"/>
  <c r="F230" i="14"/>
  <c r="G230" i="14"/>
  <c r="H230" i="14"/>
  <c r="C231" i="14"/>
  <c r="D231" i="14"/>
  <c r="E231" i="14"/>
  <c r="F231" i="14"/>
  <c r="G231" i="14"/>
  <c r="H231" i="14"/>
  <c r="C232" i="14"/>
  <c r="D232" i="14"/>
  <c r="E232" i="14"/>
  <c r="F232" i="14"/>
  <c r="G232" i="14"/>
  <c r="H232" i="14"/>
  <c r="C233" i="14"/>
  <c r="D233" i="14"/>
  <c r="E233" i="14"/>
  <c r="F233" i="14"/>
  <c r="G233" i="14"/>
  <c r="H233" i="14"/>
  <c r="C234" i="14"/>
  <c r="D234" i="14"/>
  <c r="E234" i="14"/>
  <c r="F234" i="14"/>
  <c r="G234" i="14"/>
  <c r="H234" i="14"/>
  <c r="C235" i="14"/>
  <c r="D235" i="14"/>
  <c r="E235" i="14"/>
  <c r="F235" i="14"/>
  <c r="G235" i="14"/>
  <c r="H235" i="14"/>
  <c r="C236" i="14"/>
  <c r="D236" i="14"/>
  <c r="E236" i="14"/>
  <c r="F236" i="14"/>
  <c r="G236" i="14"/>
  <c r="H236" i="14"/>
  <c r="C237" i="14"/>
  <c r="D237" i="14"/>
  <c r="E237" i="14"/>
  <c r="F237" i="14"/>
  <c r="G237" i="14"/>
  <c r="H237" i="14"/>
  <c r="C238" i="14"/>
  <c r="D238" i="14"/>
  <c r="E238" i="14"/>
  <c r="F238" i="14"/>
  <c r="G238" i="14"/>
  <c r="H238" i="14"/>
  <c r="C239" i="14"/>
  <c r="D239" i="14"/>
  <c r="E239" i="14"/>
  <c r="F239" i="14"/>
  <c r="G239" i="14"/>
  <c r="H239" i="14"/>
  <c r="C240" i="14"/>
  <c r="D240" i="14"/>
  <c r="E240" i="14"/>
  <c r="F240" i="14"/>
  <c r="G240" i="14"/>
  <c r="H240" i="14"/>
  <c r="C241" i="14"/>
  <c r="D241" i="14"/>
  <c r="E241" i="14"/>
  <c r="F241" i="14"/>
  <c r="G241" i="14"/>
  <c r="H241" i="14"/>
  <c r="C242" i="14"/>
  <c r="D242" i="14"/>
  <c r="E242" i="14"/>
  <c r="F242" i="14"/>
  <c r="G242" i="14"/>
  <c r="H242" i="14"/>
  <c r="C243" i="14"/>
  <c r="D243" i="14"/>
  <c r="E243" i="14"/>
  <c r="F243" i="14"/>
  <c r="G243" i="14"/>
  <c r="H243" i="14"/>
  <c r="C244" i="14"/>
  <c r="D244" i="14"/>
  <c r="E244" i="14"/>
  <c r="F244" i="14"/>
  <c r="G244" i="14"/>
  <c r="H244" i="14"/>
  <c r="C245" i="14"/>
  <c r="D245" i="14"/>
  <c r="E245" i="14"/>
  <c r="F245" i="14"/>
  <c r="G245" i="14"/>
  <c r="H245" i="14"/>
  <c r="C246" i="14"/>
  <c r="D246" i="14"/>
  <c r="E246" i="14"/>
  <c r="F246" i="14"/>
  <c r="G246" i="14"/>
  <c r="H246" i="14"/>
  <c r="C247" i="14"/>
  <c r="D247" i="14"/>
  <c r="E247" i="14"/>
  <c r="F247" i="14"/>
  <c r="G247" i="14"/>
  <c r="H247" i="14"/>
  <c r="C248" i="14"/>
  <c r="D248" i="14"/>
  <c r="E248" i="14"/>
  <c r="F248" i="14"/>
  <c r="G248" i="14"/>
  <c r="H248" i="14"/>
  <c r="C249" i="14"/>
  <c r="D249" i="14"/>
  <c r="E249" i="14"/>
  <c r="F249" i="14"/>
  <c r="G249" i="14"/>
  <c r="H249" i="14"/>
  <c r="C250" i="14"/>
  <c r="D250" i="14"/>
  <c r="E250" i="14"/>
  <c r="F250" i="14"/>
  <c r="G250" i="14"/>
  <c r="H250" i="14"/>
  <c r="C251" i="14"/>
  <c r="D251" i="14"/>
  <c r="E251" i="14"/>
  <c r="F251" i="14"/>
  <c r="G251" i="14"/>
  <c r="H251" i="14"/>
  <c r="C252" i="14"/>
  <c r="D252" i="14"/>
  <c r="E252" i="14"/>
  <c r="F252" i="14"/>
  <c r="G252" i="14"/>
  <c r="H252" i="14"/>
  <c r="C253" i="14"/>
  <c r="D253" i="14"/>
  <c r="E253" i="14"/>
  <c r="F253" i="14"/>
  <c r="G253" i="14"/>
  <c r="H253" i="14"/>
  <c r="C254" i="14"/>
  <c r="D254" i="14"/>
  <c r="E254" i="14"/>
  <c r="F254" i="14"/>
  <c r="G254" i="14"/>
  <c r="H254" i="14"/>
  <c r="C255" i="14"/>
  <c r="D255" i="14"/>
  <c r="E255" i="14"/>
  <c r="F255" i="14"/>
  <c r="G255" i="14"/>
  <c r="H255" i="14"/>
  <c r="C256" i="14"/>
  <c r="D256" i="14"/>
  <c r="E256" i="14"/>
  <c r="F256" i="14"/>
  <c r="G256" i="14"/>
  <c r="H256" i="14"/>
  <c r="C257" i="14"/>
  <c r="D257" i="14"/>
  <c r="E257" i="14"/>
  <c r="F257" i="14"/>
  <c r="G257" i="14"/>
  <c r="H257" i="14"/>
  <c r="C258" i="14"/>
  <c r="D258" i="14"/>
  <c r="E258" i="14"/>
  <c r="F258" i="14"/>
  <c r="G258" i="14"/>
  <c r="H258" i="14"/>
  <c r="C259" i="14"/>
  <c r="D259" i="14"/>
  <c r="E259" i="14"/>
  <c r="F259" i="14"/>
  <c r="G259" i="14"/>
  <c r="H259" i="14"/>
  <c r="C260" i="14"/>
  <c r="D260" i="14"/>
  <c r="E260" i="14"/>
  <c r="F260" i="14"/>
  <c r="G260" i="14"/>
  <c r="H260" i="14"/>
  <c r="C261" i="14"/>
  <c r="D261" i="14"/>
  <c r="E261" i="14"/>
  <c r="F261" i="14"/>
  <c r="G261" i="14"/>
  <c r="H261" i="14"/>
  <c r="C262" i="14"/>
  <c r="D262" i="14"/>
  <c r="E262" i="14"/>
  <c r="F262" i="14"/>
  <c r="G262" i="14"/>
  <c r="H262" i="14"/>
  <c r="C263" i="14"/>
  <c r="D263" i="14"/>
  <c r="E263" i="14"/>
  <c r="F263" i="14"/>
  <c r="G263" i="14"/>
  <c r="H263" i="14"/>
  <c r="C264" i="14"/>
  <c r="D264" i="14"/>
  <c r="E264" i="14"/>
  <c r="F264" i="14"/>
  <c r="G264" i="14"/>
  <c r="H264" i="14"/>
  <c r="C265" i="14"/>
  <c r="D265" i="14"/>
  <c r="E265" i="14"/>
  <c r="F265" i="14"/>
  <c r="G265" i="14"/>
  <c r="H265" i="14"/>
  <c r="C266" i="14"/>
  <c r="D266" i="14"/>
  <c r="E266" i="14"/>
  <c r="F266" i="14"/>
  <c r="G266" i="14"/>
  <c r="H266" i="14"/>
  <c r="C267" i="14"/>
  <c r="D267" i="14"/>
  <c r="E267" i="14"/>
  <c r="F267" i="14"/>
  <c r="G267" i="14"/>
  <c r="H267" i="14"/>
  <c r="C268" i="14"/>
  <c r="D268" i="14"/>
  <c r="E268" i="14"/>
  <c r="F268" i="14"/>
  <c r="G268" i="14"/>
  <c r="H268" i="14"/>
  <c r="C269" i="14"/>
  <c r="D269" i="14"/>
  <c r="E269" i="14"/>
  <c r="F269" i="14"/>
  <c r="G269" i="14"/>
  <c r="H269" i="14"/>
  <c r="C270" i="14"/>
  <c r="D270" i="14"/>
  <c r="E270" i="14"/>
  <c r="F270" i="14"/>
  <c r="G270" i="14"/>
  <c r="H270" i="14"/>
  <c r="C271" i="14"/>
  <c r="D271" i="14"/>
  <c r="E271" i="14"/>
  <c r="F271" i="14"/>
  <c r="G271" i="14"/>
  <c r="H271" i="14"/>
  <c r="C272" i="14"/>
  <c r="D272" i="14"/>
  <c r="E272" i="14"/>
  <c r="F272" i="14"/>
  <c r="G272" i="14"/>
  <c r="H272" i="14"/>
  <c r="C273" i="14"/>
  <c r="D273" i="14"/>
  <c r="E273" i="14"/>
  <c r="F273" i="14"/>
  <c r="G273" i="14"/>
  <c r="H273" i="14"/>
  <c r="C274" i="14"/>
  <c r="D274" i="14"/>
  <c r="E274" i="14"/>
  <c r="F274" i="14"/>
  <c r="G274" i="14"/>
  <c r="H274" i="14"/>
  <c r="C275" i="14"/>
  <c r="D275" i="14"/>
  <c r="E275" i="14"/>
  <c r="F275" i="14"/>
  <c r="G275" i="14"/>
  <c r="H275" i="14"/>
  <c r="C276" i="14"/>
  <c r="D276" i="14"/>
  <c r="E276" i="14"/>
  <c r="F276" i="14"/>
  <c r="G276" i="14"/>
  <c r="H276" i="14"/>
  <c r="C277" i="14"/>
  <c r="D277" i="14"/>
  <c r="E277" i="14"/>
  <c r="F277" i="14"/>
  <c r="G277" i="14"/>
  <c r="H277" i="14"/>
  <c r="C278" i="14"/>
  <c r="D278" i="14"/>
  <c r="E278" i="14"/>
  <c r="F278" i="14"/>
  <c r="G278" i="14"/>
  <c r="H278" i="14"/>
  <c r="C279" i="14"/>
  <c r="D279" i="14"/>
  <c r="E279" i="14"/>
  <c r="F279" i="14"/>
  <c r="G279" i="14"/>
  <c r="H279" i="14"/>
  <c r="C280" i="14"/>
  <c r="D280" i="14"/>
  <c r="E280" i="14"/>
  <c r="F280" i="14"/>
  <c r="G280" i="14"/>
  <c r="H280" i="14"/>
  <c r="C281" i="14"/>
  <c r="D281" i="14"/>
  <c r="E281" i="14"/>
  <c r="F281" i="14"/>
  <c r="G281" i="14"/>
  <c r="H281" i="14"/>
  <c r="C282" i="14"/>
  <c r="D282" i="14"/>
  <c r="E282" i="14"/>
  <c r="F282" i="14"/>
  <c r="G282" i="14"/>
  <c r="H282" i="14"/>
  <c r="C283" i="14"/>
  <c r="D283" i="14"/>
  <c r="E283" i="14"/>
  <c r="F283" i="14"/>
  <c r="G283" i="14"/>
  <c r="H283" i="14"/>
  <c r="C284" i="14"/>
  <c r="D284" i="14"/>
  <c r="E284" i="14"/>
  <c r="F284" i="14"/>
  <c r="G284" i="14"/>
  <c r="H284" i="14"/>
  <c r="C285" i="14"/>
  <c r="D285" i="14"/>
  <c r="E285" i="14"/>
  <c r="F285" i="14"/>
  <c r="G285" i="14"/>
  <c r="H285" i="14"/>
  <c r="C286" i="14"/>
  <c r="D286" i="14"/>
  <c r="E286" i="14"/>
  <c r="F286" i="14"/>
  <c r="G286" i="14"/>
  <c r="H286" i="14"/>
  <c r="C287" i="14"/>
  <c r="D287" i="14"/>
  <c r="E287" i="14"/>
  <c r="F287" i="14"/>
  <c r="G287" i="14"/>
  <c r="H287" i="14"/>
  <c r="C288" i="14"/>
  <c r="D288" i="14"/>
  <c r="E288" i="14"/>
  <c r="F288" i="14"/>
  <c r="G288" i="14"/>
  <c r="H288" i="14"/>
  <c r="C289" i="14"/>
  <c r="D289" i="14"/>
  <c r="E289" i="14"/>
  <c r="F289" i="14"/>
  <c r="G289" i="14"/>
  <c r="H289" i="14"/>
  <c r="C290" i="14"/>
  <c r="D290" i="14"/>
  <c r="E290" i="14"/>
  <c r="F290" i="14"/>
  <c r="G290" i="14"/>
  <c r="H290" i="14"/>
  <c r="C291" i="14"/>
  <c r="D291" i="14"/>
  <c r="E291" i="14"/>
  <c r="F291" i="14"/>
  <c r="G291" i="14"/>
  <c r="H291" i="14"/>
  <c r="C292" i="14"/>
  <c r="D292" i="14"/>
  <c r="E292" i="14"/>
  <c r="F292" i="14"/>
  <c r="G292" i="14"/>
  <c r="H292" i="14"/>
  <c r="C293" i="14"/>
  <c r="D293" i="14"/>
  <c r="E293" i="14"/>
  <c r="F293" i="14"/>
  <c r="G293" i="14"/>
  <c r="H293" i="14"/>
  <c r="C294" i="14"/>
  <c r="D294" i="14"/>
  <c r="E294" i="14"/>
  <c r="F294" i="14"/>
  <c r="G294" i="14"/>
  <c r="H294" i="14"/>
  <c r="C295" i="14"/>
  <c r="D295" i="14"/>
  <c r="E295" i="14"/>
  <c r="F295" i="14"/>
  <c r="G295" i="14"/>
  <c r="H295" i="14"/>
  <c r="C296" i="14"/>
  <c r="D296" i="14"/>
  <c r="E296" i="14"/>
  <c r="F296" i="14"/>
  <c r="G296" i="14"/>
  <c r="H296" i="14"/>
  <c r="D297" i="14"/>
  <c r="E297" i="14"/>
  <c r="F297" i="14"/>
  <c r="G297" i="14"/>
  <c r="H297" i="14"/>
  <c r="C298" i="14"/>
  <c r="D298" i="14"/>
  <c r="E298" i="14"/>
  <c r="F298" i="14"/>
  <c r="G298" i="14"/>
  <c r="H298" i="14"/>
  <c r="C299" i="14"/>
  <c r="D299" i="14"/>
  <c r="E299" i="14"/>
  <c r="F299" i="14"/>
  <c r="G299" i="14"/>
  <c r="H299" i="14"/>
  <c r="C300" i="14"/>
  <c r="D300" i="14"/>
  <c r="E300" i="14"/>
  <c r="F300" i="14"/>
  <c r="G300" i="14"/>
  <c r="H300" i="14"/>
  <c r="C301" i="14"/>
  <c r="D301" i="14"/>
  <c r="E301" i="14"/>
  <c r="F301" i="14"/>
  <c r="G301" i="14"/>
  <c r="H301" i="14"/>
  <c r="C302" i="14"/>
  <c r="D302" i="14"/>
  <c r="E302" i="14"/>
  <c r="F302" i="14"/>
  <c r="G302" i="14"/>
  <c r="H302" i="14"/>
  <c r="C303" i="14"/>
  <c r="D303" i="14"/>
  <c r="E303" i="14"/>
  <c r="F303" i="14"/>
  <c r="G303" i="14"/>
  <c r="H303" i="14"/>
  <c r="C304" i="14"/>
  <c r="D304" i="14"/>
  <c r="E304" i="14"/>
  <c r="F304" i="14"/>
  <c r="G304" i="14"/>
  <c r="H304" i="14"/>
  <c r="C305" i="14"/>
  <c r="D305" i="14"/>
  <c r="E305" i="14"/>
  <c r="F305" i="14"/>
  <c r="G305" i="14"/>
  <c r="H305" i="14"/>
  <c r="C306" i="14"/>
  <c r="D306" i="14"/>
  <c r="E306" i="14"/>
  <c r="F306" i="14"/>
  <c r="G306" i="14"/>
  <c r="H306" i="14"/>
  <c r="C307" i="14"/>
  <c r="D307" i="14"/>
  <c r="E307" i="14"/>
  <c r="F307" i="14"/>
  <c r="G307" i="14"/>
  <c r="H307" i="14"/>
  <c r="C308" i="14"/>
  <c r="D308" i="14"/>
  <c r="E308" i="14"/>
  <c r="F308" i="14"/>
  <c r="G308" i="14"/>
  <c r="H308" i="14"/>
  <c r="C309" i="14"/>
  <c r="D309" i="14"/>
  <c r="E309" i="14"/>
  <c r="F309" i="14"/>
  <c r="G309" i="14"/>
  <c r="H309" i="14"/>
  <c r="C310" i="14"/>
  <c r="D310" i="14"/>
  <c r="E310" i="14"/>
  <c r="F310" i="14"/>
  <c r="G310" i="14"/>
  <c r="H310" i="14"/>
  <c r="C311" i="14"/>
  <c r="D311" i="14"/>
  <c r="E311" i="14"/>
  <c r="F311" i="14"/>
  <c r="G311" i="14"/>
  <c r="H311" i="14"/>
  <c r="C312" i="14"/>
  <c r="D312" i="14"/>
  <c r="E312" i="14"/>
  <c r="F312" i="14"/>
  <c r="G312" i="14"/>
  <c r="H312" i="14"/>
  <c r="C313" i="14"/>
  <c r="D313" i="14"/>
  <c r="E313" i="14"/>
  <c r="F313" i="14"/>
  <c r="G313" i="14"/>
  <c r="H313" i="14"/>
  <c r="C314" i="14"/>
  <c r="D314" i="14"/>
  <c r="E314" i="14"/>
  <c r="F314" i="14"/>
  <c r="G314" i="14"/>
  <c r="H314" i="14"/>
  <c r="C315" i="14"/>
  <c r="D315" i="14"/>
  <c r="E315" i="14"/>
  <c r="F315" i="14"/>
  <c r="G315" i="14"/>
  <c r="H315" i="14"/>
  <c r="C316" i="14"/>
  <c r="D316" i="14"/>
  <c r="E316" i="14"/>
  <c r="F316" i="14"/>
  <c r="G316" i="14"/>
  <c r="H316" i="14"/>
  <c r="C317" i="14"/>
  <c r="D317" i="14"/>
  <c r="E317" i="14"/>
  <c r="F317" i="14"/>
  <c r="G317" i="14"/>
  <c r="H317" i="14"/>
  <c r="C318" i="14"/>
  <c r="D318" i="14"/>
  <c r="E318" i="14"/>
  <c r="F318" i="14"/>
  <c r="G318" i="14"/>
  <c r="H318" i="14"/>
  <c r="C319" i="14"/>
  <c r="D319" i="14"/>
  <c r="E319" i="14"/>
  <c r="F319" i="14"/>
  <c r="G319" i="14"/>
  <c r="H319" i="14"/>
  <c r="C320" i="14"/>
  <c r="D320" i="14"/>
  <c r="E320" i="14"/>
  <c r="F320" i="14"/>
  <c r="G320" i="14"/>
  <c r="H320" i="14"/>
  <c r="C321" i="14"/>
  <c r="D321" i="14"/>
  <c r="E321" i="14"/>
  <c r="F321" i="14"/>
  <c r="G321" i="14"/>
  <c r="H321" i="14"/>
  <c r="C322" i="14"/>
  <c r="D322" i="14"/>
  <c r="E322" i="14"/>
  <c r="F322" i="14"/>
  <c r="G322" i="14"/>
  <c r="H322" i="14"/>
  <c r="C323" i="14"/>
  <c r="D323" i="14"/>
  <c r="E323" i="14"/>
  <c r="F323" i="14"/>
  <c r="G323" i="14"/>
  <c r="H323" i="14"/>
  <c r="C324" i="14"/>
  <c r="D324" i="14"/>
  <c r="E324" i="14"/>
  <c r="F324" i="14"/>
  <c r="G324" i="14"/>
  <c r="H324" i="14"/>
  <c r="C325" i="14"/>
  <c r="D325" i="14"/>
  <c r="E325" i="14"/>
  <c r="F325" i="14"/>
  <c r="G325" i="14"/>
  <c r="H325" i="14"/>
  <c r="C326" i="14"/>
  <c r="D326" i="14"/>
  <c r="E326" i="14"/>
  <c r="F326" i="14"/>
  <c r="G326" i="14"/>
  <c r="H326" i="14"/>
  <c r="C327" i="14"/>
  <c r="D327" i="14"/>
  <c r="E327" i="14"/>
  <c r="F327" i="14"/>
  <c r="G327" i="14"/>
  <c r="H327" i="14"/>
  <c r="C328" i="14"/>
  <c r="D328" i="14"/>
  <c r="E328" i="14"/>
  <c r="F328" i="14"/>
  <c r="G328" i="14"/>
  <c r="H328" i="14"/>
  <c r="C329" i="14"/>
  <c r="D329" i="14"/>
  <c r="E329" i="14"/>
  <c r="F329" i="14"/>
  <c r="G329" i="14"/>
  <c r="H329" i="14"/>
  <c r="C330" i="14"/>
  <c r="D330" i="14"/>
  <c r="E330" i="14"/>
  <c r="F330" i="14"/>
  <c r="G330" i="14"/>
  <c r="H330" i="14"/>
  <c r="C331" i="14"/>
  <c r="D331" i="14"/>
  <c r="E331" i="14"/>
  <c r="F331" i="14"/>
  <c r="G331" i="14"/>
  <c r="H331" i="14"/>
  <c r="C332" i="14"/>
  <c r="D332" i="14"/>
  <c r="E332" i="14"/>
  <c r="F332" i="14"/>
  <c r="G332" i="14"/>
  <c r="H332" i="14"/>
  <c r="C333" i="14"/>
  <c r="D333" i="14"/>
  <c r="E333" i="14"/>
  <c r="F333" i="14"/>
  <c r="G333" i="14"/>
  <c r="H333" i="14"/>
  <c r="C334" i="14"/>
  <c r="D334" i="14"/>
  <c r="E334" i="14"/>
  <c r="F334" i="14"/>
  <c r="G334" i="14"/>
  <c r="H334" i="14"/>
  <c r="C335" i="14"/>
  <c r="D335" i="14"/>
  <c r="E335" i="14"/>
  <c r="F335" i="14"/>
  <c r="G335" i="14"/>
  <c r="H335" i="14"/>
  <c r="C336" i="14"/>
  <c r="D336" i="14"/>
  <c r="E336" i="14"/>
  <c r="F336" i="14"/>
  <c r="G336" i="14"/>
  <c r="H336" i="14"/>
  <c r="C337" i="14"/>
  <c r="D337" i="14"/>
  <c r="E337" i="14"/>
  <c r="F337" i="14"/>
  <c r="G337" i="14"/>
  <c r="H337" i="14"/>
  <c r="C338" i="14"/>
  <c r="D338" i="14"/>
  <c r="E338" i="14"/>
  <c r="F338" i="14"/>
  <c r="G338" i="14"/>
  <c r="H338" i="14"/>
  <c r="C339" i="14"/>
  <c r="D339" i="14"/>
  <c r="E339" i="14"/>
  <c r="F339" i="14"/>
  <c r="G339" i="14"/>
  <c r="H339" i="14"/>
  <c r="C340" i="14"/>
  <c r="D340" i="14"/>
  <c r="E340" i="14"/>
  <c r="F340" i="14"/>
  <c r="G340" i="14"/>
  <c r="H340" i="14"/>
  <c r="C341" i="14"/>
  <c r="D341" i="14"/>
  <c r="E341" i="14"/>
  <c r="F341" i="14"/>
  <c r="G341" i="14"/>
  <c r="H341" i="14"/>
  <c r="C342" i="14"/>
  <c r="D342" i="14"/>
  <c r="E342" i="14"/>
  <c r="F342" i="14"/>
  <c r="G342" i="14"/>
  <c r="H342" i="14"/>
  <c r="C343" i="14"/>
  <c r="D343" i="14"/>
  <c r="E343" i="14"/>
  <c r="F343" i="14"/>
  <c r="G343" i="14"/>
  <c r="H343" i="14"/>
  <c r="C344" i="14"/>
  <c r="D344" i="14"/>
  <c r="E344" i="14"/>
  <c r="F344" i="14"/>
  <c r="G344" i="14"/>
  <c r="H344" i="14"/>
  <c r="C345" i="14"/>
  <c r="D345" i="14"/>
  <c r="E345" i="14"/>
  <c r="F345" i="14"/>
  <c r="G345" i="14"/>
  <c r="H345" i="14"/>
  <c r="C346" i="14"/>
  <c r="D346" i="14"/>
  <c r="E346" i="14"/>
  <c r="F346" i="14"/>
  <c r="G346" i="14"/>
  <c r="H346" i="14"/>
  <c r="C347" i="14"/>
  <c r="D347" i="14"/>
  <c r="E347" i="14"/>
  <c r="F347" i="14"/>
  <c r="G347" i="14"/>
  <c r="H347" i="14"/>
  <c r="C348" i="14"/>
  <c r="D348" i="14"/>
  <c r="E348" i="14"/>
  <c r="F348" i="14"/>
  <c r="G348" i="14"/>
  <c r="H348" i="14"/>
  <c r="C349" i="14"/>
  <c r="D349" i="14"/>
  <c r="E349" i="14"/>
  <c r="F349" i="14"/>
  <c r="G349" i="14"/>
  <c r="H349" i="14"/>
  <c r="C350" i="14"/>
  <c r="D350" i="14"/>
  <c r="E350" i="14"/>
  <c r="F350" i="14"/>
  <c r="G350" i="14"/>
  <c r="H350" i="14"/>
  <c r="C351" i="14"/>
  <c r="D351" i="14"/>
  <c r="E351" i="14"/>
  <c r="F351" i="14"/>
  <c r="G351" i="14"/>
  <c r="H351" i="14"/>
  <c r="C352" i="14"/>
  <c r="D352" i="14"/>
  <c r="E352" i="14"/>
  <c r="F352" i="14"/>
  <c r="G352" i="14"/>
  <c r="H352" i="14"/>
  <c r="C353" i="14"/>
  <c r="D353" i="14"/>
  <c r="E353" i="14"/>
  <c r="F353" i="14"/>
  <c r="G353" i="14"/>
  <c r="H353" i="14"/>
  <c r="C354" i="14"/>
  <c r="D354" i="14"/>
  <c r="E354" i="14"/>
  <c r="F354" i="14"/>
  <c r="G354" i="14"/>
  <c r="H354" i="14"/>
  <c r="C355" i="14"/>
  <c r="D355" i="14"/>
  <c r="E355" i="14"/>
  <c r="F355" i="14"/>
  <c r="G355" i="14"/>
  <c r="H355" i="14"/>
  <c r="K3" i="14"/>
  <c r="G2190" i="16"/>
  <c r="K2190" i="16"/>
  <c r="N2190" i="16"/>
  <c r="O2190" i="16"/>
  <c r="P2190" i="16" s="1"/>
  <c r="R2190" i="16"/>
  <c r="R2187" i="16"/>
  <c r="R2188" i="16"/>
  <c r="R2189" i="16"/>
  <c r="G2189" i="16"/>
  <c r="K2189" i="16"/>
  <c r="N2189" i="16"/>
  <c r="O2189" i="16"/>
  <c r="P2189" i="16" s="1"/>
  <c r="N2188" i="16"/>
  <c r="O2188" i="16"/>
  <c r="P2188" i="16" s="1"/>
  <c r="K2188" i="16"/>
  <c r="G2188" i="16"/>
  <c r="L3" i="14" l="1"/>
  <c r="G3" i="14" l="1"/>
  <c r="E3" i="14"/>
  <c r="C3" i="14"/>
  <c r="H3" i="14"/>
  <c r="F3" i="14"/>
  <c r="AT3" i="14"/>
  <c r="I3" i="14" s="1"/>
  <c r="D3" i="14"/>
  <c r="L373" i="3"/>
  <c r="M357" i="3"/>
  <c r="N357" i="3"/>
  <c r="O357" i="3"/>
  <c r="P357" i="3"/>
  <c r="Q357" i="3"/>
  <c r="M373" i="3"/>
  <c r="N373" i="3"/>
  <c r="O373" i="3"/>
  <c r="P373" i="3"/>
  <c r="Q373" i="3"/>
  <c r="M411" i="3"/>
  <c r="N411" i="3"/>
  <c r="O411" i="3"/>
  <c r="P411" i="3"/>
  <c r="Q411" i="3"/>
  <c r="M420" i="3"/>
  <c r="N420" i="3"/>
  <c r="O420" i="3"/>
  <c r="P420" i="3"/>
  <c r="Q420" i="3"/>
  <c r="G2187" i="16"/>
  <c r="K2187" i="16"/>
  <c r="N2187" i="16"/>
  <c r="O2187" i="16"/>
  <c r="P2187" i="16" s="1"/>
  <c r="G2186" i="16"/>
  <c r="K2186" i="16"/>
  <c r="N2186" i="16"/>
  <c r="O2186" i="16"/>
  <c r="P2186" i="16" s="1"/>
  <c r="R2186" i="16"/>
  <c r="M363" i="3" l="1"/>
  <c r="N363" i="3"/>
  <c r="O363" i="3"/>
  <c r="P363" i="3"/>
  <c r="Q363" i="3"/>
  <c r="L363" i="3"/>
  <c r="M393" i="3"/>
  <c r="N393" i="3"/>
  <c r="O393" i="3"/>
  <c r="P393" i="3"/>
  <c r="Q393" i="3"/>
  <c r="L393" i="3"/>
  <c r="M399" i="3"/>
  <c r="N399" i="3"/>
  <c r="O399" i="3"/>
  <c r="P399" i="3"/>
  <c r="Q399" i="3"/>
  <c r="L399" i="3"/>
  <c r="M391" i="3"/>
  <c r="N391" i="3"/>
  <c r="O391" i="3"/>
  <c r="P391" i="3"/>
  <c r="Q391" i="3"/>
  <c r="L391" i="3"/>
  <c r="L413" i="3"/>
  <c r="L383" i="3"/>
  <c r="L411" i="3"/>
  <c r="L420" i="3"/>
  <c r="L357" i="3"/>
  <c r="M404" i="3"/>
  <c r="N404" i="3"/>
  <c r="O404" i="3"/>
  <c r="P404" i="3"/>
  <c r="Q404" i="3"/>
  <c r="L404" i="3"/>
  <c r="M409" i="3"/>
  <c r="N409" i="3"/>
  <c r="O409" i="3"/>
  <c r="P409" i="3"/>
  <c r="Q409" i="3"/>
  <c r="L409" i="3"/>
  <c r="M384" i="3"/>
  <c r="N384" i="3"/>
  <c r="O384" i="3"/>
  <c r="P384" i="3"/>
  <c r="Q384" i="3"/>
  <c r="L384" i="3"/>
  <c r="M377" i="3"/>
  <c r="N377" i="3"/>
  <c r="O377" i="3"/>
  <c r="P377" i="3"/>
  <c r="L377" i="3"/>
  <c r="M372" i="3"/>
  <c r="N372" i="3"/>
  <c r="O372" i="3"/>
  <c r="P372" i="3"/>
  <c r="Q372" i="3"/>
  <c r="L372" i="3"/>
  <c r="M415" i="3"/>
  <c r="N415" i="3"/>
  <c r="O415" i="3"/>
  <c r="P415" i="3"/>
  <c r="Q415" i="3"/>
  <c r="L415" i="3"/>
  <c r="M375" i="3"/>
  <c r="N375" i="3"/>
  <c r="O375" i="3"/>
  <c r="P375" i="3"/>
  <c r="Q375" i="3"/>
  <c r="M365" i="3"/>
  <c r="N365" i="3"/>
  <c r="O365" i="3"/>
  <c r="P365" i="3"/>
  <c r="Q365" i="3"/>
  <c r="L365" i="3"/>
  <c r="L375" i="3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M397" i="3" l="1"/>
  <c r="N397" i="3"/>
  <c r="O397" i="3"/>
  <c r="P397" i="3"/>
  <c r="Q397" i="3"/>
  <c r="L397" i="3"/>
  <c r="M417" i="3"/>
  <c r="N417" i="3"/>
  <c r="O417" i="3"/>
  <c r="P417" i="3"/>
  <c r="Q417" i="3"/>
  <c r="L417" i="3"/>
  <c r="M423" i="3"/>
  <c r="N423" i="3"/>
  <c r="O423" i="3"/>
  <c r="P423" i="3"/>
  <c r="Q423" i="3"/>
  <c r="L423" i="3"/>
  <c r="M421" i="3"/>
  <c r="N421" i="3"/>
  <c r="O421" i="3"/>
  <c r="P421" i="3"/>
  <c r="Q421" i="3"/>
  <c r="M374" i="3"/>
  <c r="N374" i="3"/>
  <c r="O374" i="3"/>
  <c r="P374" i="3"/>
  <c r="Q374" i="3"/>
  <c r="L374" i="3"/>
  <c r="L421" i="3"/>
  <c r="M402" i="3"/>
  <c r="N402" i="3"/>
  <c r="O402" i="3"/>
  <c r="P402" i="3"/>
  <c r="Q402" i="3"/>
  <c r="L402" i="3"/>
  <c r="M382" i="3"/>
  <c r="N382" i="3"/>
  <c r="O382" i="3"/>
  <c r="P382" i="3"/>
  <c r="Q382" i="3"/>
  <c r="L382" i="3"/>
  <c r="M395" i="3"/>
  <c r="N395" i="3"/>
  <c r="O395" i="3"/>
  <c r="P395" i="3"/>
  <c r="Q395" i="3"/>
  <c r="L395" i="3"/>
  <c r="M406" i="3"/>
  <c r="N406" i="3"/>
  <c r="O406" i="3"/>
  <c r="P406" i="3"/>
  <c r="Q406" i="3"/>
  <c r="L406" i="3"/>
  <c r="M392" i="3"/>
  <c r="N392" i="3"/>
  <c r="O392" i="3"/>
  <c r="P392" i="3"/>
  <c r="Q392" i="3"/>
  <c r="L392" i="3"/>
  <c r="M407" i="3"/>
  <c r="N407" i="3"/>
  <c r="O407" i="3"/>
  <c r="P407" i="3"/>
  <c r="Q407" i="3"/>
  <c r="L407" i="3"/>
  <c r="M358" i="3"/>
  <c r="N358" i="3"/>
  <c r="O358" i="3"/>
  <c r="P358" i="3"/>
  <c r="Q358" i="3"/>
  <c r="M379" i="3"/>
  <c r="N379" i="3"/>
  <c r="O379" i="3"/>
  <c r="P379" i="3"/>
  <c r="Q379" i="3"/>
  <c r="M396" i="3"/>
  <c r="N396" i="3"/>
  <c r="O396" i="3"/>
  <c r="P396" i="3"/>
  <c r="Q396" i="3"/>
  <c r="M388" i="3"/>
  <c r="N388" i="3"/>
  <c r="O388" i="3"/>
  <c r="P388" i="3"/>
  <c r="Q388" i="3"/>
  <c r="M362" i="3"/>
  <c r="N362" i="3"/>
  <c r="O362" i="3"/>
  <c r="P362" i="3"/>
  <c r="Q362" i="3"/>
  <c r="L358" i="3"/>
  <c r="L379" i="3"/>
  <c r="L396" i="3"/>
  <c r="L388" i="3"/>
  <c r="L362" i="3"/>
  <c r="M369" i="3" l="1"/>
  <c r="N369" i="3"/>
  <c r="O369" i="3"/>
  <c r="P369" i="3"/>
  <c r="Q369" i="3"/>
  <c r="M390" i="3"/>
  <c r="N390" i="3"/>
  <c r="O390" i="3"/>
  <c r="P390" i="3"/>
  <c r="Q390" i="3"/>
  <c r="L369" i="3"/>
  <c r="L390" i="3"/>
  <c r="M387" i="3"/>
  <c r="N387" i="3"/>
  <c r="O387" i="3"/>
  <c r="P387" i="3"/>
  <c r="Q387" i="3"/>
  <c r="L387" i="3"/>
  <c r="M368" i="3"/>
  <c r="N368" i="3"/>
  <c r="O368" i="3"/>
  <c r="P368" i="3"/>
  <c r="Q368" i="3"/>
  <c r="M366" i="3"/>
  <c r="N366" i="3"/>
  <c r="O366" i="3"/>
  <c r="P366" i="3"/>
  <c r="Q366" i="3"/>
  <c r="M376" i="3"/>
  <c r="N376" i="3"/>
  <c r="O376" i="3"/>
  <c r="P376" i="3"/>
  <c r="Q376" i="3"/>
  <c r="M364" i="3"/>
  <c r="N364" i="3"/>
  <c r="O364" i="3"/>
  <c r="P364" i="3"/>
  <c r="Q364" i="3"/>
  <c r="M386" i="3"/>
  <c r="N386" i="3"/>
  <c r="O386" i="3"/>
  <c r="P386" i="3"/>
  <c r="Q386" i="3"/>
  <c r="L386" i="3"/>
  <c r="L364" i="3"/>
  <c r="L376" i="3"/>
  <c r="L366" i="3"/>
  <c r="L368" i="3"/>
  <c r="M410" i="3"/>
  <c r="N410" i="3"/>
  <c r="O410" i="3"/>
  <c r="P410" i="3"/>
  <c r="Q410" i="3"/>
  <c r="M394" i="3"/>
  <c r="N394" i="3"/>
  <c r="O394" i="3"/>
  <c r="P394" i="3"/>
  <c r="Q394" i="3"/>
  <c r="M418" i="3"/>
  <c r="N418" i="3"/>
  <c r="O418" i="3"/>
  <c r="P418" i="3"/>
  <c r="Q418" i="3"/>
  <c r="M361" i="3"/>
  <c r="N361" i="3"/>
  <c r="O361" i="3"/>
  <c r="P361" i="3"/>
  <c r="Q361" i="3"/>
  <c r="L361" i="3"/>
  <c r="L418" i="3"/>
  <c r="L394" i="3"/>
  <c r="L410" i="3"/>
  <c r="M419" i="3"/>
  <c r="N419" i="3"/>
  <c r="O419" i="3"/>
  <c r="P419" i="3"/>
  <c r="Q419" i="3"/>
  <c r="M381" i="3"/>
  <c r="N381" i="3"/>
  <c r="O381" i="3"/>
  <c r="P381" i="3"/>
  <c r="Q381" i="3"/>
  <c r="M408" i="3"/>
  <c r="N408" i="3"/>
  <c r="O408" i="3"/>
  <c r="P408" i="3"/>
  <c r="Q408" i="3"/>
  <c r="M371" i="3"/>
  <c r="N371" i="3"/>
  <c r="O371" i="3"/>
  <c r="P371" i="3"/>
  <c r="Q371" i="3"/>
  <c r="M380" i="3"/>
  <c r="N380" i="3"/>
  <c r="O380" i="3"/>
  <c r="P380" i="3"/>
  <c r="Q380" i="3"/>
  <c r="M400" i="3"/>
  <c r="N400" i="3"/>
  <c r="O400" i="3"/>
  <c r="P400" i="3"/>
  <c r="Q400" i="3"/>
  <c r="M403" i="3"/>
  <c r="N403" i="3"/>
  <c r="O403" i="3"/>
  <c r="P403" i="3"/>
  <c r="Q403" i="3"/>
  <c r="M356" i="3"/>
  <c r="N356" i="3"/>
  <c r="O356" i="3"/>
  <c r="P356" i="3"/>
  <c r="Q356" i="3"/>
  <c r="M385" i="3"/>
  <c r="N385" i="3"/>
  <c r="O385" i="3"/>
  <c r="P385" i="3"/>
  <c r="Q385" i="3"/>
  <c r="M378" i="3"/>
  <c r="N378" i="3"/>
  <c r="O378" i="3"/>
  <c r="P378" i="3"/>
  <c r="Q378" i="3"/>
  <c r="M389" i="3"/>
  <c r="N389" i="3"/>
  <c r="O389" i="3"/>
  <c r="P389" i="3"/>
  <c r="Q389" i="3"/>
  <c r="M414" i="3"/>
  <c r="N414" i="3"/>
  <c r="O414" i="3"/>
  <c r="P414" i="3"/>
  <c r="Q414" i="3"/>
  <c r="L414" i="3"/>
  <c r="L389" i="3"/>
  <c r="L378" i="3"/>
  <c r="L385" i="3"/>
  <c r="L356" i="3"/>
  <c r="L403" i="3"/>
  <c r="L400" i="3"/>
  <c r="L381" i="3"/>
  <c r="L408" i="3"/>
  <c r="L371" i="3"/>
  <c r="M405" i="3" l="1"/>
  <c r="N405" i="3"/>
  <c r="O405" i="3"/>
  <c r="P405" i="3"/>
  <c r="Q405" i="3"/>
  <c r="M401" i="3"/>
  <c r="N401" i="3"/>
  <c r="O401" i="3"/>
  <c r="P401" i="3"/>
  <c r="Q401" i="3"/>
  <c r="M412" i="3"/>
  <c r="N412" i="3"/>
  <c r="O412" i="3"/>
  <c r="P412" i="3"/>
  <c r="Q412" i="3"/>
  <c r="M370" i="3"/>
  <c r="N370" i="3"/>
  <c r="O370" i="3"/>
  <c r="P370" i="3"/>
  <c r="Q370" i="3"/>
  <c r="M360" i="3"/>
  <c r="N360" i="3"/>
  <c r="O360" i="3"/>
  <c r="P360" i="3"/>
  <c r="Q360" i="3"/>
  <c r="Q377" i="3"/>
  <c r="M383" i="3"/>
  <c r="N383" i="3"/>
  <c r="O383" i="3"/>
  <c r="P383" i="3"/>
  <c r="Q383" i="3"/>
  <c r="M413" i="3"/>
  <c r="N413" i="3"/>
  <c r="O413" i="3"/>
  <c r="P413" i="3"/>
  <c r="Q413" i="3"/>
  <c r="M422" i="3"/>
  <c r="N422" i="3"/>
  <c r="O422" i="3"/>
  <c r="P422" i="3"/>
  <c r="Q422" i="3"/>
  <c r="M398" i="3"/>
  <c r="N398" i="3"/>
  <c r="O398" i="3"/>
  <c r="P398" i="3"/>
  <c r="Q398" i="3"/>
  <c r="M359" i="3"/>
  <c r="N359" i="3"/>
  <c r="O359" i="3"/>
  <c r="P359" i="3"/>
  <c r="Q359" i="3"/>
  <c r="M416" i="3"/>
  <c r="N416" i="3"/>
  <c r="O416" i="3"/>
  <c r="P416" i="3"/>
  <c r="Q416" i="3"/>
  <c r="M367" i="3"/>
  <c r="N367" i="3"/>
  <c r="O367" i="3"/>
  <c r="P367" i="3"/>
  <c r="Q367" i="3"/>
  <c r="L367" i="3"/>
  <c r="L416" i="3"/>
  <c r="L359" i="3"/>
  <c r="L398" i="3"/>
  <c r="L422" i="3"/>
  <c r="L360" i="3"/>
  <c r="L370" i="3"/>
  <c r="L405" i="3"/>
  <c r="L419" i="3" l="1"/>
  <c r="A352" i="11" l="1"/>
  <c r="A353" i="11"/>
  <c r="A354" i="11"/>
  <c r="A355" i="11"/>
  <c r="A356" i="11"/>
  <c r="B4" i="1"/>
  <c r="L412" i="3"/>
  <c r="L401" i="3"/>
  <c r="L380" i="3"/>
  <c r="AQ4" i="17" l="1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Q21" i="17"/>
  <c r="AQ22" i="17"/>
  <c r="AQ23" i="17"/>
  <c r="AQ24" i="17"/>
  <c r="AQ25" i="17"/>
  <c r="AQ26" i="17"/>
  <c r="AQ27" i="17"/>
  <c r="AQ28" i="17"/>
  <c r="AQ29" i="17"/>
  <c r="AQ30" i="17"/>
  <c r="AQ31" i="17"/>
  <c r="AQ32" i="17"/>
  <c r="AQ33" i="17"/>
  <c r="AQ34" i="17"/>
  <c r="AQ35" i="17"/>
  <c r="AQ36" i="17"/>
  <c r="AQ37" i="17"/>
  <c r="AQ38" i="17"/>
  <c r="AQ39" i="17"/>
  <c r="AQ40" i="17"/>
  <c r="AQ41" i="17"/>
  <c r="AQ42" i="17"/>
  <c r="AQ43" i="17"/>
  <c r="AQ44" i="17"/>
  <c r="AQ45" i="17"/>
  <c r="AQ46" i="17"/>
  <c r="AQ47" i="17"/>
  <c r="AQ48" i="17"/>
  <c r="AQ49" i="17"/>
  <c r="AQ50" i="17"/>
  <c r="AQ51" i="17"/>
  <c r="AQ52" i="17"/>
  <c r="AQ53" i="17"/>
  <c r="AQ54" i="17"/>
  <c r="AQ55" i="17"/>
  <c r="AQ56" i="17"/>
  <c r="AQ57" i="17"/>
  <c r="AQ58" i="17"/>
  <c r="AQ59" i="17"/>
  <c r="AQ60" i="17"/>
  <c r="AQ61" i="17"/>
  <c r="AQ62" i="17"/>
  <c r="AQ63" i="17"/>
  <c r="AQ64" i="17"/>
  <c r="AQ65" i="17"/>
  <c r="AQ66" i="17"/>
  <c r="AQ67" i="17"/>
  <c r="AQ68" i="17"/>
  <c r="AQ69" i="17"/>
  <c r="AQ70" i="17"/>
  <c r="AQ71" i="17"/>
  <c r="AQ72" i="17"/>
  <c r="AQ73" i="17"/>
  <c r="AQ74" i="17"/>
  <c r="AQ75" i="17"/>
  <c r="AQ76" i="17"/>
  <c r="AQ77" i="17"/>
  <c r="AQ78" i="17"/>
  <c r="AQ79" i="17"/>
  <c r="AQ80" i="17"/>
  <c r="AQ81" i="17"/>
  <c r="AQ82" i="17"/>
  <c r="AQ83" i="17"/>
  <c r="AQ84" i="17"/>
  <c r="AQ85" i="17"/>
  <c r="AQ86" i="17"/>
  <c r="AQ87" i="17"/>
  <c r="AQ88" i="17"/>
  <c r="AQ89" i="17"/>
  <c r="AQ90" i="17"/>
  <c r="AQ91" i="17"/>
  <c r="AQ92" i="17"/>
  <c r="AQ93" i="17"/>
  <c r="AQ94" i="17"/>
  <c r="AQ95" i="17"/>
  <c r="AQ96" i="17"/>
  <c r="AQ97" i="17"/>
  <c r="AQ98" i="17"/>
  <c r="AQ99" i="17"/>
  <c r="AQ100" i="17"/>
  <c r="AQ101" i="17"/>
  <c r="AQ102" i="17"/>
  <c r="AQ103" i="17"/>
  <c r="AQ104" i="17"/>
  <c r="AQ105" i="17"/>
  <c r="AQ106" i="17"/>
  <c r="AQ107" i="17"/>
  <c r="AQ108" i="17"/>
  <c r="AQ109" i="17"/>
  <c r="AQ110" i="17"/>
  <c r="AQ111" i="17"/>
  <c r="AQ112" i="17"/>
  <c r="AQ113" i="17"/>
  <c r="AQ114" i="17"/>
  <c r="AQ115" i="17"/>
  <c r="AQ116" i="17"/>
  <c r="AQ117" i="17"/>
  <c r="AQ118" i="17"/>
  <c r="AQ119" i="17"/>
  <c r="AQ120" i="17"/>
  <c r="AQ121" i="17"/>
  <c r="AQ122" i="17"/>
  <c r="AQ123" i="17"/>
  <c r="AQ124" i="17"/>
  <c r="AQ125" i="17"/>
  <c r="AQ126" i="17"/>
  <c r="AQ127" i="17"/>
  <c r="AQ128" i="17"/>
  <c r="AQ129" i="17"/>
  <c r="AQ130" i="17"/>
  <c r="AQ131" i="17"/>
  <c r="AQ132" i="17"/>
  <c r="AQ133" i="17"/>
  <c r="AQ134" i="17"/>
  <c r="AQ135" i="17"/>
  <c r="AQ136" i="17"/>
  <c r="AQ137" i="17"/>
  <c r="AQ138" i="17"/>
  <c r="AQ139" i="17"/>
  <c r="AQ140" i="17"/>
  <c r="AQ141" i="17"/>
  <c r="AQ142" i="17"/>
  <c r="AQ143" i="17"/>
  <c r="AQ144" i="17"/>
  <c r="AQ145" i="17"/>
  <c r="AQ146" i="17"/>
  <c r="AQ147" i="17"/>
  <c r="AQ148" i="17"/>
  <c r="AQ149" i="17"/>
  <c r="AQ150" i="17"/>
  <c r="AQ151" i="17"/>
  <c r="AQ152" i="17"/>
  <c r="AQ153" i="17"/>
  <c r="AQ154" i="17"/>
  <c r="AQ155" i="17"/>
  <c r="AQ156" i="17"/>
  <c r="AQ157" i="17"/>
  <c r="AQ158" i="17"/>
  <c r="AQ159" i="17"/>
  <c r="AQ160" i="17"/>
  <c r="AQ161" i="17"/>
  <c r="AQ162" i="17"/>
  <c r="AQ163" i="17"/>
  <c r="AQ164" i="17"/>
  <c r="AQ165" i="17"/>
  <c r="AQ166" i="17"/>
  <c r="AQ167" i="17"/>
  <c r="AQ168" i="17"/>
  <c r="AQ169" i="17"/>
  <c r="AQ170" i="17"/>
  <c r="AQ171" i="17"/>
  <c r="AQ172" i="17"/>
  <c r="AQ173" i="17"/>
  <c r="AQ174" i="17"/>
  <c r="AQ175" i="17"/>
  <c r="AQ176" i="17"/>
  <c r="AQ177" i="17"/>
  <c r="AQ178" i="17"/>
  <c r="AQ179" i="17"/>
  <c r="AQ180" i="17"/>
  <c r="AQ181" i="17"/>
  <c r="AQ182" i="17"/>
  <c r="AQ183" i="17"/>
  <c r="AQ184" i="17"/>
  <c r="AQ185" i="17"/>
  <c r="AQ186" i="17"/>
  <c r="AQ187" i="17"/>
  <c r="AQ188" i="17"/>
  <c r="AQ189" i="17"/>
  <c r="AQ190" i="17"/>
  <c r="AQ191" i="17"/>
  <c r="AQ192" i="17"/>
  <c r="AQ193" i="17"/>
  <c r="AQ194" i="17"/>
  <c r="AQ195" i="17"/>
  <c r="AQ196" i="17"/>
  <c r="AQ197" i="17"/>
  <c r="AQ198" i="17"/>
  <c r="AQ199" i="17"/>
  <c r="AQ200" i="17"/>
  <c r="AQ201" i="17"/>
  <c r="AQ202" i="17"/>
  <c r="AQ203" i="17"/>
  <c r="AQ204" i="17"/>
  <c r="AQ205" i="17"/>
  <c r="AQ206" i="17"/>
  <c r="AQ207" i="17"/>
  <c r="AQ208" i="17"/>
  <c r="AQ209" i="17"/>
  <c r="AQ210" i="17"/>
  <c r="AQ211" i="17"/>
  <c r="AQ212" i="17"/>
  <c r="AQ213" i="17"/>
  <c r="AQ214" i="17"/>
  <c r="AQ215" i="17"/>
  <c r="AQ216" i="17"/>
  <c r="AQ217" i="17"/>
  <c r="AQ218" i="17"/>
  <c r="AQ219" i="17"/>
  <c r="AQ220" i="17"/>
  <c r="AQ221" i="17"/>
  <c r="AQ222" i="17"/>
  <c r="AQ223" i="17"/>
  <c r="AQ224" i="17"/>
  <c r="AQ225" i="17"/>
  <c r="AQ226" i="17"/>
  <c r="AQ227" i="17"/>
  <c r="AQ228" i="17"/>
  <c r="AQ229" i="17"/>
  <c r="AQ230" i="17"/>
  <c r="AQ231" i="17"/>
  <c r="AQ232" i="17"/>
  <c r="AQ233" i="17"/>
  <c r="AQ234" i="17"/>
  <c r="AQ235" i="17"/>
  <c r="AQ236" i="17"/>
  <c r="AQ237" i="17"/>
  <c r="AQ238" i="17"/>
  <c r="AQ239" i="17"/>
  <c r="AQ240" i="17"/>
  <c r="AQ241" i="17"/>
  <c r="AQ242" i="17"/>
  <c r="AQ243" i="17"/>
  <c r="AQ244" i="17"/>
  <c r="AQ245" i="17"/>
  <c r="AQ246" i="17"/>
  <c r="AQ247" i="17"/>
  <c r="AQ248" i="17"/>
  <c r="AQ249" i="17"/>
  <c r="AQ250" i="17"/>
  <c r="AQ251" i="17"/>
  <c r="AQ252" i="17"/>
  <c r="AQ253" i="17"/>
  <c r="AQ254" i="17"/>
  <c r="AQ255" i="17"/>
  <c r="AQ256" i="17"/>
  <c r="AQ257" i="17"/>
  <c r="AQ258" i="17"/>
  <c r="AQ259" i="17"/>
  <c r="AQ260" i="17"/>
  <c r="AQ261" i="17"/>
  <c r="AQ262" i="17"/>
  <c r="AQ263" i="17"/>
  <c r="AQ264" i="17"/>
  <c r="AQ265" i="17"/>
  <c r="AQ266" i="17"/>
  <c r="AQ267" i="17"/>
  <c r="AQ268" i="17"/>
  <c r="AQ269" i="17"/>
  <c r="AQ270" i="17"/>
  <c r="AQ271" i="17"/>
  <c r="AQ272" i="17"/>
  <c r="AQ273" i="17"/>
  <c r="AQ274" i="17"/>
  <c r="AQ275" i="17"/>
  <c r="AQ276" i="17"/>
  <c r="AQ277" i="17"/>
  <c r="AQ278" i="17"/>
  <c r="AQ279" i="17"/>
  <c r="AQ280" i="17"/>
  <c r="AQ281" i="17"/>
  <c r="AQ282" i="17"/>
  <c r="AQ283" i="17"/>
  <c r="AQ284" i="17"/>
  <c r="AQ285" i="17"/>
  <c r="AQ286" i="17"/>
  <c r="AQ287" i="17"/>
  <c r="AQ288" i="17"/>
  <c r="AQ289" i="17"/>
  <c r="AQ290" i="17"/>
  <c r="AQ291" i="17"/>
  <c r="AQ292" i="17"/>
  <c r="AQ293" i="17"/>
  <c r="AQ294" i="17"/>
  <c r="AQ295" i="17"/>
  <c r="AQ296" i="17"/>
  <c r="AQ297" i="17"/>
  <c r="AQ298" i="17"/>
  <c r="AQ299" i="17"/>
  <c r="AQ300" i="17"/>
  <c r="AQ301" i="17"/>
  <c r="AQ302" i="17"/>
  <c r="AQ303" i="17"/>
  <c r="AQ304" i="17"/>
  <c r="AQ305" i="17"/>
  <c r="AQ306" i="17"/>
  <c r="AQ307" i="17"/>
  <c r="AQ308" i="17"/>
  <c r="AQ309" i="17"/>
  <c r="AQ310" i="17"/>
  <c r="AQ311" i="17"/>
  <c r="AQ312" i="17"/>
  <c r="AQ313" i="17"/>
  <c r="AQ314" i="17"/>
  <c r="AQ315" i="17"/>
  <c r="AQ316" i="17"/>
  <c r="AQ317" i="17"/>
  <c r="AQ318" i="17"/>
  <c r="AQ319" i="17"/>
  <c r="AQ320" i="17"/>
  <c r="AQ321" i="17"/>
  <c r="AQ322" i="17"/>
  <c r="AQ323" i="17"/>
  <c r="AQ324" i="17"/>
  <c r="AQ325" i="17"/>
  <c r="AQ326" i="17"/>
  <c r="AQ327" i="17"/>
  <c r="AQ328" i="17"/>
  <c r="AQ329" i="17"/>
  <c r="AQ330" i="17"/>
  <c r="AQ331" i="17"/>
  <c r="AQ332" i="17"/>
  <c r="AQ333" i="17"/>
  <c r="AQ334" i="17"/>
  <c r="AQ335" i="17"/>
  <c r="AQ336" i="17"/>
  <c r="AQ337" i="17"/>
  <c r="AQ338" i="17"/>
  <c r="AQ339" i="17"/>
  <c r="AQ340" i="17"/>
  <c r="AQ341" i="17"/>
  <c r="AQ342" i="17"/>
  <c r="AQ343" i="17"/>
  <c r="AQ344" i="17"/>
  <c r="AQ345" i="17"/>
  <c r="AQ346" i="17"/>
  <c r="AQ347" i="17"/>
  <c r="AQ348" i="17"/>
  <c r="AQ349" i="17"/>
  <c r="AQ350" i="17"/>
  <c r="AQ351" i="17"/>
  <c r="AQ352" i="17"/>
  <c r="AQ353" i="17"/>
  <c r="AQ354" i="17"/>
  <c r="AQ355" i="17"/>
  <c r="AQ3" i="17"/>
  <c r="A354" i="14" l="1"/>
  <c r="A355" i="14"/>
  <c r="A257" i="13"/>
  <c r="A237" i="13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" i="14"/>
  <c r="A1" i="14" l="1"/>
  <c r="F3" i="17"/>
  <c r="G2185" i="16"/>
  <c r="K2185" i="16"/>
  <c r="N2185" i="16"/>
  <c r="O2185" i="16"/>
  <c r="P2185" i="16" s="1"/>
  <c r="R2185" i="16"/>
  <c r="G2184" i="16"/>
  <c r="K2184" i="16"/>
  <c r="N2184" i="16"/>
  <c r="O2184" i="16"/>
  <c r="P2184" i="16" s="1"/>
  <c r="R2184" i="16"/>
  <c r="G2183" i="16" l="1"/>
  <c r="K2183" i="16"/>
  <c r="N2183" i="16"/>
  <c r="O2183" i="16"/>
  <c r="P2183" i="16" s="1"/>
  <c r="R2183" i="16"/>
  <c r="G2182" i="16" l="1"/>
  <c r="K2182" i="16"/>
  <c r="N2182" i="16"/>
  <c r="O2182" i="16"/>
  <c r="P2182" i="16" s="1"/>
  <c r="R2182" i="16"/>
  <c r="G2181" i="16"/>
  <c r="K2181" i="16"/>
  <c r="N2181" i="16"/>
  <c r="O2181" i="16"/>
  <c r="P2181" i="16" s="1"/>
  <c r="R2181" i="16"/>
  <c r="G2180" i="16" l="1"/>
  <c r="K2180" i="16"/>
  <c r="N2180" i="16"/>
  <c r="O2180" i="16"/>
  <c r="P2180" i="16" s="1"/>
  <c r="R2180" i="16"/>
  <c r="G2179" i="16" l="1"/>
  <c r="K2179" i="16"/>
  <c r="N2179" i="16"/>
  <c r="O2179" i="16"/>
  <c r="P2179" i="16" s="1"/>
  <c r="R2179" i="16"/>
  <c r="G2178" i="16" l="1"/>
  <c r="K2178" i="16"/>
  <c r="N2178" i="16"/>
  <c r="O2178" i="16"/>
  <c r="P2178" i="16" s="1"/>
  <c r="R2178" i="16"/>
  <c r="G2177" i="16"/>
  <c r="K2177" i="16"/>
  <c r="N2177" i="16"/>
  <c r="O2177" i="16"/>
  <c r="P2177" i="16" s="1"/>
  <c r="R2177" i="16"/>
  <c r="G2176" i="16" l="1"/>
  <c r="K2176" i="16"/>
  <c r="N2176" i="16"/>
  <c r="O2176" i="16"/>
  <c r="P2176" i="16" s="1"/>
  <c r="R2176" i="16"/>
  <c r="G2175" i="16"/>
  <c r="K2175" i="16"/>
  <c r="N2175" i="16"/>
  <c r="O2175" i="16"/>
  <c r="P2175" i="16" s="1"/>
  <c r="R2175" i="16"/>
  <c r="G2174" i="16" l="1"/>
  <c r="K2174" i="16"/>
  <c r="N2174" i="16"/>
  <c r="O2174" i="16"/>
  <c r="P2174" i="16" s="1"/>
  <c r="R2174" i="16"/>
  <c r="G2173" i="16"/>
  <c r="K2173" i="16"/>
  <c r="N2173" i="16"/>
  <c r="O2173" i="16"/>
  <c r="P2173" i="16" s="1"/>
  <c r="R2173" i="16"/>
  <c r="G2172" i="16"/>
  <c r="K2172" i="16"/>
  <c r="N2172" i="16"/>
  <c r="O2172" i="16"/>
  <c r="P2172" i="16" s="1"/>
  <c r="R2172" i="16"/>
  <c r="G2171" i="16"/>
  <c r="K2171" i="16"/>
  <c r="N2171" i="16"/>
  <c r="O2171" i="16"/>
  <c r="P2171" i="16" s="1"/>
  <c r="R2171" i="16"/>
  <c r="G2170" i="16" l="1"/>
  <c r="K2170" i="16"/>
  <c r="N2170" i="16"/>
  <c r="O2170" i="16"/>
  <c r="P2170" i="16" s="1"/>
  <c r="R2170" i="16"/>
  <c r="G2169" i="16"/>
  <c r="K2169" i="16"/>
  <c r="N2169" i="16"/>
  <c r="O2169" i="16"/>
  <c r="P2169" i="16" s="1"/>
  <c r="R2169" i="16"/>
  <c r="G2168" i="16"/>
  <c r="K2168" i="16"/>
  <c r="N2168" i="16"/>
  <c r="O2168" i="16"/>
  <c r="P2168" i="16" s="1"/>
  <c r="R2168" i="16"/>
  <c r="G2167" i="16" l="1"/>
  <c r="K2167" i="16"/>
  <c r="N2167" i="16"/>
  <c r="O2167" i="16"/>
  <c r="P2167" i="16" s="1"/>
  <c r="R2167" i="16"/>
  <c r="G2166" i="16"/>
  <c r="K2166" i="16"/>
  <c r="N2166" i="16"/>
  <c r="O2166" i="16"/>
  <c r="P2166" i="16" s="1"/>
  <c r="R2166" i="16"/>
  <c r="G2165" i="16"/>
  <c r="K2165" i="16"/>
  <c r="N2165" i="16"/>
  <c r="O2165" i="16"/>
  <c r="P2165" i="16" s="1"/>
  <c r="R2165" i="16"/>
  <c r="G2164" i="16"/>
  <c r="K2164" i="16"/>
  <c r="N2164" i="16"/>
  <c r="O2164" i="16"/>
  <c r="P2164" i="16" s="1"/>
  <c r="R2164" i="16"/>
  <c r="G2163" i="16"/>
  <c r="K2163" i="16"/>
  <c r="N2163" i="16"/>
  <c r="O2163" i="16"/>
  <c r="P2163" i="16" s="1"/>
  <c r="R2163" i="16"/>
  <c r="G2162" i="16" l="1"/>
  <c r="K2162" i="16"/>
  <c r="N2162" i="16"/>
  <c r="O2162" i="16"/>
  <c r="P2162" i="16" s="1"/>
  <c r="R2162" i="16"/>
  <c r="G2161" i="16"/>
  <c r="K2161" i="16"/>
  <c r="N2161" i="16"/>
  <c r="O2161" i="16"/>
  <c r="P2161" i="16" s="1"/>
  <c r="R2161" i="16"/>
  <c r="G2160" i="16"/>
  <c r="K2160" i="16"/>
  <c r="N2160" i="16"/>
  <c r="O2160" i="16"/>
  <c r="P2160" i="16" s="1"/>
  <c r="R2160" i="16"/>
  <c r="G2159" i="16"/>
  <c r="K2159" i="16"/>
  <c r="N2159" i="16"/>
  <c r="O2159" i="16"/>
  <c r="P2159" i="16" s="1"/>
  <c r="R2159" i="16"/>
  <c r="G2158" i="16"/>
  <c r="K2158" i="16"/>
  <c r="N2158" i="16"/>
  <c r="O2158" i="16"/>
  <c r="P2158" i="16" s="1"/>
  <c r="R2158" i="16"/>
  <c r="G2157" i="16" l="1"/>
  <c r="K2157" i="16"/>
  <c r="N2157" i="16"/>
  <c r="O2157" i="16"/>
  <c r="P2157" i="16" s="1"/>
  <c r="R2157" i="16"/>
  <c r="G2156" i="16" l="1"/>
  <c r="K2156" i="16"/>
  <c r="N2156" i="16"/>
  <c r="O2156" i="16"/>
  <c r="P2156" i="16" s="1"/>
  <c r="R2156" i="16"/>
  <c r="G2155" i="16"/>
  <c r="K2155" i="16"/>
  <c r="N2155" i="16"/>
  <c r="O2155" i="16"/>
  <c r="P2155" i="16" s="1"/>
  <c r="R2155" i="16"/>
  <c r="G2154" i="16" l="1"/>
  <c r="K2154" i="16"/>
  <c r="N2154" i="16"/>
  <c r="O2154" i="16"/>
  <c r="P2154" i="16" s="1"/>
  <c r="R2154" i="16"/>
  <c r="G2153" i="16"/>
  <c r="K2153" i="16"/>
  <c r="N2153" i="16"/>
  <c r="O2153" i="16"/>
  <c r="P2153" i="16" s="1"/>
  <c r="R2153" i="16"/>
  <c r="G2152" i="16"/>
  <c r="K2152" i="16"/>
  <c r="N2152" i="16"/>
  <c r="O2152" i="16"/>
  <c r="P2152" i="16" s="1"/>
  <c r="R2152" i="16"/>
  <c r="G2151" i="16"/>
  <c r="K2151" i="16"/>
  <c r="N2151" i="16"/>
  <c r="O2151" i="16"/>
  <c r="P2151" i="16" s="1"/>
  <c r="R2151" i="16"/>
  <c r="G2150" i="16"/>
  <c r="K2150" i="16"/>
  <c r="N2150" i="16"/>
  <c r="O2150" i="16"/>
  <c r="P2150" i="16" s="1"/>
  <c r="R2150" i="16"/>
  <c r="G2149" i="16"/>
  <c r="K2149" i="16"/>
  <c r="N2149" i="16"/>
  <c r="O2149" i="16"/>
  <c r="P2149" i="16" s="1"/>
  <c r="R2149" i="16"/>
  <c r="G2148" i="16"/>
  <c r="K2148" i="16"/>
  <c r="N2148" i="16"/>
  <c r="O2148" i="16"/>
  <c r="P2148" i="16" s="1"/>
  <c r="R2148" i="16"/>
  <c r="G2147" i="16"/>
  <c r="K2147" i="16"/>
  <c r="N2147" i="16"/>
  <c r="O2147" i="16"/>
  <c r="P2147" i="16" s="1"/>
  <c r="R2147" i="16"/>
  <c r="G2146" i="16"/>
  <c r="K2146" i="16"/>
  <c r="N2146" i="16"/>
  <c r="O2146" i="16"/>
  <c r="P2146" i="16" s="1"/>
  <c r="R2146" i="16"/>
  <c r="G2145" i="16"/>
  <c r="K2145" i="16"/>
  <c r="N2145" i="16"/>
  <c r="O2145" i="16"/>
  <c r="P2145" i="16" s="1"/>
  <c r="R2145" i="16"/>
  <c r="G2144" i="16"/>
  <c r="K2144" i="16"/>
  <c r="N2144" i="16"/>
  <c r="O2144" i="16"/>
  <c r="P2144" i="16" s="1"/>
  <c r="R2144" i="16"/>
  <c r="G2143" i="16"/>
  <c r="K2143" i="16"/>
  <c r="N2143" i="16"/>
  <c r="O2143" i="16"/>
  <c r="P2143" i="16" s="1"/>
  <c r="R2143" i="16"/>
  <c r="G2142" i="16" l="1"/>
  <c r="K2142" i="16"/>
  <c r="N2142" i="16"/>
  <c r="O2142" i="16"/>
  <c r="P2142" i="16" s="1"/>
  <c r="R2142" i="16"/>
  <c r="G2141" i="16"/>
  <c r="K2141" i="16"/>
  <c r="N2141" i="16"/>
  <c r="O2141" i="16"/>
  <c r="P2141" i="16" s="1"/>
  <c r="R2141" i="16"/>
  <c r="G2140" i="16"/>
  <c r="K2140" i="16"/>
  <c r="N2140" i="16"/>
  <c r="O2140" i="16"/>
  <c r="P2140" i="16" s="1"/>
  <c r="R2140" i="16"/>
  <c r="G2139" i="16"/>
  <c r="K2139" i="16"/>
  <c r="N2139" i="16"/>
  <c r="O2139" i="16"/>
  <c r="P2139" i="16" s="1"/>
  <c r="R2139" i="16"/>
  <c r="G2138" i="16" l="1"/>
  <c r="K2138" i="16"/>
  <c r="N2138" i="16"/>
  <c r="O2138" i="16"/>
  <c r="P2138" i="16" s="1"/>
  <c r="R2138" i="16"/>
  <c r="G2137" i="16"/>
  <c r="K2137" i="16"/>
  <c r="N2137" i="16"/>
  <c r="O2137" i="16"/>
  <c r="P2137" i="16" s="1"/>
  <c r="R2137" i="16"/>
  <c r="G2136" i="16"/>
  <c r="K2136" i="16"/>
  <c r="N2136" i="16"/>
  <c r="O2136" i="16"/>
  <c r="P2136" i="16" s="1"/>
  <c r="R2136" i="16"/>
  <c r="G2135" i="16"/>
  <c r="K2135" i="16"/>
  <c r="N2135" i="16"/>
  <c r="O2135" i="16"/>
  <c r="P2135" i="16" s="1"/>
  <c r="R2135" i="16"/>
  <c r="G2134" i="16" l="1"/>
  <c r="K2134" i="16"/>
  <c r="N2134" i="16"/>
  <c r="O2134" i="16"/>
  <c r="P2134" i="16" s="1"/>
  <c r="R2134" i="16"/>
  <c r="G2133" i="16"/>
  <c r="K2133" i="16"/>
  <c r="N2133" i="16"/>
  <c r="O2133" i="16"/>
  <c r="P2133" i="16" s="1"/>
  <c r="R2133" i="16"/>
  <c r="G2132" i="16"/>
  <c r="K2132" i="16"/>
  <c r="N2132" i="16"/>
  <c r="O2132" i="16"/>
  <c r="P2132" i="16" s="1"/>
  <c r="R2132" i="16"/>
  <c r="G2131" i="16"/>
  <c r="K2131" i="16"/>
  <c r="N2131" i="16"/>
  <c r="O2131" i="16"/>
  <c r="P2131" i="16" s="1"/>
  <c r="R2131" i="16"/>
  <c r="G2130" i="16" l="1"/>
  <c r="K2130" i="16"/>
  <c r="N2130" i="16"/>
  <c r="O2130" i="16"/>
  <c r="P2130" i="16" s="1"/>
  <c r="R2130" i="16"/>
  <c r="G2129" i="16"/>
  <c r="K2129" i="16"/>
  <c r="N2129" i="16"/>
  <c r="O2129" i="16"/>
  <c r="P2129" i="16" s="1"/>
  <c r="R2129" i="16"/>
  <c r="G2128" i="16"/>
  <c r="K2128" i="16"/>
  <c r="N2128" i="16"/>
  <c r="O2128" i="16"/>
  <c r="P2128" i="16" s="1"/>
  <c r="R2128" i="16"/>
  <c r="G2127" i="16" l="1"/>
  <c r="K2127" i="16"/>
  <c r="N2127" i="16"/>
  <c r="O2127" i="16"/>
  <c r="P2127" i="16" s="1"/>
  <c r="R2127" i="16"/>
  <c r="G2126" i="16" l="1"/>
  <c r="K2126" i="16"/>
  <c r="N2126" i="16"/>
  <c r="O2126" i="16"/>
  <c r="P2126" i="16" s="1"/>
  <c r="R2126" i="16"/>
  <c r="G2125" i="16"/>
  <c r="K2125" i="16"/>
  <c r="N2125" i="16"/>
  <c r="O2125" i="16"/>
  <c r="P2125" i="16" s="1"/>
  <c r="R2125" i="16"/>
  <c r="G2124" i="16"/>
  <c r="K2124" i="16"/>
  <c r="N2124" i="16"/>
  <c r="O2124" i="16"/>
  <c r="P2124" i="16" s="1"/>
  <c r="R2124" i="16"/>
  <c r="G2123" i="16"/>
  <c r="K2123" i="16"/>
  <c r="N2123" i="16"/>
  <c r="O2123" i="16"/>
  <c r="P2123" i="16" s="1"/>
  <c r="R2123" i="16"/>
  <c r="G2122" i="16" l="1"/>
  <c r="K2122" i="16"/>
  <c r="N2122" i="16"/>
  <c r="O2122" i="16"/>
  <c r="P2122" i="16" s="1"/>
  <c r="R2122" i="16"/>
  <c r="G2121" i="16"/>
  <c r="K2121" i="16"/>
  <c r="N2121" i="16"/>
  <c r="O2121" i="16"/>
  <c r="P2121" i="16" s="1"/>
  <c r="R2121" i="16"/>
  <c r="G2120" i="16"/>
  <c r="K2120" i="16"/>
  <c r="N2120" i="16"/>
  <c r="O2120" i="16"/>
  <c r="P2120" i="16" s="1"/>
  <c r="R2120" i="16"/>
  <c r="G2119" i="16"/>
  <c r="K2119" i="16"/>
  <c r="N2119" i="16"/>
  <c r="O2119" i="16"/>
  <c r="P2119" i="16" s="1"/>
  <c r="R2119" i="16"/>
  <c r="K2" i="16" l="1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57" i="16"/>
  <c r="K358" i="16"/>
  <c r="K359" i="16"/>
  <c r="K360" i="16"/>
  <c r="K361" i="16"/>
  <c r="K362" i="16"/>
  <c r="K363" i="16"/>
  <c r="K364" i="16"/>
  <c r="K365" i="16"/>
  <c r="K366" i="16"/>
  <c r="K367" i="16"/>
  <c r="K368" i="16"/>
  <c r="K369" i="16"/>
  <c r="K370" i="16"/>
  <c r="K371" i="16"/>
  <c r="K372" i="16"/>
  <c r="K373" i="16"/>
  <c r="K374" i="16"/>
  <c r="K375" i="16"/>
  <c r="K376" i="16"/>
  <c r="K377" i="16"/>
  <c r="K378" i="16"/>
  <c r="K379" i="16"/>
  <c r="K380" i="16"/>
  <c r="K381" i="16"/>
  <c r="K382" i="16"/>
  <c r="K383" i="16"/>
  <c r="K384" i="16"/>
  <c r="K385" i="16"/>
  <c r="K386" i="16"/>
  <c r="K387" i="16"/>
  <c r="K388" i="16"/>
  <c r="K389" i="16"/>
  <c r="K390" i="16"/>
  <c r="K391" i="16"/>
  <c r="K392" i="16"/>
  <c r="K393" i="16"/>
  <c r="K394" i="16"/>
  <c r="K395" i="16"/>
  <c r="K396" i="16"/>
  <c r="K397" i="16"/>
  <c r="K398" i="16"/>
  <c r="K399" i="16"/>
  <c r="K400" i="16"/>
  <c r="K401" i="16"/>
  <c r="K402" i="16"/>
  <c r="K403" i="16"/>
  <c r="K404" i="16"/>
  <c r="K405" i="16"/>
  <c r="K406" i="16"/>
  <c r="K407" i="16"/>
  <c r="K408" i="16"/>
  <c r="K409" i="16"/>
  <c r="K410" i="16"/>
  <c r="K411" i="16"/>
  <c r="K412" i="16"/>
  <c r="K413" i="16"/>
  <c r="K414" i="16"/>
  <c r="K415" i="16"/>
  <c r="K416" i="16"/>
  <c r="K417" i="16"/>
  <c r="K418" i="16"/>
  <c r="K419" i="16"/>
  <c r="K420" i="16"/>
  <c r="K421" i="16"/>
  <c r="K422" i="16"/>
  <c r="K423" i="16"/>
  <c r="K424" i="16"/>
  <c r="K425" i="16"/>
  <c r="K426" i="16"/>
  <c r="K427" i="16"/>
  <c r="K428" i="16"/>
  <c r="K429" i="16"/>
  <c r="K430" i="16"/>
  <c r="K431" i="16"/>
  <c r="K432" i="16"/>
  <c r="K433" i="16"/>
  <c r="K434" i="16"/>
  <c r="K435" i="16"/>
  <c r="K436" i="16"/>
  <c r="K437" i="16"/>
  <c r="K438" i="16"/>
  <c r="K439" i="16"/>
  <c r="K440" i="16"/>
  <c r="K441" i="16"/>
  <c r="K442" i="16"/>
  <c r="K443" i="16"/>
  <c r="K444" i="16"/>
  <c r="K445" i="16"/>
  <c r="K446" i="16"/>
  <c r="K447" i="16"/>
  <c r="K448" i="16"/>
  <c r="K449" i="16"/>
  <c r="K450" i="16"/>
  <c r="K451" i="16"/>
  <c r="K452" i="16"/>
  <c r="K453" i="16"/>
  <c r="K454" i="16"/>
  <c r="K455" i="16"/>
  <c r="K456" i="16"/>
  <c r="K457" i="16"/>
  <c r="K458" i="16"/>
  <c r="K459" i="16"/>
  <c r="K460" i="16"/>
  <c r="K461" i="16"/>
  <c r="K462" i="16"/>
  <c r="K463" i="16"/>
  <c r="K464" i="16"/>
  <c r="K465" i="16"/>
  <c r="K466" i="16"/>
  <c r="K467" i="16"/>
  <c r="K468" i="16"/>
  <c r="K469" i="16"/>
  <c r="K470" i="16"/>
  <c r="K471" i="16"/>
  <c r="K472" i="16"/>
  <c r="K473" i="16"/>
  <c r="K474" i="16"/>
  <c r="K475" i="16"/>
  <c r="K476" i="16"/>
  <c r="K477" i="16"/>
  <c r="K478" i="16"/>
  <c r="K479" i="16"/>
  <c r="K480" i="16"/>
  <c r="K481" i="16"/>
  <c r="K482" i="16"/>
  <c r="K483" i="16"/>
  <c r="K484" i="16"/>
  <c r="K485" i="16"/>
  <c r="K486" i="16"/>
  <c r="K487" i="16"/>
  <c r="K488" i="16"/>
  <c r="K489" i="16"/>
  <c r="K490" i="16"/>
  <c r="K491" i="16"/>
  <c r="K492" i="16"/>
  <c r="K493" i="16"/>
  <c r="K494" i="16"/>
  <c r="K495" i="16"/>
  <c r="K496" i="16"/>
  <c r="K497" i="16"/>
  <c r="K498" i="16"/>
  <c r="K499" i="16"/>
  <c r="K500" i="16"/>
  <c r="K501" i="16"/>
  <c r="K502" i="16"/>
  <c r="K503" i="16"/>
  <c r="K504" i="16"/>
  <c r="K505" i="16"/>
  <c r="K506" i="16"/>
  <c r="K507" i="16"/>
  <c r="K508" i="16"/>
  <c r="K509" i="16"/>
  <c r="K510" i="16"/>
  <c r="K511" i="16"/>
  <c r="K512" i="16"/>
  <c r="K513" i="16"/>
  <c r="K514" i="16"/>
  <c r="K515" i="16"/>
  <c r="K516" i="16"/>
  <c r="K517" i="16"/>
  <c r="K518" i="16"/>
  <c r="K519" i="16"/>
  <c r="K520" i="16"/>
  <c r="K521" i="16"/>
  <c r="K522" i="16"/>
  <c r="K523" i="16"/>
  <c r="K524" i="16"/>
  <c r="K525" i="16"/>
  <c r="K526" i="16"/>
  <c r="K527" i="16"/>
  <c r="K528" i="16"/>
  <c r="K529" i="16"/>
  <c r="K530" i="16"/>
  <c r="K531" i="16"/>
  <c r="K532" i="16"/>
  <c r="K533" i="16"/>
  <c r="K534" i="16"/>
  <c r="K535" i="16"/>
  <c r="K536" i="16"/>
  <c r="K537" i="16"/>
  <c r="K538" i="16"/>
  <c r="K539" i="16"/>
  <c r="K540" i="16"/>
  <c r="K541" i="16"/>
  <c r="K542" i="16"/>
  <c r="K543" i="16"/>
  <c r="K544" i="16"/>
  <c r="K545" i="16"/>
  <c r="K546" i="16"/>
  <c r="K547" i="16"/>
  <c r="K548" i="16"/>
  <c r="K549" i="16"/>
  <c r="K550" i="16"/>
  <c r="K551" i="16"/>
  <c r="K552" i="16"/>
  <c r="K553" i="16"/>
  <c r="K554" i="16"/>
  <c r="K555" i="16"/>
  <c r="K556" i="16"/>
  <c r="K557" i="16"/>
  <c r="K558" i="16"/>
  <c r="K559" i="16"/>
  <c r="K560" i="16"/>
  <c r="K561" i="16"/>
  <c r="K562" i="16"/>
  <c r="K563" i="16"/>
  <c r="K564" i="16"/>
  <c r="K565" i="16"/>
  <c r="K566" i="16"/>
  <c r="K567" i="16"/>
  <c r="K568" i="16"/>
  <c r="K569" i="16"/>
  <c r="K570" i="16"/>
  <c r="K571" i="16"/>
  <c r="K572" i="16"/>
  <c r="K573" i="16"/>
  <c r="K574" i="16"/>
  <c r="K575" i="16"/>
  <c r="K576" i="16"/>
  <c r="K577" i="16"/>
  <c r="K578" i="16"/>
  <c r="K579" i="16"/>
  <c r="K580" i="16"/>
  <c r="K581" i="16"/>
  <c r="K582" i="16"/>
  <c r="K583" i="16"/>
  <c r="K584" i="16"/>
  <c r="K585" i="16"/>
  <c r="K586" i="16"/>
  <c r="K587" i="16"/>
  <c r="K588" i="16"/>
  <c r="K589" i="16"/>
  <c r="K590" i="16"/>
  <c r="K591" i="16"/>
  <c r="K592" i="16"/>
  <c r="K593" i="16"/>
  <c r="K594" i="16"/>
  <c r="K595" i="16"/>
  <c r="K596" i="16"/>
  <c r="K597" i="16"/>
  <c r="K598" i="16"/>
  <c r="K599" i="16"/>
  <c r="K600" i="16"/>
  <c r="K601" i="16"/>
  <c r="K602" i="16"/>
  <c r="K603" i="16"/>
  <c r="K604" i="16"/>
  <c r="K605" i="16"/>
  <c r="K606" i="16"/>
  <c r="K607" i="16"/>
  <c r="K608" i="16"/>
  <c r="K609" i="16"/>
  <c r="K610" i="16"/>
  <c r="K611" i="16"/>
  <c r="K612" i="16"/>
  <c r="K613" i="16"/>
  <c r="K614" i="16"/>
  <c r="K615" i="16"/>
  <c r="K616" i="16"/>
  <c r="K617" i="16"/>
  <c r="K618" i="16"/>
  <c r="K619" i="16"/>
  <c r="K620" i="16"/>
  <c r="K621" i="16"/>
  <c r="K622" i="16"/>
  <c r="K623" i="16"/>
  <c r="K624" i="16"/>
  <c r="K625" i="16"/>
  <c r="K626" i="16"/>
  <c r="K627" i="16"/>
  <c r="K628" i="16"/>
  <c r="K629" i="16"/>
  <c r="K630" i="16"/>
  <c r="K631" i="16"/>
  <c r="K632" i="16"/>
  <c r="K633" i="16"/>
  <c r="K634" i="16"/>
  <c r="K635" i="16"/>
  <c r="K636" i="16"/>
  <c r="K637" i="16"/>
  <c r="K638" i="16"/>
  <c r="K639" i="16"/>
  <c r="K640" i="16"/>
  <c r="K641" i="16"/>
  <c r="K642" i="16"/>
  <c r="K643" i="16"/>
  <c r="K644" i="16"/>
  <c r="K645" i="16"/>
  <c r="K646" i="16"/>
  <c r="K647" i="16"/>
  <c r="K648" i="16"/>
  <c r="K649" i="16"/>
  <c r="K650" i="16"/>
  <c r="K651" i="16"/>
  <c r="K652" i="16"/>
  <c r="K653" i="16"/>
  <c r="K654" i="16"/>
  <c r="K655" i="16"/>
  <c r="K656" i="16"/>
  <c r="K657" i="16"/>
  <c r="K658" i="16"/>
  <c r="K659" i="16"/>
  <c r="K660" i="16"/>
  <c r="K661" i="16"/>
  <c r="K662" i="16"/>
  <c r="K663" i="16"/>
  <c r="K664" i="16"/>
  <c r="K665" i="16"/>
  <c r="K666" i="16"/>
  <c r="K667" i="16"/>
  <c r="K668" i="16"/>
  <c r="K669" i="16"/>
  <c r="K670" i="16"/>
  <c r="K671" i="16"/>
  <c r="K672" i="16"/>
  <c r="K673" i="16"/>
  <c r="K674" i="16"/>
  <c r="K675" i="16"/>
  <c r="K676" i="16"/>
  <c r="K677" i="16"/>
  <c r="K678" i="16"/>
  <c r="K679" i="16"/>
  <c r="K680" i="16"/>
  <c r="K681" i="16"/>
  <c r="K682" i="16"/>
  <c r="K683" i="16"/>
  <c r="K684" i="16"/>
  <c r="K685" i="16"/>
  <c r="K686" i="16"/>
  <c r="K687" i="16"/>
  <c r="K688" i="16"/>
  <c r="K689" i="16"/>
  <c r="K690" i="16"/>
  <c r="K691" i="16"/>
  <c r="K692" i="16"/>
  <c r="K693" i="16"/>
  <c r="K694" i="16"/>
  <c r="K695" i="16"/>
  <c r="K696" i="16"/>
  <c r="K697" i="16"/>
  <c r="K698" i="16"/>
  <c r="K699" i="16"/>
  <c r="K700" i="16"/>
  <c r="K701" i="16"/>
  <c r="K702" i="16"/>
  <c r="K703" i="16"/>
  <c r="K704" i="16"/>
  <c r="K705" i="16"/>
  <c r="K706" i="16"/>
  <c r="K707" i="16"/>
  <c r="K708" i="16"/>
  <c r="K709" i="16"/>
  <c r="K710" i="16"/>
  <c r="K711" i="16"/>
  <c r="K712" i="16"/>
  <c r="K713" i="16"/>
  <c r="K714" i="16"/>
  <c r="K715" i="16"/>
  <c r="K716" i="16"/>
  <c r="K717" i="16"/>
  <c r="K718" i="16"/>
  <c r="K719" i="16"/>
  <c r="K720" i="16"/>
  <c r="K721" i="16"/>
  <c r="K722" i="16"/>
  <c r="K723" i="16"/>
  <c r="K724" i="16"/>
  <c r="K725" i="16"/>
  <c r="K726" i="16"/>
  <c r="K727" i="16"/>
  <c r="K728" i="16"/>
  <c r="K729" i="16"/>
  <c r="K730" i="16"/>
  <c r="K731" i="16"/>
  <c r="K732" i="16"/>
  <c r="K733" i="16"/>
  <c r="K734" i="16"/>
  <c r="K735" i="16"/>
  <c r="K736" i="16"/>
  <c r="K737" i="16"/>
  <c r="K738" i="16"/>
  <c r="K739" i="16"/>
  <c r="K740" i="16"/>
  <c r="K741" i="16"/>
  <c r="K742" i="16"/>
  <c r="K743" i="16"/>
  <c r="K744" i="16"/>
  <c r="K745" i="16"/>
  <c r="K746" i="16"/>
  <c r="K747" i="16"/>
  <c r="K748" i="16"/>
  <c r="K749" i="16"/>
  <c r="K750" i="16"/>
  <c r="K751" i="16"/>
  <c r="K752" i="16"/>
  <c r="K753" i="16"/>
  <c r="K754" i="16"/>
  <c r="K755" i="16"/>
  <c r="K756" i="16"/>
  <c r="K757" i="16"/>
  <c r="K758" i="16"/>
  <c r="K759" i="16"/>
  <c r="K760" i="16"/>
  <c r="K761" i="16"/>
  <c r="K762" i="16"/>
  <c r="K763" i="16"/>
  <c r="K764" i="16"/>
  <c r="K765" i="16"/>
  <c r="K766" i="16"/>
  <c r="K767" i="16"/>
  <c r="K768" i="16"/>
  <c r="K769" i="16"/>
  <c r="K770" i="16"/>
  <c r="K771" i="16"/>
  <c r="K772" i="16"/>
  <c r="K773" i="16"/>
  <c r="K774" i="16"/>
  <c r="K775" i="16"/>
  <c r="K776" i="16"/>
  <c r="K777" i="16"/>
  <c r="K778" i="16"/>
  <c r="K779" i="16"/>
  <c r="K780" i="16"/>
  <c r="K781" i="16"/>
  <c r="K782" i="16"/>
  <c r="K783" i="16"/>
  <c r="K784" i="16"/>
  <c r="K785" i="16"/>
  <c r="K786" i="16"/>
  <c r="K787" i="16"/>
  <c r="K788" i="16"/>
  <c r="K789" i="16"/>
  <c r="K790" i="16"/>
  <c r="K791" i="16"/>
  <c r="K792" i="16"/>
  <c r="K793" i="16"/>
  <c r="K794" i="16"/>
  <c r="K795" i="16"/>
  <c r="K796" i="16"/>
  <c r="K797" i="16"/>
  <c r="K798" i="16"/>
  <c r="K799" i="16"/>
  <c r="K800" i="16"/>
  <c r="K801" i="16"/>
  <c r="K802" i="16"/>
  <c r="K803" i="16"/>
  <c r="K804" i="16"/>
  <c r="K805" i="16"/>
  <c r="K806" i="16"/>
  <c r="K807" i="16"/>
  <c r="K808" i="16"/>
  <c r="K809" i="16"/>
  <c r="K810" i="16"/>
  <c r="K811" i="16"/>
  <c r="K812" i="16"/>
  <c r="K813" i="16"/>
  <c r="K814" i="16"/>
  <c r="K815" i="16"/>
  <c r="K816" i="16"/>
  <c r="K817" i="16"/>
  <c r="K818" i="16"/>
  <c r="K819" i="16"/>
  <c r="K820" i="16"/>
  <c r="K821" i="16"/>
  <c r="K822" i="16"/>
  <c r="K823" i="16"/>
  <c r="K824" i="16"/>
  <c r="K825" i="16"/>
  <c r="K826" i="16"/>
  <c r="K827" i="16"/>
  <c r="K828" i="16"/>
  <c r="K829" i="16"/>
  <c r="K830" i="16"/>
  <c r="K831" i="16"/>
  <c r="K832" i="16"/>
  <c r="K833" i="16"/>
  <c r="K834" i="16"/>
  <c r="K835" i="16"/>
  <c r="K836" i="16"/>
  <c r="K837" i="16"/>
  <c r="K838" i="16"/>
  <c r="K839" i="16"/>
  <c r="K840" i="16"/>
  <c r="K841" i="16"/>
  <c r="K842" i="16"/>
  <c r="K843" i="16"/>
  <c r="K844" i="16"/>
  <c r="K845" i="16"/>
  <c r="K846" i="16"/>
  <c r="K847" i="16"/>
  <c r="K848" i="16"/>
  <c r="K849" i="16"/>
  <c r="K850" i="16"/>
  <c r="K851" i="16"/>
  <c r="K852" i="16"/>
  <c r="K853" i="16"/>
  <c r="K854" i="16"/>
  <c r="K855" i="16"/>
  <c r="K856" i="16"/>
  <c r="K857" i="16"/>
  <c r="K858" i="16"/>
  <c r="K859" i="16"/>
  <c r="K860" i="16"/>
  <c r="K861" i="16"/>
  <c r="K862" i="16"/>
  <c r="K863" i="16"/>
  <c r="K864" i="16"/>
  <c r="K865" i="16"/>
  <c r="K866" i="16"/>
  <c r="K867" i="16"/>
  <c r="K868" i="16"/>
  <c r="K869" i="16"/>
  <c r="K870" i="16"/>
  <c r="K871" i="16"/>
  <c r="K872" i="16"/>
  <c r="K873" i="16"/>
  <c r="K874" i="16"/>
  <c r="K875" i="16"/>
  <c r="K876" i="16"/>
  <c r="K877" i="16"/>
  <c r="K878" i="16"/>
  <c r="K879" i="16"/>
  <c r="K880" i="16"/>
  <c r="K881" i="16"/>
  <c r="K882" i="16"/>
  <c r="K883" i="16"/>
  <c r="K884" i="16"/>
  <c r="K885" i="16"/>
  <c r="K886" i="16"/>
  <c r="K887" i="16"/>
  <c r="K888" i="16"/>
  <c r="K889" i="16"/>
  <c r="K890" i="16"/>
  <c r="K891" i="16"/>
  <c r="K892" i="16"/>
  <c r="K893" i="16"/>
  <c r="K894" i="16"/>
  <c r="K895" i="16"/>
  <c r="K896" i="16"/>
  <c r="K897" i="16"/>
  <c r="K898" i="16"/>
  <c r="K899" i="16"/>
  <c r="K900" i="16"/>
  <c r="K901" i="16"/>
  <c r="K902" i="16"/>
  <c r="K903" i="16"/>
  <c r="K904" i="16"/>
  <c r="K905" i="16"/>
  <c r="K906" i="16"/>
  <c r="K907" i="16"/>
  <c r="K908" i="16"/>
  <c r="K909" i="16"/>
  <c r="K910" i="16"/>
  <c r="K911" i="16"/>
  <c r="K912" i="16"/>
  <c r="K913" i="16"/>
  <c r="K914" i="16"/>
  <c r="K915" i="16"/>
  <c r="K916" i="16"/>
  <c r="K917" i="16"/>
  <c r="K918" i="16"/>
  <c r="K919" i="16"/>
  <c r="K920" i="16"/>
  <c r="K921" i="16"/>
  <c r="K922" i="16"/>
  <c r="K923" i="16"/>
  <c r="K924" i="16"/>
  <c r="K925" i="16"/>
  <c r="K926" i="16"/>
  <c r="K927" i="16"/>
  <c r="K928" i="16"/>
  <c r="K929" i="16"/>
  <c r="K930" i="16"/>
  <c r="K931" i="16"/>
  <c r="K932" i="16"/>
  <c r="K933" i="16"/>
  <c r="K934" i="16"/>
  <c r="K935" i="16"/>
  <c r="K936" i="16"/>
  <c r="K937" i="16"/>
  <c r="K938" i="16"/>
  <c r="K939" i="16"/>
  <c r="K940" i="16"/>
  <c r="K941" i="16"/>
  <c r="K942" i="16"/>
  <c r="K943" i="16"/>
  <c r="K944" i="16"/>
  <c r="K945" i="16"/>
  <c r="K946" i="16"/>
  <c r="K947" i="16"/>
  <c r="K948" i="16"/>
  <c r="K949" i="16"/>
  <c r="K950" i="16"/>
  <c r="K951" i="16"/>
  <c r="K952" i="16"/>
  <c r="K953" i="16"/>
  <c r="K954" i="16"/>
  <c r="K955" i="16"/>
  <c r="K956" i="16"/>
  <c r="K957" i="16"/>
  <c r="K958" i="16"/>
  <c r="K959" i="16"/>
  <c r="K960" i="16"/>
  <c r="K961" i="16"/>
  <c r="K962" i="16"/>
  <c r="K963" i="16"/>
  <c r="K964" i="16"/>
  <c r="K965" i="16"/>
  <c r="K966" i="16"/>
  <c r="K967" i="16"/>
  <c r="K968" i="16"/>
  <c r="K969" i="16"/>
  <c r="K970" i="16"/>
  <c r="K971" i="16"/>
  <c r="K972" i="16"/>
  <c r="K973" i="16"/>
  <c r="K974" i="16"/>
  <c r="K975" i="16"/>
  <c r="K976" i="16"/>
  <c r="K977" i="16"/>
  <c r="K978" i="16"/>
  <c r="K979" i="16"/>
  <c r="K980" i="16"/>
  <c r="K981" i="16"/>
  <c r="K982" i="16"/>
  <c r="K983" i="16"/>
  <c r="K984" i="16"/>
  <c r="K985" i="16"/>
  <c r="K986" i="16"/>
  <c r="K987" i="16"/>
  <c r="K988" i="16"/>
  <c r="K989" i="16"/>
  <c r="K990" i="16"/>
  <c r="K991" i="16"/>
  <c r="K992" i="16"/>
  <c r="K993" i="16"/>
  <c r="K994" i="16"/>
  <c r="K995" i="16"/>
  <c r="K996" i="16"/>
  <c r="K997" i="16"/>
  <c r="K998" i="16"/>
  <c r="K999" i="16"/>
  <c r="K1000" i="16"/>
  <c r="K1001" i="16"/>
  <c r="K1002" i="16"/>
  <c r="K1003" i="16"/>
  <c r="K1004" i="16"/>
  <c r="K1005" i="16"/>
  <c r="K1006" i="16"/>
  <c r="K1007" i="16"/>
  <c r="K1008" i="16"/>
  <c r="K1009" i="16"/>
  <c r="K1010" i="16"/>
  <c r="K1011" i="16"/>
  <c r="K1012" i="16"/>
  <c r="K1013" i="16"/>
  <c r="K1014" i="16"/>
  <c r="K1015" i="16"/>
  <c r="K1016" i="16"/>
  <c r="K1017" i="16"/>
  <c r="K1018" i="16"/>
  <c r="K1019" i="16"/>
  <c r="K1020" i="16"/>
  <c r="K1021" i="16"/>
  <c r="K1022" i="16"/>
  <c r="K1023" i="16"/>
  <c r="K1024" i="16"/>
  <c r="K1025" i="16"/>
  <c r="K1026" i="16"/>
  <c r="K1027" i="16"/>
  <c r="K1028" i="16"/>
  <c r="K1029" i="16"/>
  <c r="K1030" i="16"/>
  <c r="K1031" i="16"/>
  <c r="K1032" i="16"/>
  <c r="K1033" i="16"/>
  <c r="K1034" i="16"/>
  <c r="K1035" i="16"/>
  <c r="K1036" i="16"/>
  <c r="K1037" i="16"/>
  <c r="K1038" i="16"/>
  <c r="K1039" i="16"/>
  <c r="K1040" i="16"/>
  <c r="K1041" i="16"/>
  <c r="K1042" i="16"/>
  <c r="K1043" i="16"/>
  <c r="K1044" i="16"/>
  <c r="K1045" i="16"/>
  <c r="K1046" i="16"/>
  <c r="K1047" i="16"/>
  <c r="K1048" i="16"/>
  <c r="K1049" i="16"/>
  <c r="K1050" i="16"/>
  <c r="K1051" i="16"/>
  <c r="K1052" i="16"/>
  <c r="K1053" i="16"/>
  <c r="K1054" i="16"/>
  <c r="K1055" i="16"/>
  <c r="K1056" i="16"/>
  <c r="K1057" i="16"/>
  <c r="K1058" i="16"/>
  <c r="K1059" i="16"/>
  <c r="K1060" i="16"/>
  <c r="K1061" i="16"/>
  <c r="K1062" i="16"/>
  <c r="K1063" i="16"/>
  <c r="K1064" i="16"/>
  <c r="K1065" i="16"/>
  <c r="K1066" i="16"/>
  <c r="K1067" i="16"/>
  <c r="K1068" i="16"/>
  <c r="K1069" i="16"/>
  <c r="K1070" i="16"/>
  <c r="K1071" i="16"/>
  <c r="K1072" i="16"/>
  <c r="K1073" i="16"/>
  <c r="K1074" i="16"/>
  <c r="K1075" i="16"/>
  <c r="K1076" i="16"/>
  <c r="K1077" i="16"/>
  <c r="K1078" i="16"/>
  <c r="K1079" i="16"/>
  <c r="K1080" i="16"/>
  <c r="K1081" i="16"/>
  <c r="K1082" i="16"/>
  <c r="K1083" i="16"/>
  <c r="K1084" i="16"/>
  <c r="K1085" i="16"/>
  <c r="K1086" i="16"/>
  <c r="K1087" i="16"/>
  <c r="K1088" i="16"/>
  <c r="K1089" i="16"/>
  <c r="K1090" i="16"/>
  <c r="K1091" i="16"/>
  <c r="K1092" i="16"/>
  <c r="K1093" i="16"/>
  <c r="K1094" i="16"/>
  <c r="K1095" i="16"/>
  <c r="K1096" i="16"/>
  <c r="K1097" i="16"/>
  <c r="K1098" i="16"/>
  <c r="K1099" i="16"/>
  <c r="K1100" i="16"/>
  <c r="K1101" i="16"/>
  <c r="K1102" i="16"/>
  <c r="K1103" i="16"/>
  <c r="K1104" i="16"/>
  <c r="K1105" i="16"/>
  <c r="K1106" i="16"/>
  <c r="K1107" i="16"/>
  <c r="K1108" i="16"/>
  <c r="K1109" i="16"/>
  <c r="K1110" i="16"/>
  <c r="K1111" i="16"/>
  <c r="K1112" i="16"/>
  <c r="K1113" i="16"/>
  <c r="K1114" i="16"/>
  <c r="K1115" i="16"/>
  <c r="K1116" i="16"/>
  <c r="K1117" i="16"/>
  <c r="K1118" i="16"/>
  <c r="K1119" i="16"/>
  <c r="K1120" i="16"/>
  <c r="K1121" i="16"/>
  <c r="K1122" i="16"/>
  <c r="K1123" i="16"/>
  <c r="K1124" i="16"/>
  <c r="K1125" i="16"/>
  <c r="K1126" i="16"/>
  <c r="K1127" i="16"/>
  <c r="K1128" i="16"/>
  <c r="K1129" i="16"/>
  <c r="K1130" i="16"/>
  <c r="K1131" i="16"/>
  <c r="K1132" i="16"/>
  <c r="K1133" i="16"/>
  <c r="K1134" i="16"/>
  <c r="K1135" i="16"/>
  <c r="K1136" i="16"/>
  <c r="K1137" i="16"/>
  <c r="K1138" i="16"/>
  <c r="K1139" i="16"/>
  <c r="K1140" i="16"/>
  <c r="K1141" i="16"/>
  <c r="K1142" i="16"/>
  <c r="K1143" i="16"/>
  <c r="K1144" i="16"/>
  <c r="K1145" i="16"/>
  <c r="K1146" i="16"/>
  <c r="K1147" i="16"/>
  <c r="K1148" i="16"/>
  <c r="K1149" i="16"/>
  <c r="K1150" i="16"/>
  <c r="K1151" i="16"/>
  <c r="K1152" i="16"/>
  <c r="K1153" i="16"/>
  <c r="K1154" i="16"/>
  <c r="K1155" i="16"/>
  <c r="K1156" i="16"/>
  <c r="K1157" i="16"/>
  <c r="K1158" i="16"/>
  <c r="K1159" i="16"/>
  <c r="K1160" i="16"/>
  <c r="K1161" i="16"/>
  <c r="K1162" i="16"/>
  <c r="K1163" i="16"/>
  <c r="K1164" i="16"/>
  <c r="K1165" i="16"/>
  <c r="K1166" i="16"/>
  <c r="K1167" i="16"/>
  <c r="K1168" i="16"/>
  <c r="K1169" i="16"/>
  <c r="K1170" i="16"/>
  <c r="K1171" i="16"/>
  <c r="K1172" i="16"/>
  <c r="K1173" i="16"/>
  <c r="K1174" i="16"/>
  <c r="K1175" i="16"/>
  <c r="K1176" i="16"/>
  <c r="K1177" i="16"/>
  <c r="K1178" i="16"/>
  <c r="K1179" i="16"/>
  <c r="K1180" i="16"/>
  <c r="K1181" i="16"/>
  <c r="K1182" i="16"/>
  <c r="K1183" i="16"/>
  <c r="K1184" i="16"/>
  <c r="K1185" i="16"/>
  <c r="K1186" i="16"/>
  <c r="K1187" i="16"/>
  <c r="K1188" i="16"/>
  <c r="K1189" i="16"/>
  <c r="K1190" i="16"/>
  <c r="K1191" i="16"/>
  <c r="K1192" i="16"/>
  <c r="K1193" i="16"/>
  <c r="K1194" i="16"/>
  <c r="K1195" i="16"/>
  <c r="K1196" i="16"/>
  <c r="K1197" i="16"/>
  <c r="K1198" i="16"/>
  <c r="K1199" i="16"/>
  <c r="K1200" i="16"/>
  <c r="K1201" i="16"/>
  <c r="K1202" i="16"/>
  <c r="K1203" i="16"/>
  <c r="K1204" i="16"/>
  <c r="K1205" i="16"/>
  <c r="K1206" i="16"/>
  <c r="K1207" i="16"/>
  <c r="K1208" i="16"/>
  <c r="K1209" i="16"/>
  <c r="K1210" i="16"/>
  <c r="K1211" i="16"/>
  <c r="K1212" i="16"/>
  <c r="K1213" i="16"/>
  <c r="K1214" i="16"/>
  <c r="K1215" i="16"/>
  <c r="K1216" i="16"/>
  <c r="K1217" i="16"/>
  <c r="K1218" i="16"/>
  <c r="K1219" i="16"/>
  <c r="K1220" i="16"/>
  <c r="K1221" i="16"/>
  <c r="K1222" i="16"/>
  <c r="K1223" i="16"/>
  <c r="K1224" i="16"/>
  <c r="K1225" i="16"/>
  <c r="K1226" i="16"/>
  <c r="K1227" i="16"/>
  <c r="K1228" i="16"/>
  <c r="K1229" i="16"/>
  <c r="K1230" i="16"/>
  <c r="K1231" i="16"/>
  <c r="K1232" i="16"/>
  <c r="K1233" i="16"/>
  <c r="K1234" i="16"/>
  <c r="K1235" i="16"/>
  <c r="K1236" i="16"/>
  <c r="K1237" i="16"/>
  <c r="K1238" i="16"/>
  <c r="K1239" i="16"/>
  <c r="K1240" i="16"/>
  <c r="K1241" i="16"/>
  <c r="K1242" i="16"/>
  <c r="K1243" i="16"/>
  <c r="K1244" i="16"/>
  <c r="K1245" i="16"/>
  <c r="K1246" i="16"/>
  <c r="K1247" i="16"/>
  <c r="K1248" i="16"/>
  <c r="K1249" i="16"/>
  <c r="K1250" i="16"/>
  <c r="K1251" i="16"/>
  <c r="K1252" i="16"/>
  <c r="K1253" i="16"/>
  <c r="K1254" i="16"/>
  <c r="K1255" i="16"/>
  <c r="K1256" i="16"/>
  <c r="K1257" i="16"/>
  <c r="K1258" i="16"/>
  <c r="K1259" i="16"/>
  <c r="K1260" i="16"/>
  <c r="K1261" i="16"/>
  <c r="K1262" i="16"/>
  <c r="K1263" i="16"/>
  <c r="K1264" i="16"/>
  <c r="K1265" i="16"/>
  <c r="K1266" i="16"/>
  <c r="K1267" i="16"/>
  <c r="K1268" i="16"/>
  <c r="K1269" i="16"/>
  <c r="K1270" i="16"/>
  <c r="K1271" i="16"/>
  <c r="K1272" i="16"/>
  <c r="K1273" i="16"/>
  <c r="K1274" i="16"/>
  <c r="K1275" i="16"/>
  <c r="K1276" i="16"/>
  <c r="K1277" i="16"/>
  <c r="K1278" i="16"/>
  <c r="K1279" i="16"/>
  <c r="K1280" i="16"/>
  <c r="K1281" i="16"/>
  <c r="K1282" i="16"/>
  <c r="K1283" i="16"/>
  <c r="K1284" i="16"/>
  <c r="K1285" i="16"/>
  <c r="K1286" i="16"/>
  <c r="K1287" i="16"/>
  <c r="K1288" i="16"/>
  <c r="K1289" i="16"/>
  <c r="K1290" i="16"/>
  <c r="K1291" i="16"/>
  <c r="K1292" i="16"/>
  <c r="K1293" i="16"/>
  <c r="K1294" i="16"/>
  <c r="K1295" i="16"/>
  <c r="K1296" i="16"/>
  <c r="K1297" i="16"/>
  <c r="K1298" i="16"/>
  <c r="K1299" i="16"/>
  <c r="K1300" i="16"/>
  <c r="K1301" i="16"/>
  <c r="K1302" i="16"/>
  <c r="K1303" i="16"/>
  <c r="K1304" i="16"/>
  <c r="K1305" i="16"/>
  <c r="K1306" i="16"/>
  <c r="K1307" i="16"/>
  <c r="K1308" i="16"/>
  <c r="K1309" i="16"/>
  <c r="K1310" i="16"/>
  <c r="K1311" i="16"/>
  <c r="K1312" i="16"/>
  <c r="K1313" i="16"/>
  <c r="K1314" i="16"/>
  <c r="K1315" i="16"/>
  <c r="K1316" i="16"/>
  <c r="K1317" i="16"/>
  <c r="K1318" i="16"/>
  <c r="K1319" i="16"/>
  <c r="K1320" i="16"/>
  <c r="K1321" i="16"/>
  <c r="K1322" i="16"/>
  <c r="K1323" i="16"/>
  <c r="K1324" i="16"/>
  <c r="K1325" i="16"/>
  <c r="K1326" i="16"/>
  <c r="K1327" i="16"/>
  <c r="K1328" i="16"/>
  <c r="K1329" i="16"/>
  <c r="K1330" i="16"/>
  <c r="K1331" i="16"/>
  <c r="K1332" i="16"/>
  <c r="K1333" i="16"/>
  <c r="K1334" i="16"/>
  <c r="K1335" i="16"/>
  <c r="K1336" i="16"/>
  <c r="K1337" i="16"/>
  <c r="K1338" i="16"/>
  <c r="K1339" i="16"/>
  <c r="K1340" i="16"/>
  <c r="K1341" i="16"/>
  <c r="K1342" i="16"/>
  <c r="K1343" i="16"/>
  <c r="K1344" i="16"/>
  <c r="K1345" i="16"/>
  <c r="K1346" i="16"/>
  <c r="K1347" i="16"/>
  <c r="K1348" i="16"/>
  <c r="K1349" i="16"/>
  <c r="K1350" i="16"/>
  <c r="K1351" i="16"/>
  <c r="K1352" i="16"/>
  <c r="K1353" i="16"/>
  <c r="K1354" i="16"/>
  <c r="K1355" i="16"/>
  <c r="K1356" i="16"/>
  <c r="K1357" i="16"/>
  <c r="K1358" i="16"/>
  <c r="K1359" i="16"/>
  <c r="K1360" i="16"/>
  <c r="K1361" i="16"/>
  <c r="K1362" i="16"/>
  <c r="K1363" i="16"/>
  <c r="K1364" i="16"/>
  <c r="K1365" i="16"/>
  <c r="K1366" i="16"/>
  <c r="K1367" i="16"/>
  <c r="K1368" i="16"/>
  <c r="K1369" i="16"/>
  <c r="K1370" i="16"/>
  <c r="K1371" i="16"/>
  <c r="K1372" i="16"/>
  <c r="K1373" i="16"/>
  <c r="K1374" i="16"/>
  <c r="K1375" i="16"/>
  <c r="K1376" i="16"/>
  <c r="K1377" i="16"/>
  <c r="K1378" i="16"/>
  <c r="K1379" i="16"/>
  <c r="K1380" i="16"/>
  <c r="K1381" i="16"/>
  <c r="K1382" i="16"/>
  <c r="K1383" i="16"/>
  <c r="K1384" i="16"/>
  <c r="K1385" i="16"/>
  <c r="K1386" i="16"/>
  <c r="K1387" i="16"/>
  <c r="K1388" i="16"/>
  <c r="K1389" i="16"/>
  <c r="K1390" i="16"/>
  <c r="K1391" i="16"/>
  <c r="K1392" i="16"/>
  <c r="K1393" i="16"/>
  <c r="K1394" i="16"/>
  <c r="K1395" i="16"/>
  <c r="K1396" i="16"/>
  <c r="K1397" i="16"/>
  <c r="K1398" i="16"/>
  <c r="K1399" i="16"/>
  <c r="K1400" i="16"/>
  <c r="K1401" i="16"/>
  <c r="K1402" i="16"/>
  <c r="K1403" i="16"/>
  <c r="K1404" i="16"/>
  <c r="K1405" i="16"/>
  <c r="K1406" i="16"/>
  <c r="K1407" i="16"/>
  <c r="K1408" i="16"/>
  <c r="K1409" i="16"/>
  <c r="K1410" i="16"/>
  <c r="K1411" i="16"/>
  <c r="K1412" i="16"/>
  <c r="K1413" i="16"/>
  <c r="K1414" i="16"/>
  <c r="K1415" i="16"/>
  <c r="K1416" i="16"/>
  <c r="K1417" i="16"/>
  <c r="K1418" i="16"/>
  <c r="K1419" i="16"/>
  <c r="K1420" i="16"/>
  <c r="K1421" i="16"/>
  <c r="K1422" i="16"/>
  <c r="K1423" i="16"/>
  <c r="K1424" i="16"/>
  <c r="K1425" i="16"/>
  <c r="K1426" i="16"/>
  <c r="K1427" i="16"/>
  <c r="K1428" i="16"/>
  <c r="K1429" i="16"/>
  <c r="K1430" i="16"/>
  <c r="K1431" i="16"/>
  <c r="K1432" i="16"/>
  <c r="K1433" i="16"/>
  <c r="K1434" i="16"/>
  <c r="K1435" i="16"/>
  <c r="K1436" i="16"/>
  <c r="K1437" i="16"/>
  <c r="K1438" i="16"/>
  <c r="K1439" i="16"/>
  <c r="K1440" i="16"/>
  <c r="K1441" i="16"/>
  <c r="K1442" i="16"/>
  <c r="K1443" i="16"/>
  <c r="K1444" i="16"/>
  <c r="K1445" i="16"/>
  <c r="K1446" i="16"/>
  <c r="K1447" i="16"/>
  <c r="K1448" i="16"/>
  <c r="K1449" i="16"/>
  <c r="K1450" i="16"/>
  <c r="K1451" i="16"/>
  <c r="K1452" i="16"/>
  <c r="K1453" i="16"/>
  <c r="K1454" i="16"/>
  <c r="K1455" i="16"/>
  <c r="K1456" i="16"/>
  <c r="K1457" i="16"/>
  <c r="K1458" i="16"/>
  <c r="K1459" i="16"/>
  <c r="K1460" i="16"/>
  <c r="K1461" i="16"/>
  <c r="K1462" i="16"/>
  <c r="K1463" i="16"/>
  <c r="K1464" i="16"/>
  <c r="K1465" i="16"/>
  <c r="K1466" i="16"/>
  <c r="K1467" i="16"/>
  <c r="K1468" i="16"/>
  <c r="K1469" i="16"/>
  <c r="K1470" i="16"/>
  <c r="K1471" i="16"/>
  <c r="K1472" i="16"/>
  <c r="K1473" i="16"/>
  <c r="K1474" i="16"/>
  <c r="K1475" i="16"/>
  <c r="K1476" i="16"/>
  <c r="K1477" i="16"/>
  <c r="K1478" i="16"/>
  <c r="K1479" i="16"/>
  <c r="K1480" i="16"/>
  <c r="K1481" i="16"/>
  <c r="K1482" i="16"/>
  <c r="K1483" i="16"/>
  <c r="K1484" i="16"/>
  <c r="K1485" i="16"/>
  <c r="K1486" i="16"/>
  <c r="K1487" i="16"/>
  <c r="K1488" i="16"/>
  <c r="K1489" i="16"/>
  <c r="K1490" i="16"/>
  <c r="K1491" i="16"/>
  <c r="K1492" i="16"/>
  <c r="K1493" i="16"/>
  <c r="K1494" i="16"/>
  <c r="K1495" i="16"/>
  <c r="K1496" i="16"/>
  <c r="K1497" i="16"/>
  <c r="K1498" i="16"/>
  <c r="K1499" i="16"/>
  <c r="K1500" i="16"/>
  <c r="K1501" i="16"/>
  <c r="K1502" i="16"/>
  <c r="K1503" i="16"/>
  <c r="K1504" i="16"/>
  <c r="K1505" i="16"/>
  <c r="K1506" i="16"/>
  <c r="K1507" i="16"/>
  <c r="K1508" i="16"/>
  <c r="K1509" i="16"/>
  <c r="K1510" i="16"/>
  <c r="K1511" i="16"/>
  <c r="K1512" i="16"/>
  <c r="K1513" i="16"/>
  <c r="K1514" i="16"/>
  <c r="K1515" i="16"/>
  <c r="K1516" i="16"/>
  <c r="K1517" i="16"/>
  <c r="K1518" i="16"/>
  <c r="K1519" i="16"/>
  <c r="K1520" i="16"/>
  <c r="K1521" i="16"/>
  <c r="K1522" i="16"/>
  <c r="K1523" i="16"/>
  <c r="K1524" i="16"/>
  <c r="K1525" i="16"/>
  <c r="K1526" i="16"/>
  <c r="K1527" i="16"/>
  <c r="K1528" i="16"/>
  <c r="K1529" i="16"/>
  <c r="K1530" i="16"/>
  <c r="K1531" i="16"/>
  <c r="K1532" i="16"/>
  <c r="K1533" i="16"/>
  <c r="K1534" i="16"/>
  <c r="K1535" i="16"/>
  <c r="K1536" i="16"/>
  <c r="K1537" i="16"/>
  <c r="K1538" i="16"/>
  <c r="K1539" i="16"/>
  <c r="K1540" i="16"/>
  <c r="K1541" i="16"/>
  <c r="K1542" i="16"/>
  <c r="K1543" i="16"/>
  <c r="K1544" i="16"/>
  <c r="K1545" i="16"/>
  <c r="K1546" i="16"/>
  <c r="K1547" i="16"/>
  <c r="K1548" i="16"/>
  <c r="K1549" i="16"/>
  <c r="K1550" i="16"/>
  <c r="K1551" i="16"/>
  <c r="K1552" i="16"/>
  <c r="K1553" i="16"/>
  <c r="K1554" i="16"/>
  <c r="K1555" i="16"/>
  <c r="K1556" i="16"/>
  <c r="K1557" i="16"/>
  <c r="K1558" i="16"/>
  <c r="K1559" i="16"/>
  <c r="K1560" i="16"/>
  <c r="K1561" i="16"/>
  <c r="K1562" i="16"/>
  <c r="K1563" i="16"/>
  <c r="K1564" i="16"/>
  <c r="K1565" i="16"/>
  <c r="K1566" i="16"/>
  <c r="K1567" i="16"/>
  <c r="K1568" i="16"/>
  <c r="K1569" i="16"/>
  <c r="K1570" i="16"/>
  <c r="K1571" i="16"/>
  <c r="K1572" i="16"/>
  <c r="K1573" i="16"/>
  <c r="K1574" i="16"/>
  <c r="K1575" i="16"/>
  <c r="K1576" i="16"/>
  <c r="K1577" i="16"/>
  <c r="K1578" i="16"/>
  <c r="K1579" i="16"/>
  <c r="K1580" i="16"/>
  <c r="K1581" i="16"/>
  <c r="K1582" i="16"/>
  <c r="K1583" i="16"/>
  <c r="K1584" i="16"/>
  <c r="K1585" i="16"/>
  <c r="K1586" i="16"/>
  <c r="K1587" i="16"/>
  <c r="K1588" i="16"/>
  <c r="K1589" i="16"/>
  <c r="K1590" i="16"/>
  <c r="K1591" i="16"/>
  <c r="K1592" i="16"/>
  <c r="K1593" i="16"/>
  <c r="K1594" i="16"/>
  <c r="K1595" i="16"/>
  <c r="K1596" i="16"/>
  <c r="K1597" i="16"/>
  <c r="K1598" i="16"/>
  <c r="K1599" i="16"/>
  <c r="K1600" i="16"/>
  <c r="K1601" i="16"/>
  <c r="K1602" i="16"/>
  <c r="K1603" i="16"/>
  <c r="K1604" i="16"/>
  <c r="K1605" i="16"/>
  <c r="K1606" i="16"/>
  <c r="K1607" i="16"/>
  <c r="K1608" i="16"/>
  <c r="K1609" i="16"/>
  <c r="K1610" i="16"/>
  <c r="K1611" i="16"/>
  <c r="K1612" i="16"/>
  <c r="K1613" i="16"/>
  <c r="K1614" i="16"/>
  <c r="K1615" i="16"/>
  <c r="K1616" i="16"/>
  <c r="K1617" i="16"/>
  <c r="K1618" i="16"/>
  <c r="K1619" i="16"/>
  <c r="K1620" i="16"/>
  <c r="K1621" i="16"/>
  <c r="K1622" i="16"/>
  <c r="K1623" i="16"/>
  <c r="K1624" i="16"/>
  <c r="K1625" i="16"/>
  <c r="K1626" i="16"/>
  <c r="K1627" i="16"/>
  <c r="K1628" i="16"/>
  <c r="K1629" i="16"/>
  <c r="K1630" i="16"/>
  <c r="K1631" i="16"/>
  <c r="K1632" i="16"/>
  <c r="K1633" i="16"/>
  <c r="K1634" i="16"/>
  <c r="K1635" i="16"/>
  <c r="K1636" i="16"/>
  <c r="K1637" i="16"/>
  <c r="K1638" i="16"/>
  <c r="K1639" i="16"/>
  <c r="K1640" i="16"/>
  <c r="K1641" i="16"/>
  <c r="K1642" i="16"/>
  <c r="K1643" i="16"/>
  <c r="K1644" i="16"/>
  <c r="K1645" i="16"/>
  <c r="K1646" i="16"/>
  <c r="K1647" i="16"/>
  <c r="K1648" i="16"/>
  <c r="K1649" i="16"/>
  <c r="K1650" i="16"/>
  <c r="K1651" i="16"/>
  <c r="K1652" i="16"/>
  <c r="K1653" i="16"/>
  <c r="K1654" i="16"/>
  <c r="K1655" i="16"/>
  <c r="K1656" i="16"/>
  <c r="K1657" i="16"/>
  <c r="K1658" i="16"/>
  <c r="K1659" i="16"/>
  <c r="K1660" i="16"/>
  <c r="K1661" i="16"/>
  <c r="K1662" i="16"/>
  <c r="K1663" i="16"/>
  <c r="K1664" i="16"/>
  <c r="K1665" i="16"/>
  <c r="K1666" i="16"/>
  <c r="K1667" i="16"/>
  <c r="K1668" i="16"/>
  <c r="K1669" i="16"/>
  <c r="K1670" i="16"/>
  <c r="K1671" i="16"/>
  <c r="K1672" i="16"/>
  <c r="K1673" i="16"/>
  <c r="K1674" i="16"/>
  <c r="K1675" i="16"/>
  <c r="K1676" i="16"/>
  <c r="K1677" i="16"/>
  <c r="K1678" i="16"/>
  <c r="K1679" i="16"/>
  <c r="K1680" i="16"/>
  <c r="K1681" i="16"/>
  <c r="K1682" i="16"/>
  <c r="K1683" i="16"/>
  <c r="K1684" i="16"/>
  <c r="K1685" i="16"/>
  <c r="K1686" i="16"/>
  <c r="K1687" i="16"/>
  <c r="K1688" i="16"/>
  <c r="K1689" i="16"/>
  <c r="K1690" i="16"/>
  <c r="K1691" i="16"/>
  <c r="K1692" i="16"/>
  <c r="K1693" i="16"/>
  <c r="K1694" i="16"/>
  <c r="K1695" i="16"/>
  <c r="K1696" i="16"/>
  <c r="K1697" i="16"/>
  <c r="K1698" i="16"/>
  <c r="K1699" i="16"/>
  <c r="K1700" i="16"/>
  <c r="K1701" i="16"/>
  <c r="K1702" i="16"/>
  <c r="K1703" i="16"/>
  <c r="K1704" i="16"/>
  <c r="K1705" i="16"/>
  <c r="K1706" i="16"/>
  <c r="K1707" i="16"/>
  <c r="K1708" i="16"/>
  <c r="K1709" i="16"/>
  <c r="K1710" i="16"/>
  <c r="K1711" i="16"/>
  <c r="K1712" i="16"/>
  <c r="K1713" i="16"/>
  <c r="K1714" i="16"/>
  <c r="K1715" i="16"/>
  <c r="K1716" i="16"/>
  <c r="K1717" i="16"/>
  <c r="K1718" i="16"/>
  <c r="K1719" i="16"/>
  <c r="K1720" i="16"/>
  <c r="K1721" i="16"/>
  <c r="K1722" i="16"/>
  <c r="K1723" i="16"/>
  <c r="K1724" i="16"/>
  <c r="K1725" i="16"/>
  <c r="K1726" i="16"/>
  <c r="K1727" i="16"/>
  <c r="K1728" i="16"/>
  <c r="K1729" i="16"/>
  <c r="K1730" i="16"/>
  <c r="K1731" i="16"/>
  <c r="K1732" i="16"/>
  <c r="K1733" i="16"/>
  <c r="K1734" i="16"/>
  <c r="K1735" i="16"/>
  <c r="K1736" i="16"/>
  <c r="K1737" i="16"/>
  <c r="K1738" i="16"/>
  <c r="K1739" i="16"/>
  <c r="K1740" i="16"/>
  <c r="K1741" i="16"/>
  <c r="K1742" i="16"/>
  <c r="K1743" i="16"/>
  <c r="K1744" i="16"/>
  <c r="K1745" i="16"/>
  <c r="K1746" i="16"/>
  <c r="K1747" i="16"/>
  <c r="K1748" i="16"/>
  <c r="K1749" i="16"/>
  <c r="K1750" i="16"/>
  <c r="K1751" i="16"/>
  <c r="K1752" i="16"/>
  <c r="K1753" i="16"/>
  <c r="K1754" i="16"/>
  <c r="K1755" i="16"/>
  <c r="K1756" i="16"/>
  <c r="K1757" i="16"/>
  <c r="K1758" i="16"/>
  <c r="K1759" i="16"/>
  <c r="K1760" i="16"/>
  <c r="K1761" i="16"/>
  <c r="K1762" i="16"/>
  <c r="K1763" i="16"/>
  <c r="K1764" i="16"/>
  <c r="K1765" i="16"/>
  <c r="K1766" i="16"/>
  <c r="K1767" i="16"/>
  <c r="K1768" i="16"/>
  <c r="K1769" i="16"/>
  <c r="K1770" i="16"/>
  <c r="K1771" i="16"/>
  <c r="K1772" i="16"/>
  <c r="K1773" i="16"/>
  <c r="K1774" i="16"/>
  <c r="K1775" i="16"/>
  <c r="K1776" i="16"/>
  <c r="K1777" i="16"/>
  <c r="K1778" i="16"/>
  <c r="K1779" i="16"/>
  <c r="K1780" i="16"/>
  <c r="K1781" i="16"/>
  <c r="K1782" i="16"/>
  <c r="K1783" i="16"/>
  <c r="K1784" i="16"/>
  <c r="K1785" i="16"/>
  <c r="K1786" i="16"/>
  <c r="K1787" i="16"/>
  <c r="K1788" i="16"/>
  <c r="K1789" i="16"/>
  <c r="K1790" i="16"/>
  <c r="K1791" i="16"/>
  <c r="K1792" i="16"/>
  <c r="K1793" i="16"/>
  <c r="K1794" i="16"/>
  <c r="K1795" i="16"/>
  <c r="K1796" i="16"/>
  <c r="K1797" i="16"/>
  <c r="K1798" i="16"/>
  <c r="K1799" i="16"/>
  <c r="K1800" i="16"/>
  <c r="K1801" i="16"/>
  <c r="K1802" i="16"/>
  <c r="K1803" i="16"/>
  <c r="K1804" i="16"/>
  <c r="K1805" i="16"/>
  <c r="K1806" i="16"/>
  <c r="K1807" i="16"/>
  <c r="K1808" i="16"/>
  <c r="K1809" i="16"/>
  <c r="K1810" i="16"/>
  <c r="K1811" i="16"/>
  <c r="K1812" i="16"/>
  <c r="K1813" i="16"/>
  <c r="K1814" i="16"/>
  <c r="K1815" i="16"/>
  <c r="K1816" i="16"/>
  <c r="K1817" i="16"/>
  <c r="K1818" i="16"/>
  <c r="K1819" i="16"/>
  <c r="K1820" i="16"/>
  <c r="K1821" i="16"/>
  <c r="K1822" i="16"/>
  <c r="K1823" i="16"/>
  <c r="K1824" i="16"/>
  <c r="K1825" i="16"/>
  <c r="K1826" i="16"/>
  <c r="K1827" i="16"/>
  <c r="K1828" i="16"/>
  <c r="K1829" i="16"/>
  <c r="K1830" i="16"/>
  <c r="K1831" i="16"/>
  <c r="K1832" i="16"/>
  <c r="K1833" i="16"/>
  <c r="K1834" i="16"/>
  <c r="K1835" i="16"/>
  <c r="K1836" i="16"/>
  <c r="K1837" i="16"/>
  <c r="K1838" i="16"/>
  <c r="K1839" i="16"/>
  <c r="K1840" i="16"/>
  <c r="K1841" i="16"/>
  <c r="K1842" i="16"/>
  <c r="K1843" i="16"/>
  <c r="K1844" i="16"/>
  <c r="K1845" i="16"/>
  <c r="K1846" i="16"/>
  <c r="K1847" i="16"/>
  <c r="K1848" i="16"/>
  <c r="K1849" i="16"/>
  <c r="K1850" i="16"/>
  <c r="K1851" i="16"/>
  <c r="K1852" i="16"/>
  <c r="K1853" i="16"/>
  <c r="K1854" i="16"/>
  <c r="K1855" i="16"/>
  <c r="K1856" i="16"/>
  <c r="K1857" i="16"/>
  <c r="K1858" i="16"/>
  <c r="K1859" i="16"/>
  <c r="K1860" i="16"/>
  <c r="K1861" i="16"/>
  <c r="K1862" i="16"/>
  <c r="K1863" i="16"/>
  <c r="K1864" i="16"/>
  <c r="K1865" i="16"/>
  <c r="K1866" i="16"/>
  <c r="K1867" i="16"/>
  <c r="K1868" i="16"/>
  <c r="K1869" i="16"/>
  <c r="K1870" i="16"/>
  <c r="K1871" i="16"/>
  <c r="K1872" i="16"/>
  <c r="K1873" i="16"/>
  <c r="K1874" i="16"/>
  <c r="K1875" i="16"/>
  <c r="K1876" i="16"/>
  <c r="K1877" i="16"/>
  <c r="K1878" i="16"/>
  <c r="K1879" i="16"/>
  <c r="K1880" i="16"/>
  <c r="K1881" i="16"/>
  <c r="K1882" i="16"/>
  <c r="K1883" i="16"/>
  <c r="K1884" i="16"/>
  <c r="K1885" i="16"/>
  <c r="K1886" i="16"/>
  <c r="K1887" i="16"/>
  <c r="K1888" i="16"/>
  <c r="K1889" i="16"/>
  <c r="K1890" i="16"/>
  <c r="K1891" i="16"/>
  <c r="K1892" i="16"/>
  <c r="K1893" i="16"/>
  <c r="K1894" i="16"/>
  <c r="K1895" i="16"/>
  <c r="K1896" i="16"/>
  <c r="K1897" i="16"/>
  <c r="K1898" i="16"/>
  <c r="K1899" i="16"/>
  <c r="K1900" i="16"/>
  <c r="K1901" i="16"/>
  <c r="K1902" i="16"/>
  <c r="K1903" i="16"/>
  <c r="K1904" i="16"/>
  <c r="K1905" i="16"/>
  <c r="K1906" i="16"/>
  <c r="K1907" i="16"/>
  <c r="K1908" i="16"/>
  <c r="K1909" i="16"/>
  <c r="K1910" i="16"/>
  <c r="K1911" i="16"/>
  <c r="K1912" i="16"/>
  <c r="K1913" i="16"/>
  <c r="K1914" i="16"/>
  <c r="K1915" i="16"/>
  <c r="K1916" i="16"/>
  <c r="K1917" i="16"/>
  <c r="K1918" i="16"/>
  <c r="K1919" i="16"/>
  <c r="K1920" i="16"/>
  <c r="K1921" i="16"/>
  <c r="K1922" i="16"/>
  <c r="K1923" i="16"/>
  <c r="K1924" i="16"/>
  <c r="K1925" i="16"/>
  <c r="K1926" i="16"/>
  <c r="K1927" i="16"/>
  <c r="K1928" i="16"/>
  <c r="K1929" i="16"/>
  <c r="K1930" i="16"/>
  <c r="K1931" i="16"/>
  <c r="K1932" i="16"/>
  <c r="K1933" i="16"/>
  <c r="K1934" i="16"/>
  <c r="K1935" i="16"/>
  <c r="K1936" i="16"/>
  <c r="K1937" i="16"/>
  <c r="K1938" i="16"/>
  <c r="K1939" i="16"/>
  <c r="K1940" i="16"/>
  <c r="K1941" i="16"/>
  <c r="K1942" i="16"/>
  <c r="K1943" i="16"/>
  <c r="K1944" i="16"/>
  <c r="K1945" i="16"/>
  <c r="K1946" i="16"/>
  <c r="K1947" i="16"/>
  <c r="K1948" i="16"/>
  <c r="K1949" i="16"/>
  <c r="K1950" i="16"/>
  <c r="K1951" i="16"/>
  <c r="K1952" i="16"/>
  <c r="K1953" i="16"/>
  <c r="K1954" i="16"/>
  <c r="K1955" i="16"/>
  <c r="K1956" i="16"/>
  <c r="K1957" i="16"/>
  <c r="K1958" i="16"/>
  <c r="K1959" i="16"/>
  <c r="K1960" i="16"/>
  <c r="K1961" i="16"/>
  <c r="K1962" i="16"/>
  <c r="K1963" i="16"/>
  <c r="K1964" i="16"/>
  <c r="K1965" i="16"/>
  <c r="K1966" i="16"/>
  <c r="K1967" i="16"/>
  <c r="K1968" i="16"/>
  <c r="K1969" i="16"/>
  <c r="K1970" i="16"/>
  <c r="K1971" i="16"/>
  <c r="K1972" i="16"/>
  <c r="K1973" i="16"/>
  <c r="K1974" i="16"/>
  <c r="K1975" i="16"/>
  <c r="K1976" i="16"/>
  <c r="K1977" i="16"/>
  <c r="K1978" i="16"/>
  <c r="K1979" i="16"/>
  <c r="K1980" i="16"/>
  <c r="K1981" i="16"/>
  <c r="K1982" i="16"/>
  <c r="K1983" i="16"/>
  <c r="K1984" i="16"/>
  <c r="K1985" i="16"/>
  <c r="K1986" i="16"/>
  <c r="K1987" i="16"/>
  <c r="K1988" i="16"/>
  <c r="K1989" i="16"/>
  <c r="K1990" i="16"/>
  <c r="K1991" i="16"/>
  <c r="K1992" i="16"/>
  <c r="K1993" i="16"/>
  <c r="K1994" i="16"/>
  <c r="K1995" i="16"/>
  <c r="K1996" i="16"/>
  <c r="K1997" i="16"/>
  <c r="K1998" i="16"/>
  <c r="K1999" i="16"/>
  <c r="K2000" i="16"/>
  <c r="K2001" i="16"/>
  <c r="K2002" i="16"/>
  <c r="K2003" i="16"/>
  <c r="K2004" i="16"/>
  <c r="K2005" i="16"/>
  <c r="K2006" i="16"/>
  <c r="K2007" i="16"/>
  <c r="K2008" i="16"/>
  <c r="K2009" i="16"/>
  <c r="K2010" i="16"/>
  <c r="K2011" i="16"/>
  <c r="K2012" i="16"/>
  <c r="K2013" i="16"/>
  <c r="K2014" i="16"/>
  <c r="K2015" i="16"/>
  <c r="K2016" i="16"/>
  <c r="K2017" i="16"/>
  <c r="K2018" i="16"/>
  <c r="K2019" i="16"/>
  <c r="K2020" i="16"/>
  <c r="K2021" i="16"/>
  <c r="K2022" i="16"/>
  <c r="K2023" i="16"/>
  <c r="K2024" i="16"/>
  <c r="K2025" i="16"/>
  <c r="K2026" i="16"/>
  <c r="K2027" i="16"/>
  <c r="K2028" i="16"/>
  <c r="K2029" i="16"/>
  <c r="K2030" i="16"/>
  <c r="K2031" i="16"/>
  <c r="K2032" i="16"/>
  <c r="K2033" i="16"/>
  <c r="K2034" i="16"/>
  <c r="K2035" i="16"/>
  <c r="K2036" i="16"/>
  <c r="K2037" i="16"/>
  <c r="K2038" i="16"/>
  <c r="K2039" i="16"/>
  <c r="K2040" i="16"/>
  <c r="K2041" i="16"/>
  <c r="K2042" i="16"/>
  <c r="K2043" i="16"/>
  <c r="K2044" i="16"/>
  <c r="K2045" i="16"/>
  <c r="K2046" i="16"/>
  <c r="K2047" i="16"/>
  <c r="K2048" i="16"/>
  <c r="K2049" i="16"/>
  <c r="K2050" i="16"/>
  <c r="K2051" i="16"/>
  <c r="K2052" i="16"/>
  <c r="K2053" i="16"/>
  <c r="K2054" i="16"/>
  <c r="K2055" i="16"/>
  <c r="K2056" i="16"/>
  <c r="K2057" i="16"/>
  <c r="K2058" i="16"/>
  <c r="K2059" i="16"/>
  <c r="K2060" i="16"/>
  <c r="K2061" i="16"/>
  <c r="K2062" i="16"/>
  <c r="K2063" i="16"/>
  <c r="K2064" i="16"/>
  <c r="K2065" i="16"/>
  <c r="K2066" i="16"/>
  <c r="K2067" i="16"/>
  <c r="K2068" i="16"/>
  <c r="K2069" i="16"/>
  <c r="K2070" i="16"/>
  <c r="K2071" i="16"/>
  <c r="K2072" i="16"/>
  <c r="K2073" i="16"/>
  <c r="K2074" i="16"/>
  <c r="K2075" i="16"/>
  <c r="K2076" i="16"/>
  <c r="K2077" i="16"/>
  <c r="K2078" i="16"/>
  <c r="K2079" i="16"/>
  <c r="K2080" i="16"/>
  <c r="K2081" i="16"/>
  <c r="K2082" i="16"/>
  <c r="K2083" i="16"/>
  <c r="K2084" i="16"/>
  <c r="K2085" i="16"/>
  <c r="K2086" i="16"/>
  <c r="K2087" i="16"/>
  <c r="K2088" i="16"/>
  <c r="K2089" i="16"/>
  <c r="K2090" i="16"/>
  <c r="K2091" i="16"/>
  <c r="K2092" i="16"/>
  <c r="K2093" i="16"/>
  <c r="K2094" i="16"/>
  <c r="K2095" i="16"/>
  <c r="K2096" i="16"/>
  <c r="K2097" i="16"/>
  <c r="K2098" i="16"/>
  <c r="K2099" i="16"/>
  <c r="K2100" i="16"/>
  <c r="K2101" i="16"/>
  <c r="K2102" i="16"/>
  <c r="K2103" i="16"/>
  <c r="K2104" i="16"/>
  <c r="K2105" i="16"/>
  <c r="K2106" i="16"/>
  <c r="K2107" i="16"/>
  <c r="K2108" i="16"/>
  <c r="K2109" i="16"/>
  <c r="K2110" i="16"/>
  <c r="K2111" i="16"/>
  <c r="K2112" i="16"/>
  <c r="K2113" i="16"/>
  <c r="K2114" i="16"/>
  <c r="K2115" i="16"/>
  <c r="K2116" i="16"/>
  <c r="K2117" i="16"/>
  <c r="K2118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435" i="16"/>
  <c r="G436" i="16"/>
  <c r="G437" i="16"/>
  <c r="G438" i="16"/>
  <c r="G439" i="16"/>
  <c r="G440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453" i="16"/>
  <c r="G454" i="16"/>
  <c r="G455" i="16"/>
  <c r="G456" i="16"/>
  <c r="G457" i="16"/>
  <c r="G458" i="16"/>
  <c r="G459" i="16"/>
  <c r="G460" i="16"/>
  <c r="G461" i="16"/>
  <c r="G462" i="16"/>
  <c r="G463" i="16"/>
  <c r="G464" i="16"/>
  <c r="G465" i="16"/>
  <c r="G466" i="16"/>
  <c r="G467" i="16"/>
  <c r="G468" i="16"/>
  <c r="G469" i="16"/>
  <c r="G470" i="16"/>
  <c r="G471" i="16"/>
  <c r="G472" i="16"/>
  <c r="G473" i="16"/>
  <c r="G474" i="16"/>
  <c r="G475" i="16"/>
  <c r="G476" i="16"/>
  <c r="G477" i="16"/>
  <c r="G478" i="16"/>
  <c r="G479" i="16"/>
  <c r="G480" i="16"/>
  <c r="G481" i="16"/>
  <c r="G482" i="16"/>
  <c r="G483" i="16"/>
  <c r="G484" i="16"/>
  <c r="G485" i="16"/>
  <c r="G486" i="16"/>
  <c r="G487" i="16"/>
  <c r="G488" i="16"/>
  <c r="G489" i="16"/>
  <c r="G490" i="16"/>
  <c r="G491" i="16"/>
  <c r="G492" i="16"/>
  <c r="G493" i="16"/>
  <c r="G494" i="16"/>
  <c r="G495" i="16"/>
  <c r="G496" i="16"/>
  <c r="G497" i="16"/>
  <c r="G498" i="16"/>
  <c r="G499" i="16"/>
  <c r="G500" i="16"/>
  <c r="G501" i="16"/>
  <c r="G502" i="16"/>
  <c r="G503" i="16"/>
  <c r="G504" i="16"/>
  <c r="G505" i="16"/>
  <c r="G506" i="16"/>
  <c r="G507" i="16"/>
  <c r="G508" i="16"/>
  <c r="G509" i="16"/>
  <c r="G510" i="16"/>
  <c r="G511" i="16"/>
  <c r="G512" i="16"/>
  <c r="G513" i="16"/>
  <c r="G514" i="16"/>
  <c r="G515" i="16"/>
  <c r="G516" i="16"/>
  <c r="G517" i="16"/>
  <c r="G518" i="16"/>
  <c r="G519" i="16"/>
  <c r="G520" i="16"/>
  <c r="G521" i="16"/>
  <c r="G522" i="16"/>
  <c r="G523" i="16"/>
  <c r="G524" i="16"/>
  <c r="G525" i="16"/>
  <c r="G526" i="16"/>
  <c r="G527" i="16"/>
  <c r="G528" i="16"/>
  <c r="G529" i="16"/>
  <c r="G530" i="16"/>
  <c r="G531" i="16"/>
  <c r="G532" i="16"/>
  <c r="G533" i="16"/>
  <c r="G534" i="16"/>
  <c r="G535" i="16"/>
  <c r="G536" i="16"/>
  <c r="G537" i="16"/>
  <c r="G538" i="16"/>
  <c r="G539" i="16"/>
  <c r="G540" i="16"/>
  <c r="G541" i="16"/>
  <c r="G542" i="16"/>
  <c r="G543" i="16"/>
  <c r="G544" i="16"/>
  <c r="G545" i="16"/>
  <c r="G546" i="16"/>
  <c r="G547" i="16"/>
  <c r="G548" i="16"/>
  <c r="G549" i="16"/>
  <c r="G550" i="16"/>
  <c r="G551" i="16"/>
  <c r="G552" i="16"/>
  <c r="G553" i="16"/>
  <c r="G554" i="16"/>
  <c r="G555" i="16"/>
  <c r="G556" i="16"/>
  <c r="G557" i="16"/>
  <c r="G558" i="16"/>
  <c r="G559" i="16"/>
  <c r="G560" i="16"/>
  <c r="G561" i="16"/>
  <c r="G562" i="16"/>
  <c r="G563" i="16"/>
  <c r="G564" i="16"/>
  <c r="G565" i="16"/>
  <c r="G566" i="16"/>
  <c r="G567" i="16"/>
  <c r="G568" i="16"/>
  <c r="G569" i="16"/>
  <c r="G570" i="16"/>
  <c r="G571" i="16"/>
  <c r="G572" i="16"/>
  <c r="G573" i="16"/>
  <c r="G574" i="16"/>
  <c r="G575" i="16"/>
  <c r="G576" i="16"/>
  <c r="G577" i="16"/>
  <c r="G578" i="16"/>
  <c r="G579" i="16"/>
  <c r="G580" i="16"/>
  <c r="G581" i="16"/>
  <c r="G582" i="16"/>
  <c r="G583" i="16"/>
  <c r="G584" i="16"/>
  <c r="G585" i="16"/>
  <c r="G586" i="16"/>
  <c r="G587" i="16"/>
  <c r="G588" i="16"/>
  <c r="G589" i="16"/>
  <c r="G590" i="16"/>
  <c r="G591" i="16"/>
  <c r="G592" i="16"/>
  <c r="G593" i="16"/>
  <c r="G594" i="16"/>
  <c r="G595" i="16"/>
  <c r="G596" i="16"/>
  <c r="G597" i="16"/>
  <c r="G598" i="16"/>
  <c r="G599" i="16"/>
  <c r="G600" i="16"/>
  <c r="G601" i="16"/>
  <c r="G602" i="16"/>
  <c r="G603" i="16"/>
  <c r="G604" i="16"/>
  <c r="G605" i="16"/>
  <c r="G606" i="16"/>
  <c r="G607" i="16"/>
  <c r="G608" i="16"/>
  <c r="G609" i="16"/>
  <c r="G610" i="16"/>
  <c r="G611" i="16"/>
  <c r="G612" i="16"/>
  <c r="G613" i="16"/>
  <c r="G614" i="16"/>
  <c r="G615" i="16"/>
  <c r="G616" i="16"/>
  <c r="G617" i="16"/>
  <c r="G618" i="16"/>
  <c r="G619" i="16"/>
  <c r="G620" i="16"/>
  <c r="G621" i="16"/>
  <c r="G622" i="16"/>
  <c r="G623" i="16"/>
  <c r="G624" i="16"/>
  <c r="G625" i="16"/>
  <c r="G626" i="16"/>
  <c r="G627" i="16"/>
  <c r="G628" i="16"/>
  <c r="G629" i="16"/>
  <c r="G630" i="16"/>
  <c r="G631" i="16"/>
  <c r="G632" i="16"/>
  <c r="G633" i="16"/>
  <c r="G634" i="16"/>
  <c r="G635" i="16"/>
  <c r="G636" i="16"/>
  <c r="G637" i="16"/>
  <c r="G638" i="16"/>
  <c r="G639" i="16"/>
  <c r="G640" i="16"/>
  <c r="G641" i="16"/>
  <c r="G642" i="16"/>
  <c r="G643" i="16"/>
  <c r="G644" i="16"/>
  <c r="G645" i="16"/>
  <c r="G646" i="16"/>
  <c r="G647" i="16"/>
  <c r="G648" i="16"/>
  <c r="G649" i="16"/>
  <c r="G650" i="16"/>
  <c r="G651" i="16"/>
  <c r="G652" i="16"/>
  <c r="G653" i="16"/>
  <c r="G654" i="16"/>
  <c r="G655" i="16"/>
  <c r="G656" i="16"/>
  <c r="G657" i="16"/>
  <c r="G658" i="16"/>
  <c r="G659" i="16"/>
  <c r="G660" i="16"/>
  <c r="G661" i="16"/>
  <c r="G662" i="16"/>
  <c r="G663" i="16"/>
  <c r="G664" i="16"/>
  <c r="G665" i="16"/>
  <c r="G666" i="16"/>
  <c r="G667" i="16"/>
  <c r="G668" i="16"/>
  <c r="G669" i="16"/>
  <c r="G670" i="16"/>
  <c r="G671" i="16"/>
  <c r="G672" i="16"/>
  <c r="G673" i="16"/>
  <c r="G674" i="16"/>
  <c r="G675" i="16"/>
  <c r="G676" i="16"/>
  <c r="G677" i="16"/>
  <c r="G678" i="16"/>
  <c r="G679" i="16"/>
  <c r="G680" i="16"/>
  <c r="G681" i="16"/>
  <c r="G682" i="16"/>
  <c r="G683" i="16"/>
  <c r="G684" i="16"/>
  <c r="G685" i="16"/>
  <c r="G686" i="16"/>
  <c r="G687" i="16"/>
  <c r="G688" i="16"/>
  <c r="G689" i="16"/>
  <c r="G690" i="16"/>
  <c r="G691" i="16"/>
  <c r="G692" i="16"/>
  <c r="G693" i="16"/>
  <c r="G694" i="16"/>
  <c r="G695" i="16"/>
  <c r="G696" i="16"/>
  <c r="G697" i="16"/>
  <c r="G698" i="16"/>
  <c r="G699" i="16"/>
  <c r="G700" i="16"/>
  <c r="G701" i="16"/>
  <c r="G702" i="16"/>
  <c r="G703" i="16"/>
  <c r="G704" i="16"/>
  <c r="G705" i="16"/>
  <c r="G706" i="16"/>
  <c r="G707" i="16"/>
  <c r="G708" i="16"/>
  <c r="G709" i="16"/>
  <c r="G710" i="16"/>
  <c r="G711" i="16"/>
  <c r="G712" i="16"/>
  <c r="G713" i="16"/>
  <c r="G714" i="16"/>
  <c r="G715" i="16"/>
  <c r="G716" i="16"/>
  <c r="G717" i="16"/>
  <c r="G718" i="16"/>
  <c r="G719" i="16"/>
  <c r="G720" i="16"/>
  <c r="G721" i="16"/>
  <c r="G722" i="16"/>
  <c r="G723" i="16"/>
  <c r="G724" i="16"/>
  <c r="G725" i="16"/>
  <c r="G726" i="16"/>
  <c r="G727" i="16"/>
  <c r="G728" i="16"/>
  <c r="G729" i="16"/>
  <c r="G730" i="16"/>
  <c r="G731" i="16"/>
  <c r="G732" i="16"/>
  <c r="G733" i="16"/>
  <c r="G734" i="16"/>
  <c r="G735" i="16"/>
  <c r="G736" i="16"/>
  <c r="G737" i="16"/>
  <c r="G738" i="16"/>
  <c r="G739" i="16"/>
  <c r="G740" i="16"/>
  <c r="G741" i="16"/>
  <c r="G742" i="16"/>
  <c r="G743" i="16"/>
  <c r="G744" i="16"/>
  <c r="G745" i="16"/>
  <c r="G746" i="16"/>
  <c r="G747" i="16"/>
  <c r="G748" i="16"/>
  <c r="G749" i="16"/>
  <c r="G750" i="16"/>
  <c r="G751" i="16"/>
  <c r="G752" i="16"/>
  <c r="G753" i="16"/>
  <c r="G754" i="16"/>
  <c r="G755" i="16"/>
  <c r="G756" i="16"/>
  <c r="G757" i="16"/>
  <c r="G758" i="16"/>
  <c r="G759" i="16"/>
  <c r="G760" i="16"/>
  <c r="G761" i="16"/>
  <c r="G762" i="16"/>
  <c r="G763" i="16"/>
  <c r="G764" i="16"/>
  <c r="G765" i="16"/>
  <c r="G766" i="16"/>
  <c r="G767" i="16"/>
  <c r="G768" i="16"/>
  <c r="G769" i="16"/>
  <c r="G770" i="16"/>
  <c r="G771" i="16"/>
  <c r="G772" i="16"/>
  <c r="G773" i="16"/>
  <c r="G774" i="16"/>
  <c r="G775" i="16"/>
  <c r="G776" i="16"/>
  <c r="G777" i="16"/>
  <c r="G778" i="16"/>
  <c r="G779" i="16"/>
  <c r="G780" i="16"/>
  <c r="G781" i="16"/>
  <c r="G782" i="16"/>
  <c r="G783" i="16"/>
  <c r="G784" i="16"/>
  <c r="G785" i="16"/>
  <c r="G786" i="16"/>
  <c r="G787" i="16"/>
  <c r="G788" i="16"/>
  <c r="G789" i="16"/>
  <c r="G790" i="16"/>
  <c r="G791" i="16"/>
  <c r="G792" i="16"/>
  <c r="G793" i="16"/>
  <c r="G794" i="16"/>
  <c r="G795" i="16"/>
  <c r="G796" i="16"/>
  <c r="G797" i="16"/>
  <c r="G798" i="16"/>
  <c r="G799" i="16"/>
  <c r="G800" i="16"/>
  <c r="G801" i="16"/>
  <c r="G802" i="16"/>
  <c r="G803" i="16"/>
  <c r="G804" i="16"/>
  <c r="G805" i="16"/>
  <c r="G806" i="16"/>
  <c r="G807" i="16"/>
  <c r="G808" i="16"/>
  <c r="G809" i="16"/>
  <c r="G810" i="16"/>
  <c r="G811" i="16"/>
  <c r="G812" i="16"/>
  <c r="G813" i="16"/>
  <c r="G814" i="16"/>
  <c r="G815" i="16"/>
  <c r="G816" i="16"/>
  <c r="G817" i="16"/>
  <c r="G818" i="16"/>
  <c r="G819" i="16"/>
  <c r="G820" i="16"/>
  <c r="G821" i="16"/>
  <c r="G822" i="16"/>
  <c r="G823" i="16"/>
  <c r="G824" i="16"/>
  <c r="G825" i="16"/>
  <c r="G826" i="16"/>
  <c r="G827" i="16"/>
  <c r="G828" i="16"/>
  <c r="G829" i="16"/>
  <c r="G830" i="16"/>
  <c r="G831" i="16"/>
  <c r="G832" i="16"/>
  <c r="G833" i="16"/>
  <c r="G834" i="16"/>
  <c r="G835" i="16"/>
  <c r="G836" i="16"/>
  <c r="G837" i="16"/>
  <c r="G838" i="16"/>
  <c r="G839" i="16"/>
  <c r="G840" i="16"/>
  <c r="G841" i="16"/>
  <c r="G842" i="16"/>
  <c r="G843" i="16"/>
  <c r="G844" i="16"/>
  <c r="G845" i="16"/>
  <c r="G846" i="16"/>
  <c r="G847" i="16"/>
  <c r="G848" i="16"/>
  <c r="G849" i="16"/>
  <c r="G850" i="16"/>
  <c r="G851" i="16"/>
  <c r="G852" i="16"/>
  <c r="G853" i="16"/>
  <c r="G854" i="16"/>
  <c r="G855" i="16"/>
  <c r="G856" i="16"/>
  <c r="G857" i="16"/>
  <c r="G858" i="16"/>
  <c r="G859" i="16"/>
  <c r="G860" i="16"/>
  <c r="G861" i="16"/>
  <c r="G862" i="16"/>
  <c r="G863" i="16"/>
  <c r="G864" i="16"/>
  <c r="G865" i="16"/>
  <c r="G866" i="16"/>
  <c r="G867" i="16"/>
  <c r="G868" i="16"/>
  <c r="G869" i="16"/>
  <c r="G870" i="16"/>
  <c r="G871" i="16"/>
  <c r="G872" i="16"/>
  <c r="G873" i="16"/>
  <c r="G874" i="16"/>
  <c r="G875" i="16"/>
  <c r="G876" i="16"/>
  <c r="G877" i="16"/>
  <c r="G878" i="16"/>
  <c r="G879" i="16"/>
  <c r="G880" i="16"/>
  <c r="G881" i="16"/>
  <c r="G882" i="16"/>
  <c r="G883" i="16"/>
  <c r="G884" i="16"/>
  <c r="G885" i="16"/>
  <c r="G886" i="16"/>
  <c r="G887" i="16"/>
  <c r="G888" i="16"/>
  <c r="G889" i="16"/>
  <c r="G890" i="16"/>
  <c r="G891" i="16"/>
  <c r="G892" i="16"/>
  <c r="G893" i="16"/>
  <c r="G894" i="16"/>
  <c r="G895" i="16"/>
  <c r="G896" i="16"/>
  <c r="G897" i="16"/>
  <c r="G898" i="16"/>
  <c r="G899" i="16"/>
  <c r="G900" i="16"/>
  <c r="G901" i="16"/>
  <c r="G902" i="16"/>
  <c r="G903" i="16"/>
  <c r="G904" i="16"/>
  <c r="G905" i="16"/>
  <c r="G906" i="16"/>
  <c r="G907" i="16"/>
  <c r="G908" i="16"/>
  <c r="G909" i="16"/>
  <c r="G910" i="16"/>
  <c r="G911" i="16"/>
  <c r="G912" i="16"/>
  <c r="G913" i="16"/>
  <c r="G914" i="16"/>
  <c r="G915" i="16"/>
  <c r="G916" i="16"/>
  <c r="G917" i="16"/>
  <c r="G918" i="16"/>
  <c r="G919" i="16"/>
  <c r="G920" i="16"/>
  <c r="G921" i="16"/>
  <c r="G922" i="16"/>
  <c r="G923" i="16"/>
  <c r="G924" i="16"/>
  <c r="G925" i="16"/>
  <c r="G926" i="16"/>
  <c r="G927" i="16"/>
  <c r="G928" i="16"/>
  <c r="G929" i="16"/>
  <c r="G930" i="16"/>
  <c r="G931" i="16"/>
  <c r="G932" i="16"/>
  <c r="G933" i="16"/>
  <c r="G934" i="16"/>
  <c r="G935" i="16"/>
  <c r="G936" i="16"/>
  <c r="G937" i="16"/>
  <c r="G938" i="16"/>
  <c r="G939" i="16"/>
  <c r="G940" i="16"/>
  <c r="G941" i="16"/>
  <c r="G942" i="16"/>
  <c r="G943" i="16"/>
  <c r="G944" i="16"/>
  <c r="G945" i="16"/>
  <c r="G946" i="16"/>
  <c r="G947" i="16"/>
  <c r="G948" i="16"/>
  <c r="G949" i="16"/>
  <c r="G950" i="16"/>
  <c r="G951" i="16"/>
  <c r="G952" i="16"/>
  <c r="G953" i="16"/>
  <c r="G954" i="16"/>
  <c r="G955" i="16"/>
  <c r="G956" i="16"/>
  <c r="G957" i="16"/>
  <c r="G958" i="16"/>
  <c r="G959" i="16"/>
  <c r="G960" i="16"/>
  <c r="G961" i="16"/>
  <c r="G962" i="16"/>
  <c r="G963" i="16"/>
  <c r="G964" i="16"/>
  <c r="G965" i="16"/>
  <c r="G966" i="16"/>
  <c r="G967" i="16"/>
  <c r="G968" i="16"/>
  <c r="G969" i="16"/>
  <c r="G970" i="16"/>
  <c r="G971" i="16"/>
  <c r="G972" i="16"/>
  <c r="G973" i="16"/>
  <c r="G974" i="16"/>
  <c r="G975" i="16"/>
  <c r="G976" i="16"/>
  <c r="G977" i="16"/>
  <c r="G978" i="16"/>
  <c r="G979" i="16"/>
  <c r="G980" i="16"/>
  <c r="G981" i="16"/>
  <c r="G982" i="16"/>
  <c r="G983" i="16"/>
  <c r="G984" i="16"/>
  <c r="G985" i="16"/>
  <c r="G986" i="16"/>
  <c r="G987" i="16"/>
  <c r="G988" i="16"/>
  <c r="G989" i="16"/>
  <c r="G990" i="16"/>
  <c r="G991" i="16"/>
  <c r="G992" i="16"/>
  <c r="G993" i="16"/>
  <c r="G994" i="16"/>
  <c r="G995" i="16"/>
  <c r="G996" i="16"/>
  <c r="G997" i="16"/>
  <c r="G998" i="16"/>
  <c r="G999" i="16"/>
  <c r="G1000" i="16"/>
  <c r="G1001" i="16"/>
  <c r="G1002" i="16"/>
  <c r="G1003" i="16"/>
  <c r="G1004" i="16"/>
  <c r="G1005" i="16"/>
  <c r="G1006" i="16"/>
  <c r="G1007" i="16"/>
  <c r="G1008" i="16"/>
  <c r="G1009" i="16"/>
  <c r="G1010" i="16"/>
  <c r="G1011" i="16"/>
  <c r="G1012" i="16"/>
  <c r="G1013" i="16"/>
  <c r="G1014" i="16"/>
  <c r="G1015" i="16"/>
  <c r="G1016" i="16"/>
  <c r="G1017" i="16"/>
  <c r="G1018" i="16"/>
  <c r="G1019" i="16"/>
  <c r="G1020" i="16"/>
  <c r="G1021" i="16"/>
  <c r="G1022" i="16"/>
  <c r="G1023" i="16"/>
  <c r="G1024" i="16"/>
  <c r="G1025" i="16"/>
  <c r="G1026" i="16"/>
  <c r="G1027" i="16"/>
  <c r="G1028" i="16"/>
  <c r="G1029" i="16"/>
  <c r="G1030" i="16"/>
  <c r="G1031" i="16"/>
  <c r="G1032" i="16"/>
  <c r="G1033" i="16"/>
  <c r="G1034" i="16"/>
  <c r="G1035" i="16"/>
  <c r="G1036" i="16"/>
  <c r="G1037" i="16"/>
  <c r="G1038" i="16"/>
  <c r="G1039" i="16"/>
  <c r="G1040" i="16"/>
  <c r="G1041" i="16"/>
  <c r="G1042" i="16"/>
  <c r="G1043" i="16"/>
  <c r="G1044" i="16"/>
  <c r="G1045" i="16"/>
  <c r="G1046" i="16"/>
  <c r="G1047" i="16"/>
  <c r="G1048" i="16"/>
  <c r="G1049" i="16"/>
  <c r="G1050" i="16"/>
  <c r="G1051" i="16"/>
  <c r="G1052" i="16"/>
  <c r="G1053" i="16"/>
  <c r="G1054" i="16"/>
  <c r="G1055" i="16"/>
  <c r="G1056" i="16"/>
  <c r="G1057" i="16"/>
  <c r="G1058" i="16"/>
  <c r="G1059" i="16"/>
  <c r="G1060" i="16"/>
  <c r="G1061" i="16"/>
  <c r="G1062" i="16"/>
  <c r="G1063" i="16"/>
  <c r="G1064" i="16"/>
  <c r="G1065" i="16"/>
  <c r="G1066" i="16"/>
  <c r="G1067" i="16"/>
  <c r="G1068" i="16"/>
  <c r="G1069" i="16"/>
  <c r="G1070" i="16"/>
  <c r="G1071" i="16"/>
  <c r="G1072" i="16"/>
  <c r="G1073" i="16"/>
  <c r="G1074" i="16"/>
  <c r="G1075" i="16"/>
  <c r="G1076" i="16"/>
  <c r="G1077" i="16"/>
  <c r="G1078" i="16"/>
  <c r="G1079" i="16"/>
  <c r="G1080" i="16"/>
  <c r="G1081" i="16"/>
  <c r="G1082" i="16"/>
  <c r="G1083" i="16"/>
  <c r="G1084" i="16"/>
  <c r="G1085" i="16"/>
  <c r="G1086" i="16"/>
  <c r="G1087" i="16"/>
  <c r="G1088" i="16"/>
  <c r="G1089" i="16"/>
  <c r="G1090" i="16"/>
  <c r="G1091" i="16"/>
  <c r="G1092" i="16"/>
  <c r="G1093" i="16"/>
  <c r="G1094" i="16"/>
  <c r="G1095" i="16"/>
  <c r="G1096" i="16"/>
  <c r="G1097" i="16"/>
  <c r="G1098" i="16"/>
  <c r="G1099" i="16"/>
  <c r="G1100" i="16"/>
  <c r="G1101" i="16"/>
  <c r="G1102" i="16"/>
  <c r="G1103" i="16"/>
  <c r="G1104" i="16"/>
  <c r="G1105" i="16"/>
  <c r="G1106" i="16"/>
  <c r="G1107" i="16"/>
  <c r="G1108" i="16"/>
  <c r="G1109" i="16"/>
  <c r="G1110" i="16"/>
  <c r="G1111" i="16"/>
  <c r="G1112" i="16"/>
  <c r="G1113" i="16"/>
  <c r="G1114" i="16"/>
  <c r="G1115" i="16"/>
  <c r="G1116" i="16"/>
  <c r="G1117" i="16"/>
  <c r="G1118" i="16"/>
  <c r="G1119" i="16"/>
  <c r="G1120" i="16"/>
  <c r="G1121" i="16"/>
  <c r="G1122" i="16"/>
  <c r="G1123" i="16"/>
  <c r="G1124" i="16"/>
  <c r="G1125" i="16"/>
  <c r="G1126" i="16"/>
  <c r="G1127" i="16"/>
  <c r="G1128" i="16"/>
  <c r="G1129" i="16"/>
  <c r="G1130" i="16"/>
  <c r="G1131" i="16"/>
  <c r="G1132" i="16"/>
  <c r="G1133" i="16"/>
  <c r="G1134" i="16"/>
  <c r="G1135" i="16"/>
  <c r="G1136" i="16"/>
  <c r="G1137" i="16"/>
  <c r="G1138" i="16"/>
  <c r="G1139" i="16"/>
  <c r="G1140" i="16"/>
  <c r="G1141" i="16"/>
  <c r="G1142" i="16"/>
  <c r="G1143" i="16"/>
  <c r="G1144" i="16"/>
  <c r="G1145" i="16"/>
  <c r="G1146" i="16"/>
  <c r="G1147" i="16"/>
  <c r="G1148" i="16"/>
  <c r="G1149" i="16"/>
  <c r="G1150" i="16"/>
  <c r="G1151" i="16"/>
  <c r="G1152" i="16"/>
  <c r="G1153" i="16"/>
  <c r="G1154" i="16"/>
  <c r="G1155" i="16"/>
  <c r="G1156" i="16"/>
  <c r="G1157" i="16"/>
  <c r="G1158" i="16"/>
  <c r="G1159" i="16"/>
  <c r="G1160" i="16"/>
  <c r="G1161" i="16"/>
  <c r="G1162" i="16"/>
  <c r="G1163" i="16"/>
  <c r="G1164" i="16"/>
  <c r="G1165" i="16"/>
  <c r="G1166" i="16"/>
  <c r="G1167" i="16"/>
  <c r="G1168" i="16"/>
  <c r="G1169" i="16"/>
  <c r="G1170" i="16"/>
  <c r="G1171" i="16"/>
  <c r="G1172" i="16"/>
  <c r="G1173" i="16"/>
  <c r="G1174" i="16"/>
  <c r="G1175" i="16"/>
  <c r="G1176" i="16"/>
  <c r="G1177" i="16"/>
  <c r="G1178" i="16"/>
  <c r="G1179" i="16"/>
  <c r="G1180" i="16"/>
  <c r="G1181" i="16"/>
  <c r="G1182" i="16"/>
  <c r="G1183" i="16"/>
  <c r="G1184" i="16"/>
  <c r="G1185" i="16"/>
  <c r="G1186" i="16"/>
  <c r="G1187" i="16"/>
  <c r="G1188" i="16"/>
  <c r="G1189" i="16"/>
  <c r="G1190" i="16"/>
  <c r="G1191" i="16"/>
  <c r="G1192" i="16"/>
  <c r="G1193" i="16"/>
  <c r="G1194" i="16"/>
  <c r="G1195" i="16"/>
  <c r="G1196" i="16"/>
  <c r="G1197" i="16"/>
  <c r="G1198" i="16"/>
  <c r="G1199" i="16"/>
  <c r="G1200" i="16"/>
  <c r="G1201" i="16"/>
  <c r="G1202" i="16"/>
  <c r="G1203" i="16"/>
  <c r="G1204" i="16"/>
  <c r="G1205" i="16"/>
  <c r="G1206" i="16"/>
  <c r="G1207" i="16"/>
  <c r="G1208" i="16"/>
  <c r="G1209" i="16"/>
  <c r="G1210" i="16"/>
  <c r="G1211" i="16"/>
  <c r="G1212" i="16"/>
  <c r="G1213" i="16"/>
  <c r="G1214" i="16"/>
  <c r="G1215" i="16"/>
  <c r="G1216" i="16"/>
  <c r="G1217" i="16"/>
  <c r="G1218" i="16"/>
  <c r="G1219" i="16"/>
  <c r="G1220" i="16"/>
  <c r="G1221" i="16"/>
  <c r="G1222" i="16"/>
  <c r="G1223" i="16"/>
  <c r="G1224" i="16"/>
  <c r="G1225" i="16"/>
  <c r="G1226" i="16"/>
  <c r="G1227" i="16"/>
  <c r="G1228" i="16"/>
  <c r="G1229" i="16"/>
  <c r="G1230" i="16"/>
  <c r="G1231" i="16"/>
  <c r="G1232" i="16"/>
  <c r="G1233" i="16"/>
  <c r="G1234" i="16"/>
  <c r="G1235" i="16"/>
  <c r="G1236" i="16"/>
  <c r="G1237" i="16"/>
  <c r="G1238" i="16"/>
  <c r="G1239" i="16"/>
  <c r="G1240" i="16"/>
  <c r="G1241" i="16"/>
  <c r="G1242" i="16"/>
  <c r="G1243" i="16"/>
  <c r="G1244" i="16"/>
  <c r="G1245" i="16"/>
  <c r="G1246" i="16"/>
  <c r="G1247" i="16"/>
  <c r="G1248" i="16"/>
  <c r="G1249" i="16"/>
  <c r="G1250" i="16"/>
  <c r="G1251" i="16"/>
  <c r="G1252" i="16"/>
  <c r="G1253" i="16"/>
  <c r="G1254" i="16"/>
  <c r="G1255" i="16"/>
  <c r="G1256" i="16"/>
  <c r="G1257" i="16"/>
  <c r="G1258" i="16"/>
  <c r="G1259" i="16"/>
  <c r="G1260" i="16"/>
  <c r="G1261" i="16"/>
  <c r="G1262" i="16"/>
  <c r="G1263" i="16"/>
  <c r="G1264" i="16"/>
  <c r="G1265" i="16"/>
  <c r="G1266" i="16"/>
  <c r="G1267" i="16"/>
  <c r="G1268" i="16"/>
  <c r="G1269" i="16"/>
  <c r="G1270" i="16"/>
  <c r="G1271" i="16"/>
  <c r="G1272" i="16"/>
  <c r="G1273" i="16"/>
  <c r="G1274" i="16"/>
  <c r="G1275" i="16"/>
  <c r="G1276" i="16"/>
  <c r="G1277" i="16"/>
  <c r="G1278" i="16"/>
  <c r="G1279" i="16"/>
  <c r="G1280" i="16"/>
  <c r="G1281" i="16"/>
  <c r="G1282" i="16"/>
  <c r="G1283" i="16"/>
  <c r="G1284" i="16"/>
  <c r="G1285" i="16"/>
  <c r="G1286" i="16"/>
  <c r="G1287" i="16"/>
  <c r="G1288" i="16"/>
  <c r="G1289" i="16"/>
  <c r="G1290" i="16"/>
  <c r="G1291" i="16"/>
  <c r="G1292" i="16"/>
  <c r="G1293" i="16"/>
  <c r="G1294" i="16"/>
  <c r="G1295" i="16"/>
  <c r="G1296" i="16"/>
  <c r="G1297" i="16"/>
  <c r="G1298" i="16"/>
  <c r="G1299" i="16"/>
  <c r="G1300" i="16"/>
  <c r="G1301" i="16"/>
  <c r="G1302" i="16"/>
  <c r="G1303" i="16"/>
  <c r="G1304" i="16"/>
  <c r="G1305" i="16"/>
  <c r="G1306" i="16"/>
  <c r="G1307" i="16"/>
  <c r="G1308" i="16"/>
  <c r="G1309" i="16"/>
  <c r="G1310" i="16"/>
  <c r="G1311" i="16"/>
  <c r="G1312" i="16"/>
  <c r="G1313" i="16"/>
  <c r="G1314" i="16"/>
  <c r="G1315" i="16"/>
  <c r="G1316" i="16"/>
  <c r="G1317" i="16"/>
  <c r="G1318" i="16"/>
  <c r="G1319" i="16"/>
  <c r="G1320" i="16"/>
  <c r="G1321" i="16"/>
  <c r="G1322" i="16"/>
  <c r="G1323" i="16"/>
  <c r="G1324" i="16"/>
  <c r="G1325" i="16"/>
  <c r="G1326" i="16"/>
  <c r="G1327" i="16"/>
  <c r="G1328" i="16"/>
  <c r="G1329" i="16"/>
  <c r="G1330" i="16"/>
  <c r="G1331" i="16"/>
  <c r="G1332" i="16"/>
  <c r="G1333" i="16"/>
  <c r="G1334" i="16"/>
  <c r="G1335" i="16"/>
  <c r="G1336" i="16"/>
  <c r="G1337" i="16"/>
  <c r="G1338" i="16"/>
  <c r="G1339" i="16"/>
  <c r="G1340" i="16"/>
  <c r="G1341" i="16"/>
  <c r="G1342" i="16"/>
  <c r="G1343" i="16"/>
  <c r="G1344" i="16"/>
  <c r="G1345" i="16"/>
  <c r="G1346" i="16"/>
  <c r="G1347" i="16"/>
  <c r="G1348" i="16"/>
  <c r="G1349" i="16"/>
  <c r="G1350" i="16"/>
  <c r="G1351" i="16"/>
  <c r="G1352" i="16"/>
  <c r="G1353" i="16"/>
  <c r="G1354" i="16"/>
  <c r="G1355" i="16"/>
  <c r="G1356" i="16"/>
  <c r="G1357" i="16"/>
  <c r="G1358" i="16"/>
  <c r="G1359" i="16"/>
  <c r="G1360" i="16"/>
  <c r="G1361" i="16"/>
  <c r="G1362" i="16"/>
  <c r="G1363" i="16"/>
  <c r="G1364" i="16"/>
  <c r="G1365" i="16"/>
  <c r="G1366" i="16"/>
  <c r="G1367" i="16"/>
  <c r="G1368" i="16"/>
  <c r="G1369" i="16"/>
  <c r="G1370" i="16"/>
  <c r="G1371" i="16"/>
  <c r="G1372" i="16"/>
  <c r="G1373" i="16"/>
  <c r="G1374" i="16"/>
  <c r="G1375" i="16"/>
  <c r="G1376" i="16"/>
  <c r="G1377" i="16"/>
  <c r="G1378" i="16"/>
  <c r="G1379" i="16"/>
  <c r="G1380" i="16"/>
  <c r="G1381" i="16"/>
  <c r="G1382" i="16"/>
  <c r="G1383" i="16"/>
  <c r="G1384" i="16"/>
  <c r="G1385" i="16"/>
  <c r="G1386" i="16"/>
  <c r="G1387" i="16"/>
  <c r="G1388" i="16"/>
  <c r="G1389" i="16"/>
  <c r="G1390" i="16"/>
  <c r="G1391" i="16"/>
  <c r="G1392" i="16"/>
  <c r="G1393" i="16"/>
  <c r="G1394" i="16"/>
  <c r="G1395" i="16"/>
  <c r="G1396" i="16"/>
  <c r="G1397" i="16"/>
  <c r="G1398" i="16"/>
  <c r="G1399" i="16"/>
  <c r="G1400" i="16"/>
  <c r="G1401" i="16"/>
  <c r="G1402" i="16"/>
  <c r="G1403" i="16"/>
  <c r="G1404" i="16"/>
  <c r="G1405" i="16"/>
  <c r="G1406" i="16"/>
  <c r="G1407" i="16"/>
  <c r="G1408" i="16"/>
  <c r="G1409" i="16"/>
  <c r="G1410" i="16"/>
  <c r="G1411" i="16"/>
  <c r="G1412" i="16"/>
  <c r="G1413" i="16"/>
  <c r="G1414" i="16"/>
  <c r="G1415" i="16"/>
  <c r="G1416" i="16"/>
  <c r="G1417" i="16"/>
  <c r="G1418" i="16"/>
  <c r="G1419" i="16"/>
  <c r="G1420" i="16"/>
  <c r="G1421" i="16"/>
  <c r="G1422" i="16"/>
  <c r="G1423" i="16"/>
  <c r="G1424" i="16"/>
  <c r="G1425" i="16"/>
  <c r="G1426" i="16"/>
  <c r="G1427" i="16"/>
  <c r="G1428" i="16"/>
  <c r="G1429" i="16"/>
  <c r="G1430" i="16"/>
  <c r="G1431" i="16"/>
  <c r="G1432" i="16"/>
  <c r="G1433" i="16"/>
  <c r="G1434" i="16"/>
  <c r="G1435" i="16"/>
  <c r="G1436" i="16"/>
  <c r="G1437" i="16"/>
  <c r="G1438" i="16"/>
  <c r="G1439" i="16"/>
  <c r="G1440" i="16"/>
  <c r="G1441" i="16"/>
  <c r="G1442" i="16"/>
  <c r="G1443" i="16"/>
  <c r="G1444" i="16"/>
  <c r="G1445" i="16"/>
  <c r="G1446" i="16"/>
  <c r="G1447" i="16"/>
  <c r="G1448" i="16"/>
  <c r="G1449" i="16"/>
  <c r="G1450" i="16"/>
  <c r="G1451" i="16"/>
  <c r="G1452" i="16"/>
  <c r="G1453" i="16"/>
  <c r="G1454" i="16"/>
  <c r="G1455" i="16"/>
  <c r="G1456" i="16"/>
  <c r="G1457" i="16"/>
  <c r="G1458" i="16"/>
  <c r="G1459" i="16"/>
  <c r="G1460" i="16"/>
  <c r="G1461" i="16"/>
  <c r="G1462" i="16"/>
  <c r="G1463" i="16"/>
  <c r="G1464" i="16"/>
  <c r="G1465" i="16"/>
  <c r="G1466" i="16"/>
  <c r="G1467" i="16"/>
  <c r="G1468" i="16"/>
  <c r="G1469" i="16"/>
  <c r="G1470" i="16"/>
  <c r="G1471" i="16"/>
  <c r="G1472" i="16"/>
  <c r="G1473" i="16"/>
  <c r="G1474" i="16"/>
  <c r="G1475" i="16"/>
  <c r="G1476" i="16"/>
  <c r="G1477" i="16"/>
  <c r="G1478" i="16"/>
  <c r="G1479" i="16"/>
  <c r="G1480" i="16"/>
  <c r="G1481" i="16"/>
  <c r="G1482" i="16"/>
  <c r="G1483" i="16"/>
  <c r="G1484" i="16"/>
  <c r="G1485" i="16"/>
  <c r="G1486" i="16"/>
  <c r="G1487" i="16"/>
  <c r="G1488" i="16"/>
  <c r="G1489" i="16"/>
  <c r="G1490" i="16"/>
  <c r="G1491" i="16"/>
  <c r="G1492" i="16"/>
  <c r="G1493" i="16"/>
  <c r="G1494" i="16"/>
  <c r="G1495" i="16"/>
  <c r="G1496" i="16"/>
  <c r="G1497" i="16"/>
  <c r="G1498" i="16"/>
  <c r="G1499" i="16"/>
  <c r="G1500" i="16"/>
  <c r="G1501" i="16"/>
  <c r="G1502" i="16"/>
  <c r="G1503" i="16"/>
  <c r="G1504" i="16"/>
  <c r="G1505" i="16"/>
  <c r="G1506" i="16"/>
  <c r="G1507" i="16"/>
  <c r="G1508" i="16"/>
  <c r="G1509" i="16"/>
  <c r="G1510" i="16"/>
  <c r="G1511" i="16"/>
  <c r="G1512" i="16"/>
  <c r="G1513" i="16"/>
  <c r="G1514" i="16"/>
  <c r="G1515" i="16"/>
  <c r="G1516" i="16"/>
  <c r="G1517" i="16"/>
  <c r="G1518" i="16"/>
  <c r="G1519" i="16"/>
  <c r="G1520" i="16"/>
  <c r="G1521" i="16"/>
  <c r="G1522" i="16"/>
  <c r="G1523" i="16"/>
  <c r="G1524" i="16"/>
  <c r="G1525" i="16"/>
  <c r="G1526" i="16"/>
  <c r="G1527" i="16"/>
  <c r="G1528" i="16"/>
  <c r="G1529" i="16"/>
  <c r="G1530" i="16"/>
  <c r="G1531" i="16"/>
  <c r="G1532" i="16"/>
  <c r="G1533" i="16"/>
  <c r="G1534" i="16"/>
  <c r="G1535" i="16"/>
  <c r="G1536" i="16"/>
  <c r="G1537" i="16"/>
  <c r="G1538" i="16"/>
  <c r="G1539" i="16"/>
  <c r="G1540" i="16"/>
  <c r="G1541" i="16"/>
  <c r="G1542" i="16"/>
  <c r="G1543" i="16"/>
  <c r="G1544" i="16"/>
  <c r="G1545" i="16"/>
  <c r="G1546" i="16"/>
  <c r="G1547" i="16"/>
  <c r="G1548" i="16"/>
  <c r="G1549" i="16"/>
  <c r="G1550" i="16"/>
  <c r="G1551" i="16"/>
  <c r="G1552" i="16"/>
  <c r="G1553" i="16"/>
  <c r="G1554" i="16"/>
  <c r="G1555" i="16"/>
  <c r="G1556" i="16"/>
  <c r="G1557" i="16"/>
  <c r="G1558" i="16"/>
  <c r="G1559" i="16"/>
  <c r="G1560" i="16"/>
  <c r="G1561" i="16"/>
  <c r="G1562" i="16"/>
  <c r="G1563" i="16"/>
  <c r="G1564" i="16"/>
  <c r="G1565" i="16"/>
  <c r="G1566" i="16"/>
  <c r="G1567" i="16"/>
  <c r="G1568" i="16"/>
  <c r="G1569" i="16"/>
  <c r="G1570" i="16"/>
  <c r="G1571" i="16"/>
  <c r="G1572" i="16"/>
  <c r="G1573" i="16"/>
  <c r="G1574" i="16"/>
  <c r="G1575" i="16"/>
  <c r="G1576" i="16"/>
  <c r="G1577" i="16"/>
  <c r="G1578" i="16"/>
  <c r="G1579" i="16"/>
  <c r="G1580" i="16"/>
  <c r="G1581" i="16"/>
  <c r="G1582" i="16"/>
  <c r="G1583" i="16"/>
  <c r="G1584" i="16"/>
  <c r="G1585" i="16"/>
  <c r="G1586" i="16"/>
  <c r="G1587" i="16"/>
  <c r="G1588" i="16"/>
  <c r="G1589" i="16"/>
  <c r="G1590" i="16"/>
  <c r="G1591" i="16"/>
  <c r="G1592" i="16"/>
  <c r="G1593" i="16"/>
  <c r="G1594" i="16"/>
  <c r="G1595" i="16"/>
  <c r="G1596" i="16"/>
  <c r="G1597" i="16"/>
  <c r="G1598" i="16"/>
  <c r="G1599" i="16"/>
  <c r="G1600" i="16"/>
  <c r="G1601" i="16"/>
  <c r="G1602" i="16"/>
  <c r="G1603" i="16"/>
  <c r="G1604" i="16"/>
  <c r="G1605" i="16"/>
  <c r="G1606" i="16"/>
  <c r="G1607" i="16"/>
  <c r="G1608" i="16"/>
  <c r="G1609" i="16"/>
  <c r="G1610" i="16"/>
  <c r="G1611" i="16"/>
  <c r="G1612" i="16"/>
  <c r="G1613" i="16"/>
  <c r="G1614" i="16"/>
  <c r="G1615" i="16"/>
  <c r="G1616" i="16"/>
  <c r="G1617" i="16"/>
  <c r="G1618" i="16"/>
  <c r="G1619" i="16"/>
  <c r="G1620" i="16"/>
  <c r="G1621" i="16"/>
  <c r="G1622" i="16"/>
  <c r="G1623" i="16"/>
  <c r="G1624" i="16"/>
  <c r="G1625" i="16"/>
  <c r="G1626" i="16"/>
  <c r="G1627" i="16"/>
  <c r="G1628" i="16"/>
  <c r="G1629" i="16"/>
  <c r="G1630" i="16"/>
  <c r="G1631" i="16"/>
  <c r="G1632" i="16"/>
  <c r="G1633" i="16"/>
  <c r="G1634" i="16"/>
  <c r="G1635" i="16"/>
  <c r="G1636" i="16"/>
  <c r="G1637" i="16"/>
  <c r="G1638" i="16"/>
  <c r="G1639" i="16"/>
  <c r="G1640" i="16"/>
  <c r="G1641" i="16"/>
  <c r="G1642" i="16"/>
  <c r="G1643" i="16"/>
  <c r="G1644" i="16"/>
  <c r="G1645" i="16"/>
  <c r="G1646" i="16"/>
  <c r="G1647" i="16"/>
  <c r="G1648" i="16"/>
  <c r="G1649" i="16"/>
  <c r="G1650" i="16"/>
  <c r="G1651" i="16"/>
  <c r="G1652" i="16"/>
  <c r="G1653" i="16"/>
  <c r="G1654" i="16"/>
  <c r="G1655" i="16"/>
  <c r="G1656" i="16"/>
  <c r="G1657" i="16"/>
  <c r="G1658" i="16"/>
  <c r="G1659" i="16"/>
  <c r="G1660" i="16"/>
  <c r="G1661" i="16"/>
  <c r="G1662" i="16"/>
  <c r="G1663" i="16"/>
  <c r="G1664" i="16"/>
  <c r="G1665" i="16"/>
  <c r="G1666" i="16"/>
  <c r="G1667" i="16"/>
  <c r="G1668" i="16"/>
  <c r="G1669" i="16"/>
  <c r="G1670" i="16"/>
  <c r="G1671" i="16"/>
  <c r="G1672" i="16"/>
  <c r="G1673" i="16"/>
  <c r="G1674" i="16"/>
  <c r="G1675" i="16"/>
  <c r="G1676" i="16"/>
  <c r="G1677" i="16"/>
  <c r="G1678" i="16"/>
  <c r="G1679" i="16"/>
  <c r="G1680" i="16"/>
  <c r="G1681" i="16"/>
  <c r="G1682" i="16"/>
  <c r="G1683" i="16"/>
  <c r="G1684" i="16"/>
  <c r="G1685" i="16"/>
  <c r="G1686" i="16"/>
  <c r="G1687" i="16"/>
  <c r="G1688" i="16"/>
  <c r="G1689" i="16"/>
  <c r="G1690" i="16"/>
  <c r="G1691" i="16"/>
  <c r="G1692" i="16"/>
  <c r="G1693" i="16"/>
  <c r="G1694" i="16"/>
  <c r="G1695" i="16"/>
  <c r="G1696" i="16"/>
  <c r="G1697" i="16"/>
  <c r="G1698" i="16"/>
  <c r="G1699" i="16"/>
  <c r="G1700" i="16"/>
  <c r="G1701" i="16"/>
  <c r="G1702" i="16"/>
  <c r="G1703" i="16"/>
  <c r="G1704" i="16"/>
  <c r="G1705" i="16"/>
  <c r="G1706" i="16"/>
  <c r="G1707" i="16"/>
  <c r="G1708" i="16"/>
  <c r="G1709" i="16"/>
  <c r="G1710" i="16"/>
  <c r="G1711" i="16"/>
  <c r="G1712" i="16"/>
  <c r="G1713" i="16"/>
  <c r="G1714" i="16"/>
  <c r="G1715" i="16"/>
  <c r="G1716" i="16"/>
  <c r="G1717" i="16"/>
  <c r="G1718" i="16"/>
  <c r="G1719" i="16"/>
  <c r="G1720" i="16"/>
  <c r="G1721" i="16"/>
  <c r="G1722" i="16"/>
  <c r="G1723" i="16"/>
  <c r="G1724" i="16"/>
  <c r="G1725" i="16"/>
  <c r="G1726" i="16"/>
  <c r="G1727" i="16"/>
  <c r="G1728" i="16"/>
  <c r="G1729" i="16"/>
  <c r="G1730" i="16"/>
  <c r="G1731" i="16"/>
  <c r="G1732" i="16"/>
  <c r="G1733" i="16"/>
  <c r="G1734" i="16"/>
  <c r="G1735" i="16"/>
  <c r="G1736" i="16"/>
  <c r="G1737" i="16"/>
  <c r="G1738" i="16"/>
  <c r="G1739" i="16"/>
  <c r="G1740" i="16"/>
  <c r="G1741" i="16"/>
  <c r="G1742" i="16"/>
  <c r="G1743" i="16"/>
  <c r="G1744" i="16"/>
  <c r="G1745" i="16"/>
  <c r="G1746" i="16"/>
  <c r="G1747" i="16"/>
  <c r="G1748" i="16"/>
  <c r="G1749" i="16"/>
  <c r="G1750" i="16"/>
  <c r="G1751" i="16"/>
  <c r="G1752" i="16"/>
  <c r="G1753" i="16"/>
  <c r="G1754" i="16"/>
  <c r="G1755" i="16"/>
  <c r="G1756" i="16"/>
  <c r="G1757" i="16"/>
  <c r="G1758" i="16"/>
  <c r="G1759" i="16"/>
  <c r="G1760" i="16"/>
  <c r="G1761" i="16"/>
  <c r="G1762" i="16"/>
  <c r="G1763" i="16"/>
  <c r="G1764" i="16"/>
  <c r="G1765" i="16"/>
  <c r="G1766" i="16"/>
  <c r="G1767" i="16"/>
  <c r="G1768" i="16"/>
  <c r="G1769" i="16"/>
  <c r="G1770" i="16"/>
  <c r="G1771" i="16"/>
  <c r="G1772" i="16"/>
  <c r="G1773" i="16"/>
  <c r="G1774" i="16"/>
  <c r="G1775" i="16"/>
  <c r="G1776" i="16"/>
  <c r="G1777" i="16"/>
  <c r="G1778" i="16"/>
  <c r="G1779" i="16"/>
  <c r="G1780" i="16"/>
  <c r="G1781" i="16"/>
  <c r="G1782" i="16"/>
  <c r="G1783" i="16"/>
  <c r="G1784" i="16"/>
  <c r="G1785" i="16"/>
  <c r="G1786" i="16"/>
  <c r="G1787" i="16"/>
  <c r="G1788" i="16"/>
  <c r="G1789" i="16"/>
  <c r="G1790" i="16"/>
  <c r="G1791" i="16"/>
  <c r="G1792" i="16"/>
  <c r="G1793" i="16"/>
  <c r="G1794" i="16"/>
  <c r="G1795" i="16"/>
  <c r="G1796" i="16"/>
  <c r="G1797" i="16"/>
  <c r="G1798" i="16"/>
  <c r="G1799" i="16"/>
  <c r="G1800" i="16"/>
  <c r="G1801" i="16"/>
  <c r="G1802" i="16"/>
  <c r="G1803" i="16"/>
  <c r="G1804" i="16"/>
  <c r="G1805" i="16"/>
  <c r="G1806" i="16"/>
  <c r="G1807" i="16"/>
  <c r="G1808" i="16"/>
  <c r="G1809" i="16"/>
  <c r="G1810" i="16"/>
  <c r="G1811" i="16"/>
  <c r="G1812" i="16"/>
  <c r="G1813" i="16"/>
  <c r="G1814" i="16"/>
  <c r="G1815" i="16"/>
  <c r="G1816" i="16"/>
  <c r="G1817" i="16"/>
  <c r="G1818" i="16"/>
  <c r="G1819" i="16"/>
  <c r="G1820" i="16"/>
  <c r="G1821" i="16"/>
  <c r="G1822" i="16"/>
  <c r="G1823" i="16"/>
  <c r="G1824" i="16"/>
  <c r="G1825" i="16"/>
  <c r="G1826" i="16"/>
  <c r="G1827" i="16"/>
  <c r="G1828" i="16"/>
  <c r="G1829" i="16"/>
  <c r="G1830" i="16"/>
  <c r="G1831" i="16"/>
  <c r="G1832" i="16"/>
  <c r="G1833" i="16"/>
  <c r="G1834" i="16"/>
  <c r="G1835" i="16"/>
  <c r="G1836" i="16"/>
  <c r="G1837" i="16"/>
  <c r="G1838" i="16"/>
  <c r="G1839" i="16"/>
  <c r="G1840" i="16"/>
  <c r="G1841" i="16"/>
  <c r="G1842" i="16"/>
  <c r="G1843" i="16"/>
  <c r="G1844" i="16"/>
  <c r="G1845" i="16"/>
  <c r="G1846" i="16"/>
  <c r="G1847" i="16"/>
  <c r="G1848" i="16"/>
  <c r="G1849" i="16"/>
  <c r="G1850" i="16"/>
  <c r="G1851" i="16"/>
  <c r="G1852" i="16"/>
  <c r="G1853" i="16"/>
  <c r="G1854" i="16"/>
  <c r="G1855" i="16"/>
  <c r="G1856" i="16"/>
  <c r="G1857" i="16"/>
  <c r="G1858" i="16"/>
  <c r="G1859" i="16"/>
  <c r="G1860" i="16"/>
  <c r="G1861" i="16"/>
  <c r="G1862" i="16"/>
  <c r="G1863" i="16"/>
  <c r="G1864" i="16"/>
  <c r="G1865" i="16"/>
  <c r="G1866" i="16"/>
  <c r="G1867" i="16"/>
  <c r="G1868" i="16"/>
  <c r="G1869" i="16"/>
  <c r="G1870" i="16"/>
  <c r="G1871" i="16"/>
  <c r="G1872" i="16"/>
  <c r="G1873" i="16"/>
  <c r="G1874" i="16"/>
  <c r="G1875" i="16"/>
  <c r="G1876" i="16"/>
  <c r="G1877" i="16"/>
  <c r="G1878" i="16"/>
  <c r="G1879" i="16"/>
  <c r="G1880" i="16"/>
  <c r="G1881" i="16"/>
  <c r="G1882" i="16"/>
  <c r="G1883" i="16"/>
  <c r="G1884" i="16"/>
  <c r="G1885" i="16"/>
  <c r="G1886" i="16"/>
  <c r="G1887" i="16"/>
  <c r="G1888" i="16"/>
  <c r="G1889" i="16"/>
  <c r="G1890" i="16"/>
  <c r="G1891" i="16"/>
  <c r="G1892" i="16"/>
  <c r="G1893" i="16"/>
  <c r="G1894" i="16"/>
  <c r="G1895" i="16"/>
  <c r="G1896" i="16"/>
  <c r="G1897" i="16"/>
  <c r="G1898" i="16"/>
  <c r="G1899" i="16"/>
  <c r="G1900" i="16"/>
  <c r="G1901" i="16"/>
  <c r="G1902" i="16"/>
  <c r="G1903" i="16"/>
  <c r="G1904" i="16"/>
  <c r="G1905" i="16"/>
  <c r="G1906" i="16"/>
  <c r="G1907" i="16"/>
  <c r="G1908" i="16"/>
  <c r="G1909" i="16"/>
  <c r="G1910" i="16"/>
  <c r="G1911" i="16"/>
  <c r="G1912" i="16"/>
  <c r="G1913" i="16"/>
  <c r="G1914" i="16"/>
  <c r="G1915" i="16"/>
  <c r="G1916" i="16"/>
  <c r="G1917" i="16"/>
  <c r="G1918" i="16"/>
  <c r="G1919" i="16"/>
  <c r="G1920" i="16"/>
  <c r="G1921" i="16"/>
  <c r="G1922" i="16"/>
  <c r="G1923" i="16"/>
  <c r="G1924" i="16"/>
  <c r="G1925" i="16"/>
  <c r="G1926" i="16"/>
  <c r="G1927" i="16"/>
  <c r="G1928" i="16"/>
  <c r="G1929" i="16"/>
  <c r="G1930" i="16"/>
  <c r="G1931" i="16"/>
  <c r="G1932" i="16"/>
  <c r="G1933" i="16"/>
  <c r="G1934" i="16"/>
  <c r="G1935" i="16"/>
  <c r="G1936" i="16"/>
  <c r="G1937" i="16"/>
  <c r="G1938" i="16"/>
  <c r="G1939" i="16"/>
  <c r="G1940" i="16"/>
  <c r="G1941" i="16"/>
  <c r="G1942" i="16"/>
  <c r="G1943" i="16"/>
  <c r="G1944" i="16"/>
  <c r="G1945" i="16"/>
  <c r="G1946" i="16"/>
  <c r="G1947" i="16"/>
  <c r="G1948" i="16"/>
  <c r="G1949" i="16"/>
  <c r="G1950" i="16"/>
  <c r="G1951" i="16"/>
  <c r="G1952" i="16"/>
  <c r="G1953" i="16"/>
  <c r="G1954" i="16"/>
  <c r="G1955" i="16"/>
  <c r="G1956" i="16"/>
  <c r="G1957" i="16"/>
  <c r="G1958" i="16"/>
  <c r="G1959" i="16"/>
  <c r="G1960" i="16"/>
  <c r="G1961" i="16"/>
  <c r="G1962" i="16"/>
  <c r="G1963" i="16"/>
  <c r="G1964" i="16"/>
  <c r="G1965" i="16"/>
  <c r="G1966" i="16"/>
  <c r="G1967" i="16"/>
  <c r="G1968" i="16"/>
  <c r="G1969" i="16"/>
  <c r="G1970" i="16"/>
  <c r="G1971" i="16"/>
  <c r="G1972" i="16"/>
  <c r="G1973" i="16"/>
  <c r="G1974" i="16"/>
  <c r="G1975" i="16"/>
  <c r="G1976" i="16"/>
  <c r="G1977" i="16"/>
  <c r="G1978" i="16"/>
  <c r="G1979" i="16"/>
  <c r="G1980" i="16"/>
  <c r="G1981" i="16"/>
  <c r="G1982" i="16"/>
  <c r="G1983" i="16"/>
  <c r="G1984" i="16"/>
  <c r="G1985" i="16"/>
  <c r="G1986" i="16"/>
  <c r="G1987" i="16"/>
  <c r="G1988" i="16"/>
  <c r="G1989" i="16"/>
  <c r="G1990" i="16"/>
  <c r="G1991" i="16"/>
  <c r="G1992" i="16"/>
  <c r="G1993" i="16"/>
  <c r="G1994" i="16"/>
  <c r="G1995" i="16"/>
  <c r="G1996" i="16"/>
  <c r="G1997" i="16"/>
  <c r="G1998" i="16"/>
  <c r="G1999" i="16"/>
  <c r="G2000" i="16"/>
  <c r="G2001" i="16"/>
  <c r="G2002" i="16"/>
  <c r="G2003" i="16"/>
  <c r="G2004" i="16"/>
  <c r="G2005" i="16"/>
  <c r="G2006" i="16"/>
  <c r="G2007" i="16"/>
  <c r="G2008" i="16"/>
  <c r="G2009" i="16"/>
  <c r="G2010" i="16"/>
  <c r="G2011" i="16"/>
  <c r="G2012" i="16"/>
  <c r="G2013" i="16"/>
  <c r="G2014" i="16"/>
  <c r="G2015" i="16"/>
  <c r="G2016" i="16"/>
  <c r="G2017" i="16"/>
  <c r="G2018" i="16"/>
  <c r="G2019" i="16"/>
  <c r="G2020" i="16"/>
  <c r="G2021" i="16"/>
  <c r="G2022" i="16"/>
  <c r="G2023" i="16"/>
  <c r="G2024" i="16"/>
  <c r="G2025" i="16"/>
  <c r="G2026" i="16"/>
  <c r="G2027" i="16"/>
  <c r="G2028" i="16"/>
  <c r="G2029" i="16"/>
  <c r="G2030" i="16"/>
  <c r="G2031" i="16"/>
  <c r="G2032" i="16"/>
  <c r="G2033" i="16"/>
  <c r="G2034" i="16"/>
  <c r="G2035" i="16"/>
  <c r="G2036" i="16"/>
  <c r="G2037" i="16"/>
  <c r="G2038" i="16"/>
  <c r="G2039" i="16"/>
  <c r="G2040" i="16"/>
  <c r="G2041" i="16"/>
  <c r="G2042" i="16"/>
  <c r="G2043" i="16"/>
  <c r="G2044" i="16"/>
  <c r="G2045" i="16"/>
  <c r="G2046" i="16"/>
  <c r="G2047" i="16"/>
  <c r="G2048" i="16"/>
  <c r="G2049" i="16"/>
  <c r="G2050" i="16"/>
  <c r="G2051" i="16"/>
  <c r="G2052" i="16"/>
  <c r="G2053" i="16"/>
  <c r="G2054" i="16"/>
  <c r="G2055" i="16"/>
  <c r="G2056" i="16"/>
  <c r="G2057" i="16"/>
  <c r="G2058" i="16"/>
  <c r="G2059" i="16"/>
  <c r="G2060" i="16"/>
  <c r="G2061" i="16"/>
  <c r="G2062" i="16"/>
  <c r="G2063" i="16"/>
  <c r="G2064" i="16"/>
  <c r="G2065" i="16"/>
  <c r="G2066" i="16"/>
  <c r="G2067" i="16"/>
  <c r="G2068" i="16"/>
  <c r="G2069" i="16"/>
  <c r="G2070" i="16"/>
  <c r="G2071" i="16"/>
  <c r="G2072" i="16"/>
  <c r="G2073" i="16"/>
  <c r="G2074" i="16"/>
  <c r="G2075" i="16"/>
  <c r="G2076" i="16"/>
  <c r="G2077" i="16"/>
  <c r="G2078" i="16"/>
  <c r="G2079" i="16"/>
  <c r="G2080" i="16"/>
  <c r="G2081" i="16"/>
  <c r="G2082" i="16"/>
  <c r="G2083" i="16"/>
  <c r="G2084" i="16"/>
  <c r="G2085" i="16"/>
  <c r="G2086" i="16"/>
  <c r="G2087" i="16"/>
  <c r="G2088" i="16"/>
  <c r="G2089" i="16"/>
  <c r="G2090" i="16"/>
  <c r="G2091" i="16"/>
  <c r="G2092" i="16"/>
  <c r="G2093" i="16"/>
  <c r="G2094" i="16"/>
  <c r="G2095" i="16"/>
  <c r="G2096" i="16"/>
  <c r="G2097" i="16"/>
  <c r="G2098" i="16"/>
  <c r="G2099" i="16"/>
  <c r="G2100" i="16"/>
  <c r="G2101" i="16"/>
  <c r="G2102" i="16"/>
  <c r="G2103" i="16"/>
  <c r="G2104" i="16"/>
  <c r="G2105" i="16"/>
  <c r="G2106" i="16"/>
  <c r="G2107" i="16"/>
  <c r="G2108" i="16"/>
  <c r="G2109" i="16"/>
  <c r="G2110" i="16"/>
  <c r="G2111" i="16"/>
  <c r="G2112" i="16"/>
  <c r="G2113" i="16"/>
  <c r="G2114" i="16"/>
  <c r="G2115" i="16"/>
  <c r="G2116" i="16"/>
  <c r="G2117" i="16"/>
  <c r="G2118" i="16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F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K357" i="3" l="1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356" i="3"/>
  <c r="R409" i="3" l="1"/>
  <c r="A3" i="17"/>
  <c r="A1" i="17" s="1"/>
  <c r="R372" i="3" l="1"/>
  <c r="R366" i="3"/>
  <c r="R410" i="3"/>
  <c r="R421" i="3"/>
  <c r="R388" i="3"/>
  <c r="R379" i="3"/>
  <c r="R362" i="3"/>
  <c r="R412" i="3"/>
  <c r="R411" i="3"/>
  <c r="R390" i="3"/>
  <c r="R382" i="3"/>
  <c r="R422" i="3"/>
  <c r="R389" i="3"/>
  <c r="R374" i="3"/>
  <c r="R408" i="3"/>
  <c r="R385" i="3"/>
  <c r="R373" i="3"/>
  <c r="R381" i="3"/>
  <c r="R376" i="3"/>
  <c r="R368" i="3"/>
  <c r="R393" i="3"/>
  <c r="R367" i="3"/>
  <c r="R365" i="3"/>
  <c r="R399" i="3"/>
  <c r="R398" i="3"/>
  <c r="R420" i="3"/>
  <c r="R371" i="3"/>
  <c r="R415" i="3"/>
  <c r="R392" i="3"/>
  <c r="R384" i="3"/>
  <c r="R407" i="3"/>
  <c r="R400" i="3"/>
  <c r="R406" i="3"/>
  <c r="R402" i="3"/>
  <c r="R391" i="3"/>
  <c r="R357" i="3"/>
  <c r="R369" i="3"/>
  <c r="R416" i="3"/>
  <c r="R417" i="3"/>
  <c r="R386" i="3"/>
  <c r="R414" i="3"/>
  <c r="R360" i="3"/>
  <c r="R404" i="3"/>
  <c r="R380" i="3"/>
  <c r="R418" i="3"/>
  <c r="R363" i="3"/>
  <c r="R405" i="3"/>
  <c r="R361" i="3"/>
  <c r="R395" i="3"/>
  <c r="R387" i="3"/>
  <c r="R394" i="3"/>
  <c r="R413" i="3"/>
  <c r="R377" i="3"/>
  <c r="R364" i="3"/>
  <c r="R359" i="3"/>
  <c r="R378" i="3"/>
  <c r="R375" i="3"/>
  <c r="R396" i="3"/>
  <c r="R358" i="3"/>
  <c r="R370" i="3"/>
  <c r="R401" i="3"/>
  <c r="R397" i="3"/>
  <c r="R423" i="3"/>
  <c r="R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R188" i="16"/>
  <c r="R189" i="16"/>
  <c r="R190" i="16"/>
  <c r="R191" i="16"/>
  <c r="R192" i="16"/>
  <c r="R193" i="16"/>
  <c r="R194" i="16"/>
  <c r="R195" i="16"/>
  <c r="R196" i="16"/>
  <c r="R197" i="16"/>
  <c r="R198" i="16"/>
  <c r="R199" i="16"/>
  <c r="R200" i="16"/>
  <c r="R201" i="16"/>
  <c r="R202" i="16"/>
  <c r="R203" i="16"/>
  <c r="R204" i="16"/>
  <c r="R205" i="16"/>
  <c r="R206" i="16"/>
  <c r="R207" i="16"/>
  <c r="R208" i="16"/>
  <c r="R209" i="16"/>
  <c r="R210" i="16"/>
  <c r="R211" i="16"/>
  <c r="R212" i="16"/>
  <c r="R213" i="16"/>
  <c r="R214" i="16"/>
  <c r="R215" i="16"/>
  <c r="R216" i="16"/>
  <c r="R217" i="16"/>
  <c r="R218" i="16"/>
  <c r="R219" i="16"/>
  <c r="R220" i="16"/>
  <c r="R221" i="16"/>
  <c r="R222" i="16"/>
  <c r="R223" i="16"/>
  <c r="R224" i="16"/>
  <c r="R225" i="16"/>
  <c r="R226" i="16"/>
  <c r="R227" i="16"/>
  <c r="R228" i="16"/>
  <c r="R229" i="16"/>
  <c r="R230" i="16"/>
  <c r="R231" i="16"/>
  <c r="R232" i="16"/>
  <c r="R233" i="16"/>
  <c r="R234" i="16"/>
  <c r="R235" i="16"/>
  <c r="R236" i="16"/>
  <c r="R237" i="16"/>
  <c r="R238" i="16"/>
  <c r="R239" i="16"/>
  <c r="R240" i="16"/>
  <c r="R241" i="16"/>
  <c r="R242" i="16"/>
  <c r="R243" i="16"/>
  <c r="R244" i="16"/>
  <c r="R245" i="16"/>
  <c r="R246" i="16"/>
  <c r="R247" i="16"/>
  <c r="R248" i="16"/>
  <c r="R249" i="16"/>
  <c r="R250" i="16"/>
  <c r="R251" i="16"/>
  <c r="R252" i="16"/>
  <c r="R253" i="16"/>
  <c r="R254" i="16"/>
  <c r="R255" i="16"/>
  <c r="R256" i="16"/>
  <c r="R257" i="16"/>
  <c r="R258" i="16"/>
  <c r="R259" i="16"/>
  <c r="R260" i="16"/>
  <c r="R261" i="16"/>
  <c r="R262" i="16"/>
  <c r="R263" i="16"/>
  <c r="R264" i="16"/>
  <c r="R265" i="16"/>
  <c r="R266" i="16"/>
  <c r="R267" i="16"/>
  <c r="R268" i="16"/>
  <c r="R269" i="16"/>
  <c r="R270" i="16"/>
  <c r="R271" i="16"/>
  <c r="R272" i="16"/>
  <c r="R273" i="16"/>
  <c r="R27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516" i="16"/>
  <c r="R517" i="16"/>
  <c r="R518" i="16"/>
  <c r="R519" i="16"/>
  <c r="R520" i="16"/>
  <c r="R521" i="16"/>
  <c r="R522" i="16"/>
  <c r="R523" i="16"/>
  <c r="R524" i="16"/>
  <c r="R525" i="16"/>
  <c r="R526" i="16"/>
  <c r="R527" i="16"/>
  <c r="R528" i="16"/>
  <c r="R529" i="16"/>
  <c r="R530" i="16"/>
  <c r="R531" i="16"/>
  <c r="R532" i="16"/>
  <c r="R533" i="16"/>
  <c r="R534" i="16"/>
  <c r="R535" i="16"/>
  <c r="R536" i="16"/>
  <c r="R537" i="16"/>
  <c r="R538" i="16"/>
  <c r="R539" i="16"/>
  <c r="R540" i="16"/>
  <c r="R541" i="16"/>
  <c r="R542" i="16"/>
  <c r="R543" i="16"/>
  <c r="R544" i="16"/>
  <c r="R545" i="16"/>
  <c r="R546" i="16"/>
  <c r="R547" i="16"/>
  <c r="R548" i="16"/>
  <c r="R549" i="16"/>
  <c r="R550" i="16"/>
  <c r="R551" i="16"/>
  <c r="R552" i="16"/>
  <c r="R553" i="16"/>
  <c r="R554" i="16"/>
  <c r="R555" i="16"/>
  <c r="R556" i="16"/>
  <c r="R557" i="16"/>
  <c r="R558" i="16"/>
  <c r="R559" i="16"/>
  <c r="R560" i="16"/>
  <c r="R561" i="16"/>
  <c r="R562" i="16"/>
  <c r="R563" i="16"/>
  <c r="R564" i="16"/>
  <c r="R565" i="16"/>
  <c r="R566" i="16"/>
  <c r="R567" i="16"/>
  <c r="R568" i="16"/>
  <c r="R569" i="16"/>
  <c r="R570" i="16"/>
  <c r="R571" i="16"/>
  <c r="R572" i="16"/>
  <c r="R573" i="16"/>
  <c r="R574" i="16"/>
  <c r="R575" i="16"/>
  <c r="R576" i="16"/>
  <c r="R577" i="16"/>
  <c r="R578" i="16"/>
  <c r="R579" i="16"/>
  <c r="R580" i="16"/>
  <c r="R581" i="16"/>
  <c r="R582" i="16"/>
  <c r="R583" i="16"/>
  <c r="R584" i="16"/>
  <c r="R585" i="16"/>
  <c r="R586" i="16"/>
  <c r="R587" i="16"/>
  <c r="R588" i="16"/>
  <c r="R589" i="16"/>
  <c r="R590" i="16"/>
  <c r="R591" i="16"/>
  <c r="R592" i="16"/>
  <c r="R593" i="16"/>
  <c r="R594" i="16"/>
  <c r="R595" i="16"/>
  <c r="R596" i="16"/>
  <c r="R597" i="16"/>
  <c r="R598" i="16"/>
  <c r="R599" i="16"/>
  <c r="R600" i="16"/>
  <c r="R601" i="16"/>
  <c r="R602" i="16"/>
  <c r="R603" i="16"/>
  <c r="R604" i="16"/>
  <c r="R605" i="16"/>
  <c r="R606" i="16"/>
  <c r="R607" i="16"/>
  <c r="R608" i="16"/>
  <c r="R609" i="16"/>
  <c r="R610" i="16"/>
  <c r="R611" i="16"/>
  <c r="R612" i="16"/>
  <c r="R613" i="16"/>
  <c r="R614" i="16"/>
  <c r="R615" i="16"/>
  <c r="R616" i="16"/>
  <c r="R617" i="16"/>
  <c r="R618" i="16"/>
  <c r="R619" i="16"/>
  <c r="R620" i="16"/>
  <c r="R621" i="16"/>
  <c r="R622" i="16"/>
  <c r="R623" i="16"/>
  <c r="R624" i="16"/>
  <c r="R625" i="16"/>
  <c r="R626" i="16"/>
  <c r="R627" i="16"/>
  <c r="R628" i="16"/>
  <c r="R629" i="16"/>
  <c r="R630" i="16"/>
  <c r="R631" i="16"/>
  <c r="R632" i="16"/>
  <c r="R633" i="16"/>
  <c r="R634" i="16"/>
  <c r="R635" i="16"/>
  <c r="R636" i="16"/>
  <c r="R637" i="16"/>
  <c r="R638" i="16"/>
  <c r="R639" i="16"/>
  <c r="R640" i="16"/>
  <c r="R641" i="16"/>
  <c r="R642" i="16"/>
  <c r="R643" i="16"/>
  <c r="R644" i="16"/>
  <c r="R645" i="16"/>
  <c r="R646" i="16"/>
  <c r="R647" i="16"/>
  <c r="R648" i="16"/>
  <c r="R649" i="16"/>
  <c r="R650" i="16"/>
  <c r="R651" i="16"/>
  <c r="R652" i="16"/>
  <c r="R653" i="16"/>
  <c r="R654" i="16"/>
  <c r="R655" i="16"/>
  <c r="R656" i="16"/>
  <c r="R657" i="16"/>
  <c r="R658" i="16"/>
  <c r="R659" i="16"/>
  <c r="R660" i="16"/>
  <c r="R661" i="16"/>
  <c r="R662" i="16"/>
  <c r="R663" i="16"/>
  <c r="R664" i="16"/>
  <c r="R665" i="16"/>
  <c r="R666" i="16"/>
  <c r="R667" i="16"/>
  <c r="R668" i="16"/>
  <c r="R669" i="16"/>
  <c r="R670" i="16"/>
  <c r="R671" i="16"/>
  <c r="R672" i="16"/>
  <c r="R673" i="16"/>
  <c r="R674" i="16"/>
  <c r="R675" i="16"/>
  <c r="R676" i="16"/>
  <c r="R677" i="16"/>
  <c r="R678" i="16"/>
  <c r="R679" i="16"/>
  <c r="R680" i="16"/>
  <c r="R681" i="16"/>
  <c r="R682" i="16"/>
  <c r="R683" i="16"/>
  <c r="R684" i="16"/>
  <c r="R685" i="16"/>
  <c r="R686" i="16"/>
  <c r="R687" i="16"/>
  <c r="R688" i="16"/>
  <c r="R689" i="16"/>
  <c r="R690" i="16"/>
  <c r="R691" i="16"/>
  <c r="R692" i="16"/>
  <c r="R693" i="16"/>
  <c r="R694" i="16"/>
  <c r="R695" i="16"/>
  <c r="R696" i="16"/>
  <c r="R697" i="16"/>
  <c r="R698" i="16"/>
  <c r="R699" i="16"/>
  <c r="R700" i="16"/>
  <c r="R701" i="16"/>
  <c r="R702" i="16"/>
  <c r="R703" i="16"/>
  <c r="R704" i="16"/>
  <c r="R705" i="16"/>
  <c r="R706" i="16"/>
  <c r="R707" i="16"/>
  <c r="R708" i="16"/>
  <c r="R709" i="16"/>
  <c r="R710" i="16"/>
  <c r="R711" i="16"/>
  <c r="R712" i="16"/>
  <c r="R713" i="16"/>
  <c r="R714" i="16"/>
  <c r="R715" i="16"/>
  <c r="R716" i="16"/>
  <c r="R717" i="16"/>
  <c r="R718" i="16"/>
  <c r="R719" i="16"/>
  <c r="R720" i="16"/>
  <c r="R721" i="16"/>
  <c r="R722" i="16"/>
  <c r="R723" i="16"/>
  <c r="R724" i="16"/>
  <c r="R725" i="16"/>
  <c r="R726" i="16"/>
  <c r="R727" i="16"/>
  <c r="R728" i="16"/>
  <c r="R729" i="16"/>
  <c r="R730" i="16"/>
  <c r="R731" i="16"/>
  <c r="R732" i="16"/>
  <c r="R733" i="16"/>
  <c r="R734" i="16"/>
  <c r="R735" i="16"/>
  <c r="R736" i="16"/>
  <c r="R737" i="16"/>
  <c r="R738" i="16"/>
  <c r="R739" i="16"/>
  <c r="R740" i="16"/>
  <c r="R741" i="16"/>
  <c r="R742" i="16"/>
  <c r="R743" i="16"/>
  <c r="R744" i="16"/>
  <c r="R745" i="16"/>
  <c r="R746" i="16"/>
  <c r="R747" i="16"/>
  <c r="R748" i="16"/>
  <c r="R749" i="16"/>
  <c r="R750" i="16"/>
  <c r="R751" i="16"/>
  <c r="R752" i="16"/>
  <c r="R753" i="16"/>
  <c r="R754" i="16"/>
  <c r="R755" i="16"/>
  <c r="R756" i="16"/>
  <c r="R757" i="16"/>
  <c r="R758" i="16"/>
  <c r="R759" i="16"/>
  <c r="R760" i="16"/>
  <c r="R761" i="16"/>
  <c r="R762" i="16"/>
  <c r="R763" i="16"/>
  <c r="R764" i="16"/>
  <c r="R765" i="16"/>
  <c r="R766" i="16"/>
  <c r="R767" i="16"/>
  <c r="R768" i="16"/>
  <c r="R769" i="16"/>
  <c r="R770" i="16"/>
  <c r="R771" i="16"/>
  <c r="R772" i="16"/>
  <c r="R773" i="16"/>
  <c r="R774" i="16"/>
  <c r="R775" i="16"/>
  <c r="R776" i="16"/>
  <c r="R777" i="16"/>
  <c r="R778" i="16"/>
  <c r="R779" i="16"/>
  <c r="R780" i="16"/>
  <c r="R781" i="16"/>
  <c r="R782" i="16"/>
  <c r="R783" i="16"/>
  <c r="R784" i="16"/>
  <c r="R785" i="16"/>
  <c r="R786" i="16"/>
  <c r="R787" i="16"/>
  <c r="R788" i="16"/>
  <c r="R789" i="16"/>
  <c r="R790" i="16"/>
  <c r="R791" i="16"/>
  <c r="R792" i="16"/>
  <c r="R793" i="16"/>
  <c r="R794" i="16"/>
  <c r="R795" i="16"/>
  <c r="R796" i="16"/>
  <c r="R797" i="16"/>
  <c r="R798" i="16"/>
  <c r="R799" i="16"/>
  <c r="R800" i="16"/>
  <c r="R801" i="16"/>
  <c r="R802" i="16"/>
  <c r="R803" i="16"/>
  <c r="R804" i="16"/>
  <c r="R805" i="16"/>
  <c r="R806" i="16"/>
  <c r="R807" i="16"/>
  <c r="R808" i="16"/>
  <c r="R809" i="16"/>
  <c r="R810" i="16"/>
  <c r="R811" i="16"/>
  <c r="R812" i="16"/>
  <c r="R813" i="16"/>
  <c r="R814" i="16"/>
  <c r="R815" i="16"/>
  <c r="R816" i="16"/>
  <c r="R817" i="16"/>
  <c r="R818" i="16"/>
  <c r="R819" i="16"/>
  <c r="R820" i="16"/>
  <c r="R821" i="16"/>
  <c r="R822" i="16"/>
  <c r="R823" i="16"/>
  <c r="R824" i="16"/>
  <c r="R825" i="16"/>
  <c r="R826" i="16"/>
  <c r="R827" i="16"/>
  <c r="R828" i="16"/>
  <c r="R829" i="16"/>
  <c r="R830" i="16"/>
  <c r="R831" i="16"/>
  <c r="R832" i="16"/>
  <c r="R833" i="16"/>
  <c r="R834" i="16"/>
  <c r="R835" i="16"/>
  <c r="R836" i="16"/>
  <c r="R837" i="16"/>
  <c r="R838" i="16"/>
  <c r="R839" i="16"/>
  <c r="R840" i="16"/>
  <c r="R841" i="16"/>
  <c r="R842" i="16"/>
  <c r="R843" i="16"/>
  <c r="R844" i="16"/>
  <c r="R845" i="16"/>
  <c r="R846" i="16"/>
  <c r="R847" i="16"/>
  <c r="R848" i="16"/>
  <c r="R849" i="16"/>
  <c r="R850" i="16"/>
  <c r="R851" i="16"/>
  <c r="R852" i="16"/>
  <c r="R853" i="16"/>
  <c r="R854" i="16"/>
  <c r="R855" i="16"/>
  <c r="R856" i="16"/>
  <c r="R857" i="16"/>
  <c r="R858" i="16"/>
  <c r="R859" i="16"/>
  <c r="R860" i="16"/>
  <c r="R861" i="16"/>
  <c r="R862" i="16"/>
  <c r="R863" i="16"/>
  <c r="R864" i="16"/>
  <c r="R865" i="16"/>
  <c r="R866" i="16"/>
  <c r="R867" i="16"/>
  <c r="R868" i="16"/>
  <c r="R869" i="16"/>
  <c r="R870" i="16"/>
  <c r="R871" i="16"/>
  <c r="R872" i="16"/>
  <c r="R873" i="16"/>
  <c r="R874" i="16"/>
  <c r="R875" i="16"/>
  <c r="R876" i="16"/>
  <c r="R877" i="16"/>
  <c r="R878" i="16"/>
  <c r="R879" i="16"/>
  <c r="R880" i="16"/>
  <c r="R881" i="16"/>
  <c r="R882" i="16"/>
  <c r="R883" i="16"/>
  <c r="R884" i="16"/>
  <c r="R885" i="16"/>
  <c r="R886" i="16"/>
  <c r="R887" i="16"/>
  <c r="R888" i="16"/>
  <c r="R889" i="16"/>
  <c r="R890" i="16"/>
  <c r="R891" i="16"/>
  <c r="R892" i="16"/>
  <c r="R893" i="16"/>
  <c r="R894" i="16"/>
  <c r="R895" i="16"/>
  <c r="R896" i="16"/>
  <c r="R897" i="16"/>
  <c r="R898" i="16"/>
  <c r="R899" i="16"/>
  <c r="R900" i="16"/>
  <c r="R901" i="16"/>
  <c r="R902" i="16"/>
  <c r="R903" i="16"/>
  <c r="R904" i="16"/>
  <c r="R905" i="16"/>
  <c r="R906" i="16"/>
  <c r="R907" i="16"/>
  <c r="R908" i="16"/>
  <c r="R909" i="16"/>
  <c r="R910" i="16"/>
  <c r="R911" i="16"/>
  <c r="R912" i="16"/>
  <c r="R913" i="16"/>
  <c r="R914" i="16"/>
  <c r="R915" i="16"/>
  <c r="R916" i="16"/>
  <c r="R917" i="16"/>
  <c r="R918" i="16"/>
  <c r="R919" i="16"/>
  <c r="R920" i="16"/>
  <c r="R921" i="16"/>
  <c r="R922" i="16"/>
  <c r="R923" i="16"/>
  <c r="R924" i="16"/>
  <c r="R925" i="16"/>
  <c r="R926" i="16"/>
  <c r="R927" i="16"/>
  <c r="R928" i="16"/>
  <c r="R929" i="16"/>
  <c r="R930" i="16"/>
  <c r="R931" i="16"/>
  <c r="R932" i="16"/>
  <c r="R933" i="16"/>
  <c r="R934" i="16"/>
  <c r="R935" i="16"/>
  <c r="R936" i="16"/>
  <c r="R937" i="16"/>
  <c r="R938" i="16"/>
  <c r="R939" i="16"/>
  <c r="R940" i="16"/>
  <c r="R941" i="16"/>
  <c r="R942" i="16"/>
  <c r="R943" i="16"/>
  <c r="R944" i="16"/>
  <c r="R945" i="16"/>
  <c r="R946" i="16"/>
  <c r="R947" i="16"/>
  <c r="R948" i="16"/>
  <c r="R949" i="16"/>
  <c r="R950" i="16"/>
  <c r="R951" i="16"/>
  <c r="R952" i="16"/>
  <c r="R953" i="16"/>
  <c r="R954" i="16"/>
  <c r="R955" i="16"/>
  <c r="R956" i="16"/>
  <c r="R957" i="16"/>
  <c r="R958" i="16"/>
  <c r="R959" i="16"/>
  <c r="R960" i="16"/>
  <c r="R961" i="16"/>
  <c r="R962" i="16"/>
  <c r="R963" i="16"/>
  <c r="R964" i="16"/>
  <c r="R965" i="16"/>
  <c r="R966" i="16"/>
  <c r="R967" i="16"/>
  <c r="R968" i="16"/>
  <c r="R969" i="16"/>
  <c r="R970" i="16"/>
  <c r="R971" i="16"/>
  <c r="R972" i="16"/>
  <c r="R973" i="16"/>
  <c r="R974" i="16"/>
  <c r="R975" i="16"/>
  <c r="R976" i="16"/>
  <c r="R977" i="16"/>
  <c r="R978" i="16"/>
  <c r="R979" i="16"/>
  <c r="R980" i="16"/>
  <c r="R981" i="16"/>
  <c r="R982" i="16"/>
  <c r="R983" i="16"/>
  <c r="R984" i="16"/>
  <c r="R985" i="16"/>
  <c r="R986" i="16"/>
  <c r="R987" i="16"/>
  <c r="R988" i="16"/>
  <c r="R989" i="16"/>
  <c r="R990" i="16"/>
  <c r="R991" i="16"/>
  <c r="R992" i="16"/>
  <c r="R993" i="16"/>
  <c r="R994" i="16"/>
  <c r="R995" i="16"/>
  <c r="R996" i="16"/>
  <c r="R997" i="16"/>
  <c r="R998" i="16"/>
  <c r="R999" i="16"/>
  <c r="R1000" i="16"/>
  <c r="R1001" i="16"/>
  <c r="R1002" i="16"/>
  <c r="R1003" i="16"/>
  <c r="R1004" i="16"/>
  <c r="R1005" i="16"/>
  <c r="R1006" i="16"/>
  <c r="R1007" i="16"/>
  <c r="R1008" i="16"/>
  <c r="R1009" i="16"/>
  <c r="R1010" i="16"/>
  <c r="R1011" i="16"/>
  <c r="R1012" i="16"/>
  <c r="R1013" i="16"/>
  <c r="R1014" i="16"/>
  <c r="R1015" i="16"/>
  <c r="R1016" i="16"/>
  <c r="R1017" i="16"/>
  <c r="R1018" i="16"/>
  <c r="R1019" i="16"/>
  <c r="R1020" i="16"/>
  <c r="R1021" i="16"/>
  <c r="R1022" i="16"/>
  <c r="R1023" i="16"/>
  <c r="R1024" i="16"/>
  <c r="R1025" i="16"/>
  <c r="R1026" i="16"/>
  <c r="R1027" i="16"/>
  <c r="R1028" i="16"/>
  <c r="R1029" i="16"/>
  <c r="R1030" i="16"/>
  <c r="R1031" i="16"/>
  <c r="R1032" i="16"/>
  <c r="R1033" i="16"/>
  <c r="R1034" i="16"/>
  <c r="R1035" i="16"/>
  <c r="R1036" i="16"/>
  <c r="R1037" i="16"/>
  <c r="R1038" i="16"/>
  <c r="R1039" i="16"/>
  <c r="R1040" i="16"/>
  <c r="R1041" i="16"/>
  <c r="R1042" i="16"/>
  <c r="R1043" i="16"/>
  <c r="R1044" i="16"/>
  <c r="R1045" i="16"/>
  <c r="R1046" i="16"/>
  <c r="R1047" i="16"/>
  <c r="R1048" i="16"/>
  <c r="R1049" i="16"/>
  <c r="R1050" i="16"/>
  <c r="R1051" i="16"/>
  <c r="R1052" i="16"/>
  <c r="R1053" i="16"/>
  <c r="R1054" i="16"/>
  <c r="R1055" i="16"/>
  <c r="R1056" i="16"/>
  <c r="R1057" i="16"/>
  <c r="R1058" i="16"/>
  <c r="R1059" i="16"/>
  <c r="R1060" i="16"/>
  <c r="R1061" i="16"/>
  <c r="R1062" i="16"/>
  <c r="R1063" i="16"/>
  <c r="R1064" i="16"/>
  <c r="R1065" i="16"/>
  <c r="R1066" i="16"/>
  <c r="R1067" i="16"/>
  <c r="R1068" i="16"/>
  <c r="R1069" i="16"/>
  <c r="R1070" i="16"/>
  <c r="R1071" i="16"/>
  <c r="R1072" i="16"/>
  <c r="R1073" i="16"/>
  <c r="R1074" i="16"/>
  <c r="R1075" i="16"/>
  <c r="R1076" i="16"/>
  <c r="R1077" i="16"/>
  <c r="R1078" i="16"/>
  <c r="R1079" i="16"/>
  <c r="R1080" i="16"/>
  <c r="R1081" i="16"/>
  <c r="R1082" i="16"/>
  <c r="R1083" i="16"/>
  <c r="R1084" i="16"/>
  <c r="R1085" i="16"/>
  <c r="R1086" i="16"/>
  <c r="R1087" i="16"/>
  <c r="R1088" i="16"/>
  <c r="R1089" i="16"/>
  <c r="R1090" i="16"/>
  <c r="R1091" i="16"/>
  <c r="R1092" i="16"/>
  <c r="R1093" i="16"/>
  <c r="R1094" i="16"/>
  <c r="R1095" i="16"/>
  <c r="R1096" i="16"/>
  <c r="R1097" i="16"/>
  <c r="R1098" i="16"/>
  <c r="R1099" i="16"/>
  <c r="R1100" i="16"/>
  <c r="R1101" i="16"/>
  <c r="R1102" i="16"/>
  <c r="R1103" i="16"/>
  <c r="R1104" i="16"/>
  <c r="R1105" i="16"/>
  <c r="R1106" i="16"/>
  <c r="R1107" i="16"/>
  <c r="R1108" i="16"/>
  <c r="R1109" i="16"/>
  <c r="R1110" i="16"/>
  <c r="R1111" i="16"/>
  <c r="R1112" i="16"/>
  <c r="R1113" i="16"/>
  <c r="R1114" i="16"/>
  <c r="R1115" i="16"/>
  <c r="R1116" i="16"/>
  <c r="R1117" i="16"/>
  <c r="R1118" i="16"/>
  <c r="R1119" i="16"/>
  <c r="R1120" i="16"/>
  <c r="R1121" i="16"/>
  <c r="R1122" i="16"/>
  <c r="R1123" i="16"/>
  <c r="R1124" i="16"/>
  <c r="R1125" i="16"/>
  <c r="R1126" i="16"/>
  <c r="R1127" i="16"/>
  <c r="R1128" i="16"/>
  <c r="R1129" i="16"/>
  <c r="R1130" i="16"/>
  <c r="R1131" i="16"/>
  <c r="R1132" i="16"/>
  <c r="R1133" i="16"/>
  <c r="R1134" i="16"/>
  <c r="R1135" i="16"/>
  <c r="R1136" i="16"/>
  <c r="R1137" i="16"/>
  <c r="R1138" i="16"/>
  <c r="R1139" i="16"/>
  <c r="R1140" i="16"/>
  <c r="R1141" i="16"/>
  <c r="R1142" i="16"/>
  <c r="R1143" i="16"/>
  <c r="R1144" i="16"/>
  <c r="R1145" i="16"/>
  <c r="R1146" i="16"/>
  <c r="R1147" i="16"/>
  <c r="R1148" i="16"/>
  <c r="R1149" i="16"/>
  <c r="R1150" i="16"/>
  <c r="R1151" i="16"/>
  <c r="R1152" i="16"/>
  <c r="R1153" i="16"/>
  <c r="R1154" i="16"/>
  <c r="R1155" i="16"/>
  <c r="R1156" i="16"/>
  <c r="R1157" i="16"/>
  <c r="R1158" i="16"/>
  <c r="R1159" i="16"/>
  <c r="R1160" i="16"/>
  <c r="R1161" i="16"/>
  <c r="R1162" i="16"/>
  <c r="R1163" i="16"/>
  <c r="R1164" i="16"/>
  <c r="R1165" i="16"/>
  <c r="R1166" i="16"/>
  <c r="R1167" i="16"/>
  <c r="R1168" i="16"/>
  <c r="R1169" i="16"/>
  <c r="R1170" i="16"/>
  <c r="R1171" i="16"/>
  <c r="R1172" i="16"/>
  <c r="R1173" i="16"/>
  <c r="R1174" i="16"/>
  <c r="R1175" i="16"/>
  <c r="R1176" i="16"/>
  <c r="R1177" i="16"/>
  <c r="R1178" i="16"/>
  <c r="R1179" i="16"/>
  <c r="R1180" i="16"/>
  <c r="R1181" i="16"/>
  <c r="R1182" i="16"/>
  <c r="R1183" i="16"/>
  <c r="R1184" i="16"/>
  <c r="R1185" i="16"/>
  <c r="R1186" i="16"/>
  <c r="R1187" i="16"/>
  <c r="R1188" i="16"/>
  <c r="R1189" i="16"/>
  <c r="R1190" i="16"/>
  <c r="R1191" i="16"/>
  <c r="R1192" i="16"/>
  <c r="R1193" i="16"/>
  <c r="R1194" i="16"/>
  <c r="R1195" i="16"/>
  <c r="R1196" i="16"/>
  <c r="R1197" i="16"/>
  <c r="R1198" i="16"/>
  <c r="R1199" i="16"/>
  <c r="R1200" i="16"/>
  <c r="R1201" i="16"/>
  <c r="R1202" i="16"/>
  <c r="R1203" i="16"/>
  <c r="R1204" i="16"/>
  <c r="R1205" i="16"/>
  <c r="R1206" i="16"/>
  <c r="R1207" i="16"/>
  <c r="R1208" i="16"/>
  <c r="R1209" i="16"/>
  <c r="R1210" i="16"/>
  <c r="R1211" i="16"/>
  <c r="R1212" i="16"/>
  <c r="R1213" i="16"/>
  <c r="R1214" i="16"/>
  <c r="R1215" i="16"/>
  <c r="R1216" i="16"/>
  <c r="R1217" i="16"/>
  <c r="R1218" i="16"/>
  <c r="R1219" i="16"/>
  <c r="R1220" i="16"/>
  <c r="R1221" i="16"/>
  <c r="R1222" i="16"/>
  <c r="R1223" i="16"/>
  <c r="R1224" i="16"/>
  <c r="R1225" i="16"/>
  <c r="R1226" i="16"/>
  <c r="R1227" i="16"/>
  <c r="R1228" i="16"/>
  <c r="R1229" i="16"/>
  <c r="R1230" i="16"/>
  <c r="R1231" i="16"/>
  <c r="R1232" i="16"/>
  <c r="R1233" i="16"/>
  <c r="R1234" i="16"/>
  <c r="R1235" i="16"/>
  <c r="R1236" i="16"/>
  <c r="R1237" i="16"/>
  <c r="R1238" i="16"/>
  <c r="R1239" i="16"/>
  <c r="R1240" i="16"/>
  <c r="R1241" i="16"/>
  <c r="R1242" i="16"/>
  <c r="R1243" i="16"/>
  <c r="R1244" i="16"/>
  <c r="R1245" i="16"/>
  <c r="R1246" i="16"/>
  <c r="R1247" i="16"/>
  <c r="R1248" i="16"/>
  <c r="R1249" i="16"/>
  <c r="R1250" i="16"/>
  <c r="R1251" i="16"/>
  <c r="R1252" i="16"/>
  <c r="R1253" i="16"/>
  <c r="R1254" i="16"/>
  <c r="R1255" i="16"/>
  <c r="R1256" i="16"/>
  <c r="R1257" i="16"/>
  <c r="R1258" i="16"/>
  <c r="R1259" i="16"/>
  <c r="R1260" i="16"/>
  <c r="R1261" i="16"/>
  <c r="R1262" i="16"/>
  <c r="R1263" i="16"/>
  <c r="R1264" i="16"/>
  <c r="R1265" i="16"/>
  <c r="R1266" i="16"/>
  <c r="R1267" i="16"/>
  <c r="R1268" i="16"/>
  <c r="R1269" i="16"/>
  <c r="R1270" i="16"/>
  <c r="R1271" i="16"/>
  <c r="R1272" i="16"/>
  <c r="R1273" i="16"/>
  <c r="R1274" i="16"/>
  <c r="R1275" i="16"/>
  <c r="R1276" i="16"/>
  <c r="R1277" i="16"/>
  <c r="R1278" i="16"/>
  <c r="R1279" i="16"/>
  <c r="R1280" i="16"/>
  <c r="R1281" i="16"/>
  <c r="R1282" i="16"/>
  <c r="R1283" i="16"/>
  <c r="R1284" i="16"/>
  <c r="R1285" i="16"/>
  <c r="R1286" i="16"/>
  <c r="R1287" i="16"/>
  <c r="R1288" i="16"/>
  <c r="R1289" i="16"/>
  <c r="R1290" i="16"/>
  <c r="R1291" i="16"/>
  <c r="R1292" i="16"/>
  <c r="R1293" i="16"/>
  <c r="R1294" i="16"/>
  <c r="R1295" i="16"/>
  <c r="R1296" i="16"/>
  <c r="R1297" i="16"/>
  <c r="R1298" i="16"/>
  <c r="R1299" i="16"/>
  <c r="R1300" i="16"/>
  <c r="R1301" i="16"/>
  <c r="R1302" i="16"/>
  <c r="R1303" i="16"/>
  <c r="R1304" i="16"/>
  <c r="R1305" i="16"/>
  <c r="R1306" i="16"/>
  <c r="R1307" i="16"/>
  <c r="R1308" i="16"/>
  <c r="R1309" i="16"/>
  <c r="R1310" i="16"/>
  <c r="R1311" i="16"/>
  <c r="R1312" i="16"/>
  <c r="R1313" i="16"/>
  <c r="R1314" i="16"/>
  <c r="R1315" i="16"/>
  <c r="R1316" i="16"/>
  <c r="R1317" i="16"/>
  <c r="R1318" i="16"/>
  <c r="R1319" i="16"/>
  <c r="R1320" i="16"/>
  <c r="R1321" i="16"/>
  <c r="R1322" i="16"/>
  <c r="R1323" i="16"/>
  <c r="R1324" i="16"/>
  <c r="R1325" i="16"/>
  <c r="R1326" i="16"/>
  <c r="R1327" i="16"/>
  <c r="R1328" i="16"/>
  <c r="R1329" i="16"/>
  <c r="R1330" i="16"/>
  <c r="R1331" i="16"/>
  <c r="R1332" i="16"/>
  <c r="R1333" i="16"/>
  <c r="R1334" i="16"/>
  <c r="R1335" i="16"/>
  <c r="R1336" i="16"/>
  <c r="R1337" i="16"/>
  <c r="R1338" i="16"/>
  <c r="R1339" i="16"/>
  <c r="R1340" i="16"/>
  <c r="R1341" i="16"/>
  <c r="R1342" i="16"/>
  <c r="R1343" i="16"/>
  <c r="R1344" i="16"/>
  <c r="R1345" i="16"/>
  <c r="R1346" i="16"/>
  <c r="R1347" i="16"/>
  <c r="R1348" i="16"/>
  <c r="R1349" i="16"/>
  <c r="R1350" i="16"/>
  <c r="R1351" i="16"/>
  <c r="R1352" i="16"/>
  <c r="R1353" i="16"/>
  <c r="R1354" i="16"/>
  <c r="R1355" i="16"/>
  <c r="R1356" i="16"/>
  <c r="R1357" i="16"/>
  <c r="R1358" i="16"/>
  <c r="R1359" i="16"/>
  <c r="R1360" i="16"/>
  <c r="R1361" i="16"/>
  <c r="R1362" i="16"/>
  <c r="R1363" i="16"/>
  <c r="R1364" i="16"/>
  <c r="R1365" i="16"/>
  <c r="R1366" i="16"/>
  <c r="R1367" i="16"/>
  <c r="R1368" i="16"/>
  <c r="R1369" i="16"/>
  <c r="R1370" i="16"/>
  <c r="R1371" i="16"/>
  <c r="R1372" i="16"/>
  <c r="R1373" i="16"/>
  <c r="R1374" i="16"/>
  <c r="R1375" i="16"/>
  <c r="R1376" i="16"/>
  <c r="R1377" i="16"/>
  <c r="R1378" i="16"/>
  <c r="R1379" i="16"/>
  <c r="R1380" i="16"/>
  <c r="R1381" i="16"/>
  <c r="R1382" i="16"/>
  <c r="R1383" i="16"/>
  <c r="R1384" i="16"/>
  <c r="R1385" i="16"/>
  <c r="R1386" i="16"/>
  <c r="R1387" i="16"/>
  <c r="R1388" i="16"/>
  <c r="R1389" i="16"/>
  <c r="R1390" i="16"/>
  <c r="R1391" i="16"/>
  <c r="R1392" i="16"/>
  <c r="R1393" i="16"/>
  <c r="R1394" i="16"/>
  <c r="R1395" i="16"/>
  <c r="R1396" i="16"/>
  <c r="R1397" i="16"/>
  <c r="R1398" i="16"/>
  <c r="R1399" i="16"/>
  <c r="R1400" i="16"/>
  <c r="R1401" i="16"/>
  <c r="R1402" i="16"/>
  <c r="R1403" i="16"/>
  <c r="R1404" i="16"/>
  <c r="R1405" i="16"/>
  <c r="R1406" i="16"/>
  <c r="R1407" i="16"/>
  <c r="R1408" i="16"/>
  <c r="R1409" i="16"/>
  <c r="R1410" i="16"/>
  <c r="R1411" i="16"/>
  <c r="R1412" i="16"/>
  <c r="R1413" i="16"/>
  <c r="R1414" i="16"/>
  <c r="R1415" i="16"/>
  <c r="R1416" i="16"/>
  <c r="R1417" i="16"/>
  <c r="R1418" i="16"/>
  <c r="R1419" i="16"/>
  <c r="R1420" i="16"/>
  <c r="R1421" i="16"/>
  <c r="R1422" i="16"/>
  <c r="R1423" i="16"/>
  <c r="R1424" i="16"/>
  <c r="R1425" i="16"/>
  <c r="R1426" i="16"/>
  <c r="R1427" i="16"/>
  <c r="R1428" i="16"/>
  <c r="R1429" i="16"/>
  <c r="R1430" i="16"/>
  <c r="R1431" i="16"/>
  <c r="R1432" i="16"/>
  <c r="R1433" i="16"/>
  <c r="R1434" i="16"/>
  <c r="R1435" i="16"/>
  <c r="R1436" i="16"/>
  <c r="R1437" i="16"/>
  <c r="R1438" i="16"/>
  <c r="R1439" i="16"/>
  <c r="R1440" i="16"/>
  <c r="R1441" i="16"/>
  <c r="R1442" i="16"/>
  <c r="R1443" i="16"/>
  <c r="R1444" i="16"/>
  <c r="R1445" i="16"/>
  <c r="R1446" i="16"/>
  <c r="R1447" i="16"/>
  <c r="R1448" i="16"/>
  <c r="R1449" i="16"/>
  <c r="R1450" i="16"/>
  <c r="R1451" i="16"/>
  <c r="R1452" i="16"/>
  <c r="R1453" i="16"/>
  <c r="R1454" i="16"/>
  <c r="R1455" i="16"/>
  <c r="R1456" i="16"/>
  <c r="R1457" i="16"/>
  <c r="R1458" i="16"/>
  <c r="R1459" i="16"/>
  <c r="R1460" i="16"/>
  <c r="R1461" i="16"/>
  <c r="R1462" i="16"/>
  <c r="R1463" i="16"/>
  <c r="R1464" i="16"/>
  <c r="R1465" i="16"/>
  <c r="R1466" i="16"/>
  <c r="R1467" i="16"/>
  <c r="R1468" i="16"/>
  <c r="R1469" i="16"/>
  <c r="R1470" i="16"/>
  <c r="R1471" i="16"/>
  <c r="R1472" i="16"/>
  <c r="R1473" i="16"/>
  <c r="R1474" i="16"/>
  <c r="R1475" i="16"/>
  <c r="R1476" i="16"/>
  <c r="R1477" i="16"/>
  <c r="R1478" i="16"/>
  <c r="R1479" i="16"/>
  <c r="R1480" i="16"/>
  <c r="R1481" i="16"/>
  <c r="R1482" i="16"/>
  <c r="R1483" i="16"/>
  <c r="R1484" i="16"/>
  <c r="R1485" i="16"/>
  <c r="R1486" i="16"/>
  <c r="R1487" i="16"/>
  <c r="R1488" i="16"/>
  <c r="R1489" i="16"/>
  <c r="R1490" i="16"/>
  <c r="R1491" i="16"/>
  <c r="R1492" i="16"/>
  <c r="R1493" i="16"/>
  <c r="R1494" i="16"/>
  <c r="R1495" i="16"/>
  <c r="R1496" i="16"/>
  <c r="R1497" i="16"/>
  <c r="R1498" i="16"/>
  <c r="R1499" i="16"/>
  <c r="R1500" i="16"/>
  <c r="R1501" i="16"/>
  <c r="R1502" i="16"/>
  <c r="R1503" i="16"/>
  <c r="R1504" i="16"/>
  <c r="R1505" i="16"/>
  <c r="R1506" i="16"/>
  <c r="R1507" i="16"/>
  <c r="R1508" i="16"/>
  <c r="R1509" i="16"/>
  <c r="R1510" i="16"/>
  <c r="R1511" i="16"/>
  <c r="R1512" i="16"/>
  <c r="R1513" i="16"/>
  <c r="R1514" i="16"/>
  <c r="R1515" i="16"/>
  <c r="R1516" i="16"/>
  <c r="R1517" i="16"/>
  <c r="R1518" i="16"/>
  <c r="R1519" i="16"/>
  <c r="R1520" i="16"/>
  <c r="R1521" i="16"/>
  <c r="R1522" i="16"/>
  <c r="R1523" i="16"/>
  <c r="R1524" i="16"/>
  <c r="R1525" i="16"/>
  <c r="R1526" i="16"/>
  <c r="R1527" i="16"/>
  <c r="R1528" i="16"/>
  <c r="R1529" i="16"/>
  <c r="R1530" i="16"/>
  <c r="R1531" i="16"/>
  <c r="R1532" i="16"/>
  <c r="R1533" i="16"/>
  <c r="R1534" i="16"/>
  <c r="R1535" i="16"/>
  <c r="R1536" i="16"/>
  <c r="R1537" i="16"/>
  <c r="R1538" i="16"/>
  <c r="R1539" i="16"/>
  <c r="R1540" i="16"/>
  <c r="R1541" i="16"/>
  <c r="R1542" i="16"/>
  <c r="R1543" i="16"/>
  <c r="R1544" i="16"/>
  <c r="R1545" i="16"/>
  <c r="R1546" i="16"/>
  <c r="R1547" i="16"/>
  <c r="R1548" i="16"/>
  <c r="R1549" i="16"/>
  <c r="R1550" i="16"/>
  <c r="R1551" i="16"/>
  <c r="R1552" i="16"/>
  <c r="R1553" i="16"/>
  <c r="R1554" i="16"/>
  <c r="R1555" i="16"/>
  <c r="R1556" i="16"/>
  <c r="R1557" i="16"/>
  <c r="R1558" i="16"/>
  <c r="R1559" i="16"/>
  <c r="R1560" i="16"/>
  <c r="R1561" i="16"/>
  <c r="R1562" i="16"/>
  <c r="R1563" i="16"/>
  <c r="R1564" i="16"/>
  <c r="R1565" i="16"/>
  <c r="R1566" i="16"/>
  <c r="R1567" i="16"/>
  <c r="R1568" i="16"/>
  <c r="R1569" i="16"/>
  <c r="R1570" i="16"/>
  <c r="R1571" i="16"/>
  <c r="R1572" i="16"/>
  <c r="R1573" i="16"/>
  <c r="R1574" i="16"/>
  <c r="R1575" i="16"/>
  <c r="R1576" i="16"/>
  <c r="R1577" i="16"/>
  <c r="R1578" i="16"/>
  <c r="R1579" i="16"/>
  <c r="R1580" i="16"/>
  <c r="R1581" i="16"/>
  <c r="R1582" i="16"/>
  <c r="R1583" i="16"/>
  <c r="R1584" i="16"/>
  <c r="R1585" i="16"/>
  <c r="R1586" i="16"/>
  <c r="R1587" i="16"/>
  <c r="R1588" i="16"/>
  <c r="R1589" i="16"/>
  <c r="R1590" i="16"/>
  <c r="R1591" i="16"/>
  <c r="R1592" i="16"/>
  <c r="R1593" i="16"/>
  <c r="R1594" i="16"/>
  <c r="R1595" i="16"/>
  <c r="R1596" i="16"/>
  <c r="R1597" i="16"/>
  <c r="R1598" i="16"/>
  <c r="R1599" i="16"/>
  <c r="R1600" i="16"/>
  <c r="R1601" i="16"/>
  <c r="R1602" i="16"/>
  <c r="R1603" i="16"/>
  <c r="R1604" i="16"/>
  <c r="R1605" i="16"/>
  <c r="R1606" i="16"/>
  <c r="R1607" i="16"/>
  <c r="R1608" i="16"/>
  <c r="R1609" i="16"/>
  <c r="R1610" i="16"/>
  <c r="R1611" i="16"/>
  <c r="R1612" i="16"/>
  <c r="R1613" i="16"/>
  <c r="R1614" i="16"/>
  <c r="R1615" i="16"/>
  <c r="R1616" i="16"/>
  <c r="R1617" i="16"/>
  <c r="R1618" i="16"/>
  <c r="R1619" i="16"/>
  <c r="R1620" i="16"/>
  <c r="R1621" i="16"/>
  <c r="R1622" i="16"/>
  <c r="R1623" i="16"/>
  <c r="R1624" i="16"/>
  <c r="R1625" i="16"/>
  <c r="R1626" i="16"/>
  <c r="R1627" i="16"/>
  <c r="R1628" i="16"/>
  <c r="R1629" i="16"/>
  <c r="R1630" i="16"/>
  <c r="R1631" i="16"/>
  <c r="R1632" i="16"/>
  <c r="R1633" i="16"/>
  <c r="R1634" i="16"/>
  <c r="R1635" i="16"/>
  <c r="R1636" i="16"/>
  <c r="R1637" i="16"/>
  <c r="R1638" i="16"/>
  <c r="R1639" i="16"/>
  <c r="R1640" i="16"/>
  <c r="R1641" i="16"/>
  <c r="R1642" i="16"/>
  <c r="R1643" i="16"/>
  <c r="R1644" i="16"/>
  <c r="R1645" i="16"/>
  <c r="R1646" i="16"/>
  <c r="R1647" i="16"/>
  <c r="R1648" i="16"/>
  <c r="R1649" i="16"/>
  <c r="R1650" i="16"/>
  <c r="R1651" i="16"/>
  <c r="R1652" i="16"/>
  <c r="R1653" i="16"/>
  <c r="R1654" i="16"/>
  <c r="R1655" i="16"/>
  <c r="R1656" i="16"/>
  <c r="R1657" i="16"/>
  <c r="R1658" i="16"/>
  <c r="R1659" i="16"/>
  <c r="R1660" i="16"/>
  <c r="R1661" i="16"/>
  <c r="R1662" i="16"/>
  <c r="R1663" i="16"/>
  <c r="R1664" i="16"/>
  <c r="R1665" i="16"/>
  <c r="R1666" i="16"/>
  <c r="R1667" i="16"/>
  <c r="R1668" i="16"/>
  <c r="R1669" i="16"/>
  <c r="R1670" i="16"/>
  <c r="R1671" i="16"/>
  <c r="R1672" i="16"/>
  <c r="R1673" i="16"/>
  <c r="R1674" i="16"/>
  <c r="R1675" i="16"/>
  <c r="R1676" i="16"/>
  <c r="R1677" i="16"/>
  <c r="R1678" i="16"/>
  <c r="R1679" i="16"/>
  <c r="R1680" i="16"/>
  <c r="R1681" i="16"/>
  <c r="R1682" i="16"/>
  <c r="R1683" i="16"/>
  <c r="R1684" i="16"/>
  <c r="R1685" i="16"/>
  <c r="R1686" i="16"/>
  <c r="R1687" i="16"/>
  <c r="R1688" i="16"/>
  <c r="R1689" i="16"/>
  <c r="R1690" i="16"/>
  <c r="R1691" i="16"/>
  <c r="R1692" i="16"/>
  <c r="R1693" i="16"/>
  <c r="R1694" i="16"/>
  <c r="R1695" i="16"/>
  <c r="R1696" i="16"/>
  <c r="R1697" i="16"/>
  <c r="R1698" i="16"/>
  <c r="R1699" i="16"/>
  <c r="R1700" i="16"/>
  <c r="R1701" i="16"/>
  <c r="R1702" i="16"/>
  <c r="R1703" i="16"/>
  <c r="R1704" i="16"/>
  <c r="R1705" i="16"/>
  <c r="R1706" i="16"/>
  <c r="R1707" i="16"/>
  <c r="R1708" i="16"/>
  <c r="R1709" i="16"/>
  <c r="R1710" i="16"/>
  <c r="R1711" i="16"/>
  <c r="R1712" i="16"/>
  <c r="R1713" i="16"/>
  <c r="R1714" i="16"/>
  <c r="R1715" i="16"/>
  <c r="R1716" i="16"/>
  <c r="R1717" i="16"/>
  <c r="R1718" i="16"/>
  <c r="R1719" i="16"/>
  <c r="R1720" i="16"/>
  <c r="R1721" i="16"/>
  <c r="R1722" i="16"/>
  <c r="R1723" i="16"/>
  <c r="R1724" i="16"/>
  <c r="R1725" i="16"/>
  <c r="R1726" i="16"/>
  <c r="R1727" i="16"/>
  <c r="R1728" i="16"/>
  <c r="R1729" i="16"/>
  <c r="R1730" i="16"/>
  <c r="R1731" i="16"/>
  <c r="R1732" i="16"/>
  <c r="R1733" i="16"/>
  <c r="R1734" i="16"/>
  <c r="R1735" i="16"/>
  <c r="R1736" i="16"/>
  <c r="R1737" i="16"/>
  <c r="R1738" i="16"/>
  <c r="R1739" i="16"/>
  <c r="R1740" i="16"/>
  <c r="R1741" i="16"/>
  <c r="R1742" i="16"/>
  <c r="R1743" i="16"/>
  <c r="R1744" i="16"/>
  <c r="R1745" i="16"/>
  <c r="R1746" i="16"/>
  <c r="R1747" i="16"/>
  <c r="R1748" i="16"/>
  <c r="R1749" i="16"/>
  <c r="R1750" i="16"/>
  <c r="R1751" i="16"/>
  <c r="R1752" i="16"/>
  <c r="R1753" i="16"/>
  <c r="R1754" i="16"/>
  <c r="R1755" i="16"/>
  <c r="R1756" i="16"/>
  <c r="R1757" i="16"/>
  <c r="R1758" i="16"/>
  <c r="R1759" i="16"/>
  <c r="R1760" i="16"/>
  <c r="R1761" i="16"/>
  <c r="R1762" i="16"/>
  <c r="R1763" i="16"/>
  <c r="R1764" i="16"/>
  <c r="R1765" i="16"/>
  <c r="R1766" i="16"/>
  <c r="R1767" i="16"/>
  <c r="R1768" i="16"/>
  <c r="R1769" i="16"/>
  <c r="R1770" i="16"/>
  <c r="R1771" i="16"/>
  <c r="R1772" i="16"/>
  <c r="R1773" i="16"/>
  <c r="R1774" i="16"/>
  <c r="R1775" i="16"/>
  <c r="R1776" i="16"/>
  <c r="R1777" i="16"/>
  <c r="R1778" i="16"/>
  <c r="R1779" i="16"/>
  <c r="R1780" i="16"/>
  <c r="R1781" i="16"/>
  <c r="R1782" i="16"/>
  <c r="R1783" i="16"/>
  <c r="R1784" i="16"/>
  <c r="R1785" i="16"/>
  <c r="R1786" i="16"/>
  <c r="R1787" i="16"/>
  <c r="R1788" i="16"/>
  <c r="R1789" i="16"/>
  <c r="R1790" i="16"/>
  <c r="R1791" i="16"/>
  <c r="R1792" i="16"/>
  <c r="R1793" i="16"/>
  <c r="R1794" i="16"/>
  <c r="R1795" i="16"/>
  <c r="R1796" i="16"/>
  <c r="R1797" i="16"/>
  <c r="R1798" i="16"/>
  <c r="R1799" i="16"/>
  <c r="R1800" i="16"/>
  <c r="R1801" i="16"/>
  <c r="R1802" i="16"/>
  <c r="R1803" i="16"/>
  <c r="R1804" i="16"/>
  <c r="R1805" i="16"/>
  <c r="R1806" i="16"/>
  <c r="R1807" i="16"/>
  <c r="R1808" i="16"/>
  <c r="R1809" i="16"/>
  <c r="R1810" i="16"/>
  <c r="R1811" i="16"/>
  <c r="R1812" i="16"/>
  <c r="R1813" i="16"/>
  <c r="R1814" i="16"/>
  <c r="R1815" i="16"/>
  <c r="R1816" i="16"/>
  <c r="R1817" i="16"/>
  <c r="R1818" i="16"/>
  <c r="R1819" i="16"/>
  <c r="R1820" i="16"/>
  <c r="R1821" i="16"/>
  <c r="R1822" i="16"/>
  <c r="R1823" i="16"/>
  <c r="R1824" i="16"/>
  <c r="R1825" i="16"/>
  <c r="R1826" i="16"/>
  <c r="R1827" i="16"/>
  <c r="R1828" i="16"/>
  <c r="R1829" i="16"/>
  <c r="R1830" i="16"/>
  <c r="R1831" i="16"/>
  <c r="R1832" i="16"/>
  <c r="R1833" i="16"/>
  <c r="R1834" i="16"/>
  <c r="R1835" i="16"/>
  <c r="R1836" i="16"/>
  <c r="R1837" i="16"/>
  <c r="R1838" i="16"/>
  <c r="R1839" i="16"/>
  <c r="R1840" i="16"/>
  <c r="R1841" i="16"/>
  <c r="R1842" i="16"/>
  <c r="R1843" i="16"/>
  <c r="R1844" i="16"/>
  <c r="R1845" i="16"/>
  <c r="R1846" i="16"/>
  <c r="R1847" i="16"/>
  <c r="R1848" i="16"/>
  <c r="R1849" i="16"/>
  <c r="R1850" i="16"/>
  <c r="R1851" i="16"/>
  <c r="R1852" i="16"/>
  <c r="R1853" i="16"/>
  <c r="R1854" i="16"/>
  <c r="R1855" i="16"/>
  <c r="R1856" i="16"/>
  <c r="R1857" i="16"/>
  <c r="R1858" i="16"/>
  <c r="R1859" i="16"/>
  <c r="R1860" i="16"/>
  <c r="R1861" i="16"/>
  <c r="R1862" i="16"/>
  <c r="R1863" i="16"/>
  <c r="R1864" i="16"/>
  <c r="R1865" i="16"/>
  <c r="R1866" i="16"/>
  <c r="R1867" i="16"/>
  <c r="R1868" i="16"/>
  <c r="R1869" i="16"/>
  <c r="R1870" i="16"/>
  <c r="R1871" i="16"/>
  <c r="R1872" i="16"/>
  <c r="R1873" i="16"/>
  <c r="R1874" i="16"/>
  <c r="R1875" i="16"/>
  <c r="R1876" i="16"/>
  <c r="R1877" i="16"/>
  <c r="R1878" i="16"/>
  <c r="R1879" i="16"/>
  <c r="R1880" i="16"/>
  <c r="R1881" i="16"/>
  <c r="R1882" i="16"/>
  <c r="R1883" i="16"/>
  <c r="R1884" i="16"/>
  <c r="R1885" i="16"/>
  <c r="R1886" i="16"/>
  <c r="R1887" i="16"/>
  <c r="R1888" i="16"/>
  <c r="R1889" i="16"/>
  <c r="R1890" i="16"/>
  <c r="R1891" i="16"/>
  <c r="R1892" i="16"/>
  <c r="R1893" i="16"/>
  <c r="R1894" i="16"/>
  <c r="R1895" i="16"/>
  <c r="R1896" i="16"/>
  <c r="R1897" i="16"/>
  <c r="R1898" i="16"/>
  <c r="R1899" i="16"/>
  <c r="R1900" i="16"/>
  <c r="R1901" i="16"/>
  <c r="R1902" i="16"/>
  <c r="R1903" i="16"/>
  <c r="R1904" i="16"/>
  <c r="R1905" i="16"/>
  <c r="R1906" i="16"/>
  <c r="R1907" i="16"/>
  <c r="R1908" i="16"/>
  <c r="R1909" i="16"/>
  <c r="R1910" i="16"/>
  <c r="R1911" i="16"/>
  <c r="R1912" i="16"/>
  <c r="R1913" i="16"/>
  <c r="R1914" i="16"/>
  <c r="R1915" i="16"/>
  <c r="R1916" i="16"/>
  <c r="R1917" i="16"/>
  <c r="R1918" i="16"/>
  <c r="R1919" i="16"/>
  <c r="R1920" i="16"/>
  <c r="R1921" i="16"/>
  <c r="R1922" i="16"/>
  <c r="R1923" i="16"/>
  <c r="R1924" i="16"/>
  <c r="R1925" i="16"/>
  <c r="R1926" i="16"/>
  <c r="R1927" i="16"/>
  <c r="R1928" i="16"/>
  <c r="R1929" i="16"/>
  <c r="R1930" i="16"/>
  <c r="R1931" i="16"/>
  <c r="R1932" i="16"/>
  <c r="R1933" i="16"/>
  <c r="R1934" i="16"/>
  <c r="R1935" i="16"/>
  <c r="R1936" i="16"/>
  <c r="R1937" i="16"/>
  <c r="R1938" i="16"/>
  <c r="R1939" i="16"/>
  <c r="R1940" i="16"/>
  <c r="R1941" i="16"/>
  <c r="R1942" i="16"/>
  <c r="R1943" i="16"/>
  <c r="R1944" i="16"/>
  <c r="R1945" i="16"/>
  <c r="R1946" i="16"/>
  <c r="R1947" i="16"/>
  <c r="R1948" i="16"/>
  <c r="R1949" i="16"/>
  <c r="R1950" i="16"/>
  <c r="R1951" i="16"/>
  <c r="R1952" i="16"/>
  <c r="R1953" i="16"/>
  <c r="R1954" i="16"/>
  <c r="R1955" i="16"/>
  <c r="R1956" i="16"/>
  <c r="R1957" i="16"/>
  <c r="R1958" i="16"/>
  <c r="R1959" i="16"/>
  <c r="R1960" i="16"/>
  <c r="R1961" i="16"/>
  <c r="R1962" i="16"/>
  <c r="R1963" i="16"/>
  <c r="R1964" i="16"/>
  <c r="R1965" i="16"/>
  <c r="R1966" i="16"/>
  <c r="R1967" i="16"/>
  <c r="R1968" i="16"/>
  <c r="R1969" i="16"/>
  <c r="R1970" i="16"/>
  <c r="R1971" i="16"/>
  <c r="R1972" i="16"/>
  <c r="R1973" i="16"/>
  <c r="R1974" i="16"/>
  <c r="R1975" i="16"/>
  <c r="R1976" i="16"/>
  <c r="R1977" i="16"/>
  <c r="R1978" i="16"/>
  <c r="R1979" i="16"/>
  <c r="R1980" i="16"/>
  <c r="R1981" i="16"/>
  <c r="R1982" i="16"/>
  <c r="R1983" i="16"/>
  <c r="R1984" i="16"/>
  <c r="R1985" i="16"/>
  <c r="R1986" i="16"/>
  <c r="R1987" i="16"/>
  <c r="R1988" i="16"/>
  <c r="R1989" i="16"/>
  <c r="R1990" i="16"/>
  <c r="R1991" i="16"/>
  <c r="R1992" i="16"/>
  <c r="R1993" i="16"/>
  <c r="R1994" i="16"/>
  <c r="R1995" i="16"/>
  <c r="R1996" i="16"/>
  <c r="R1997" i="16"/>
  <c r="R1998" i="16"/>
  <c r="R1999" i="16"/>
  <c r="R2000" i="16"/>
  <c r="R2001" i="16"/>
  <c r="R2002" i="16"/>
  <c r="R2003" i="16"/>
  <c r="R2004" i="16"/>
  <c r="R2005" i="16"/>
  <c r="R2006" i="16"/>
  <c r="R2007" i="16"/>
  <c r="R2008" i="16"/>
  <c r="R2009" i="16"/>
  <c r="R2010" i="16"/>
  <c r="R2011" i="16"/>
  <c r="R2012" i="16"/>
  <c r="R2013" i="16"/>
  <c r="R2014" i="16"/>
  <c r="R2015" i="16"/>
  <c r="R2016" i="16"/>
  <c r="R2017" i="16"/>
  <c r="R2018" i="16"/>
  <c r="R2019" i="16"/>
  <c r="R2020" i="16"/>
  <c r="R2021" i="16"/>
  <c r="R2022" i="16"/>
  <c r="R2023" i="16"/>
  <c r="R2024" i="16"/>
  <c r="R2025" i="16"/>
  <c r="R2026" i="16"/>
  <c r="R2027" i="16"/>
  <c r="R2028" i="16"/>
  <c r="R2029" i="16"/>
  <c r="R2030" i="16"/>
  <c r="R2031" i="16"/>
  <c r="R2032" i="16"/>
  <c r="R2033" i="16"/>
  <c r="R2034" i="16"/>
  <c r="R2035" i="16"/>
  <c r="R2036" i="16"/>
  <c r="R2037" i="16"/>
  <c r="R2038" i="16"/>
  <c r="R2039" i="16"/>
  <c r="R2040" i="16"/>
  <c r="R2041" i="16"/>
  <c r="R2042" i="16"/>
  <c r="R2043" i="16"/>
  <c r="R2044" i="16"/>
  <c r="R2045" i="16"/>
  <c r="R2046" i="16"/>
  <c r="R2047" i="16"/>
  <c r="R2048" i="16"/>
  <c r="R2049" i="16"/>
  <c r="R2050" i="16"/>
  <c r="R2051" i="16"/>
  <c r="R2052" i="16"/>
  <c r="R2053" i="16"/>
  <c r="R2054" i="16"/>
  <c r="R2055" i="16"/>
  <c r="R2056" i="16"/>
  <c r="R2057" i="16"/>
  <c r="R2058" i="16"/>
  <c r="R2059" i="16"/>
  <c r="R2060" i="16"/>
  <c r="R2061" i="16"/>
  <c r="R2062" i="16"/>
  <c r="R2063" i="16"/>
  <c r="R2064" i="16"/>
  <c r="R2065" i="16"/>
  <c r="R2066" i="16"/>
  <c r="R2067" i="16"/>
  <c r="R2068" i="16"/>
  <c r="R2069" i="16"/>
  <c r="R2070" i="16"/>
  <c r="R2071" i="16"/>
  <c r="R2072" i="16"/>
  <c r="R2073" i="16"/>
  <c r="R2074" i="16"/>
  <c r="R2075" i="16"/>
  <c r="R2076" i="16"/>
  <c r="R2077" i="16"/>
  <c r="R2078" i="16"/>
  <c r="R2079" i="16"/>
  <c r="R2080" i="16"/>
  <c r="R2081" i="16"/>
  <c r="R2082" i="16"/>
  <c r="R2083" i="16"/>
  <c r="R2084" i="16"/>
  <c r="R2085" i="16"/>
  <c r="R2086" i="16"/>
  <c r="R2087" i="16"/>
  <c r="R2088" i="16"/>
  <c r="R2089" i="16"/>
  <c r="R2090" i="16"/>
  <c r="R2091" i="16"/>
  <c r="R2092" i="16"/>
  <c r="R2093" i="16"/>
  <c r="R2094" i="16"/>
  <c r="R2095" i="16"/>
  <c r="R2096" i="16"/>
  <c r="R2097" i="16"/>
  <c r="R2098" i="16"/>
  <c r="R2099" i="16"/>
  <c r="R2100" i="16"/>
  <c r="R2101" i="16"/>
  <c r="R2102" i="16"/>
  <c r="R2103" i="16"/>
  <c r="R2104" i="16"/>
  <c r="R2105" i="16"/>
  <c r="R2106" i="16"/>
  <c r="R2107" i="16"/>
  <c r="R2108" i="16"/>
  <c r="R2109" i="16"/>
  <c r="R2110" i="16"/>
  <c r="R2111" i="16"/>
  <c r="R2112" i="16"/>
  <c r="R2113" i="16"/>
  <c r="R2114" i="16"/>
  <c r="R2115" i="16"/>
  <c r="R2116" i="16"/>
  <c r="R2117" i="16"/>
  <c r="R2118" i="16"/>
  <c r="R356" i="3" l="1"/>
  <c r="A19" i="13" l="1"/>
  <c r="A273" i="13"/>
  <c r="A20" i="13"/>
  <c r="A122" i="13"/>
  <c r="A44" i="13"/>
  <c r="A353" i="13"/>
  <c r="A272" i="13"/>
  <c r="A305" i="13"/>
  <c r="A102" i="13"/>
  <c r="A79" i="13"/>
  <c r="A63" i="13"/>
  <c r="A317" i="13"/>
  <c r="A22" i="13"/>
  <c r="A39" i="13"/>
  <c r="A124" i="13"/>
  <c r="A223" i="13"/>
  <c r="A48" i="13"/>
  <c r="A238" i="13"/>
  <c r="A245" i="13"/>
  <c r="A9" i="13"/>
  <c r="A189" i="13"/>
  <c r="A114" i="13"/>
  <c r="A225" i="13"/>
  <c r="A320" i="13"/>
  <c r="A241" i="13"/>
  <c r="A54" i="13"/>
  <c r="A235" i="13"/>
  <c r="A279" i="13"/>
  <c r="A271" i="13"/>
  <c r="A348" i="13"/>
  <c r="A23" i="13"/>
  <c r="A17" i="13"/>
  <c r="A311" i="13"/>
  <c r="A47" i="13"/>
  <c r="A236" i="13"/>
  <c r="A55" i="13"/>
  <c r="A34" i="13"/>
  <c r="A119" i="13"/>
  <c r="A251" i="13"/>
  <c r="A306" i="13"/>
  <c r="A253" i="13"/>
  <c r="A141" i="13"/>
  <c r="A211" i="13"/>
  <c r="A107" i="13"/>
  <c r="A113" i="13"/>
  <c r="A162" i="13"/>
  <c r="A92" i="13"/>
  <c r="A25" i="13"/>
  <c r="A65" i="13"/>
  <c r="A132" i="13"/>
  <c r="A343" i="13"/>
  <c r="A250" i="13"/>
  <c r="A76" i="13"/>
  <c r="A349" i="13"/>
  <c r="A104" i="13"/>
  <c r="A221" i="13"/>
  <c r="A14" i="13"/>
  <c r="A166" i="13"/>
  <c r="A247" i="13"/>
  <c r="A231" i="13"/>
  <c r="A90" i="13"/>
  <c r="A278" i="13"/>
  <c r="A228" i="13"/>
  <c r="A46" i="13"/>
  <c r="A150" i="13"/>
  <c r="A205" i="13"/>
  <c r="A196" i="13"/>
  <c r="A291" i="13"/>
  <c r="A192" i="13"/>
  <c r="A217" i="13"/>
  <c r="A160" i="13"/>
  <c r="A161" i="13"/>
  <c r="A342" i="13"/>
  <c r="A165" i="13"/>
  <c r="A184" i="13"/>
  <c r="A74" i="13"/>
  <c r="A82" i="13"/>
  <c r="A138" i="13"/>
  <c r="A40" i="13"/>
  <c r="A103" i="13"/>
  <c r="A21" i="13"/>
  <c r="A83" i="13"/>
  <c r="A351" i="13"/>
  <c r="A264" i="13"/>
  <c r="A229" i="13"/>
  <c r="A154" i="13"/>
  <c r="A239" i="13"/>
  <c r="A42" i="13"/>
  <c r="A295" i="13"/>
  <c r="A202" i="13"/>
  <c r="A319" i="13"/>
  <c r="A201" i="13"/>
  <c r="A198" i="13"/>
  <c r="A174" i="13"/>
  <c r="A282" i="13"/>
  <c r="A265" i="13"/>
  <c r="A335" i="13"/>
  <c r="A268" i="13"/>
  <c r="A51" i="13"/>
  <c r="A151" i="13"/>
  <c r="A207" i="13"/>
  <c r="A142" i="13"/>
  <c r="A294" i="13"/>
  <c r="A29" i="13"/>
  <c r="A59" i="13"/>
  <c r="A321" i="13"/>
  <c r="A179" i="13"/>
  <c r="A233" i="13"/>
  <c r="A75" i="13"/>
  <c r="A255" i="13"/>
  <c r="A331" i="13"/>
  <c r="A224" i="13"/>
  <c r="A283" i="13"/>
  <c r="A33" i="13"/>
  <c r="A50" i="13"/>
  <c r="A85" i="13"/>
  <c r="A36" i="13"/>
  <c r="A16" i="13"/>
  <c r="A261" i="13"/>
  <c r="A248" i="13"/>
  <c r="A144" i="13"/>
  <c r="A218" i="13"/>
  <c r="A300" i="13"/>
  <c r="A341" i="13"/>
  <c r="A176" i="13"/>
  <c r="A56" i="13"/>
  <c r="A4" i="13"/>
  <c r="A290" i="13"/>
  <c r="A292" i="13"/>
  <c r="A106" i="13"/>
  <c r="A178" i="13"/>
  <c r="A260" i="13"/>
  <c r="A327" i="13"/>
  <c r="A186" i="13"/>
  <c r="A190" i="13"/>
  <c r="A325" i="13"/>
  <c r="A32" i="13"/>
  <c r="A352" i="13"/>
  <c r="A115" i="13"/>
  <c r="A299" i="13"/>
  <c r="A148" i="13"/>
  <c r="A28" i="13"/>
  <c r="A244" i="13"/>
  <c r="A298" i="13"/>
  <c r="A11" i="13"/>
  <c r="A214" i="13"/>
  <c r="A149" i="13"/>
  <c r="A96" i="13"/>
  <c r="A128" i="13"/>
  <c r="A131" i="13"/>
  <c r="A27" i="13"/>
  <c r="A315" i="13"/>
  <c r="A13" i="13"/>
  <c r="A329" i="13"/>
  <c r="A281" i="13"/>
  <c r="A356" i="13"/>
  <c r="A339" i="13"/>
  <c r="A140" i="13"/>
  <c r="A157" i="13"/>
  <c r="A167" i="13"/>
  <c r="A84" i="13"/>
  <c r="A347" i="13"/>
  <c r="A98" i="13"/>
  <c r="A322" i="13"/>
  <c r="A338" i="13"/>
  <c r="A136" i="13"/>
  <c r="A52" i="13"/>
  <c r="A97" i="13"/>
  <c r="A254" i="13"/>
  <c r="A303" i="13"/>
  <c r="A234" i="13"/>
  <c r="A333" i="13"/>
  <c r="A206" i="13"/>
  <c r="A296" i="13"/>
  <c r="A256" i="13"/>
  <c r="A8" i="13"/>
  <c r="A197" i="13"/>
  <c r="A313" i="13"/>
  <c r="A6" i="13"/>
  <c r="A209" i="13"/>
  <c r="A172" i="13"/>
  <c r="A215" i="13"/>
  <c r="A246" i="13"/>
  <c r="A187" i="13"/>
  <c r="A302" i="13"/>
  <c r="A230" i="13"/>
  <c r="A326" i="13"/>
  <c r="A312" i="13"/>
  <c r="A336" i="13"/>
  <c r="A49" i="13"/>
  <c r="A276" i="13"/>
  <c r="A93" i="13"/>
  <c r="A185" i="13"/>
  <c r="A324" i="13"/>
  <c r="A112" i="13"/>
  <c r="A134" i="13"/>
  <c r="A280" i="13"/>
  <c r="A316" i="13"/>
  <c r="A350" i="13"/>
  <c r="A288" i="13"/>
  <c r="A344" i="13"/>
  <c r="A258" i="13"/>
  <c r="A275" i="13"/>
  <c r="A193" i="13"/>
  <c r="A71" i="13"/>
  <c r="A175" i="13"/>
  <c r="A24" i="13"/>
  <c r="A274" i="13"/>
  <c r="A127" i="13"/>
  <c r="A177" i="13"/>
  <c r="A126" i="13"/>
  <c r="A232" i="13"/>
  <c r="A318" i="13"/>
  <c r="A143" i="13"/>
  <c r="A18" i="13"/>
  <c r="A91" i="13"/>
  <c r="A61" i="13"/>
  <c r="A263" i="13"/>
  <c r="A222" i="13"/>
  <c r="A130" i="13"/>
  <c r="A219" i="13"/>
  <c r="A69" i="13"/>
  <c r="A304" i="13"/>
  <c r="A41" i="13"/>
  <c r="A340" i="13"/>
  <c r="A109" i="13"/>
  <c r="A212" i="13"/>
  <c r="A153" i="13"/>
  <c r="A43" i="13"/>
  <c r="A26" i="13"/>
  <c r="A86" i="13"/>
  <c r="A183" i="13"/>
  <c r="A110" i="13"/>
  <c r="A158" i="13"/>
  <c r="A346" i="13"/>
  <c r="A182" i="13"/>
  <c r="A220" i="13"/>
  <c r="A168" i="13"/>
  <c r="A259" i="13"/>
  <c r="A334" i="13"/>
  <c r="A345" i="13"/>
  <c r="A12" i="13"/>
  <c r="A297" i="13"/>
  <c r="A208" i="13"/>
  <c r="A116" i="13"/>
  <c r="A171" i="13"/>
  <c r="A95" i="13"/>
  <c r="A73" i="13"/>
  <c r="A38" i="13"/>
  <c r="A242" i="13"/>
  <c r="A137" i="13"/>
  <c r="A108" i="13"/>
  <c r="A146" i="13"/>
  <c r="A133" i="13"/>
  <c r="A213" i="13"/>
  <c r="A284" i="13"/>
  <c r="A101" i="13"/>
  <c r="A15" i="13"/>
  <c r="A30" i="13"/>
  <c r="A70" i="13"/>
  <c r="A200" i="13"/>
  <c r="A293" i="13"/>
  <c r="A195" i="13"/>
  <c r="A308" i="13"/>
  <c r="A355" i="13"/>
  <c r="A156" i="13"/>
  <c r="A72" i="13"/>
  <c r="A80" i="13"/>
  <c r="A199" i="13"/>
  <c r="A58" i="13"/>
  <c r="A330" i="13"/>
  <c r="A88" i="13"/>
  <c r="A301" i="13"/>
  <c r="A5" i="13"/>
  <c r="A169" i="13"/>
  <c r="A285" i="13"/>
  <c r="A77" i="13"/>
  <c r="A121" i="13"/>
  <c r="A53" i="13"/>
  <c r="A210" i="13"/>
  <c r="A332" i="13"/>
  <c r="A7" i="13"/>
  <c r="A266" i="13"/>
  <c r="A180" i="13"/>
  <c r="A135" i="13"/>
  <c r="A267" i="13"/>
  <c r="A252" i="13"/>
  <c r="A10" i="13"/>
  <c r="A35" i="13"/>
  <c r="A100" i="13"/>
  <c r="A289" i="13"/>
  <c r="A307" i="13"/>
  <c r="A87" i="13"/>
  <c r="A328" i="13"/>
  <c r="A216" i="13"/>
  <c r="A66" i="13"/>
  <c r="A270" i="13"/>
  <c r="A89" i="13"/>
  <c r="A309" i="13"/>
  <c r="A262" i="13"/>
  <c r="A152" i="13"/>
  <c r="A354" i="13"/>
  <c r="A139" i="13"/>
  <c r="A163" i="13"/>
  <c r="A277" i="13"/>
  <c r="A337" i="13"/>
  <c r="A31" i="13"/>
  <c r="A60" i="13"/>
  <c r="A129" i="13"/>
  <c r="A269" i="13"/>
  <c r="A226" i="13"/>
  <c r="A227" i="13"/>
  <c r="A181" i="13"/>
  <c r="A67" i="13"/>
  <c r="A37" i="13"/>
  <c r="A310" i="13"/>
  <c r="A78" i="13"/>
  <c r="A323" i="13"/>
  <c r="A314" i="13"/>
  <c r="A173" i="13"/>
  <c r="A117" i="13"/>
  <c r="A123" i="13"/>
  <c r="A45" i="13"/>
  <c r="A118" i="13"/>
  <c r="A155" i="13"/>
  <c r="A147" i="13"/>
  <c r="A287" i="13"/>
  <c r="A170" i="13"/>
  <c r="A159" i="13"/>
  <c r="A99" i="13"/>
  <c r="A204" i="13"/>
  <c r="A240" i="13"/>
  <c r="A57" i="13"/>
  <c r="A105" i="13"/>
  <c r="A62" i="13"/>
  <c r="A203" i="13"/>
  <c r="A125" i="13"/>
  <c r="A94" i="13"/>
  <c r="A243" i="13"/>
  <c r="A188" i="13"/>
  <c r="A286" i="13"/>
  <c r="A111" i="13"/>
  <c r="A68" i="13"/>
  <c r="A191" i="13"/>
  <c r="A145" i="13"/>
  <c r="A249" i="13"/>
  <c r="A164" i="13"/>
  <c r="A120" i="13"/>
  <c r="A81" i="13"/>
  <c r="A64" i="13"/>
  <c r="A194" i="13"/>
  <c r="A1" i="13" l="1"/>
  <c r="O2" i="16"/>
  <c r="P2" i="16" s="1"/>
  <c r="O3" i="16"/>
  <c r="P3" i="16" s="1"/>
  <c r="O4" i="16"/>
  <c r="P4" i="16" s="1"/>
  <c r="O5" i="16"/>
  <c r="P5" i="16" s="1"/>
  <c r="O6" i="16"/>
  <c r="P6" i="16" s="1"/>
  <c r="O7" i="16"/>
  <c r="P7" i="16" s="1"/>
  <c r="O8" i="16"/>
  <c r="P8" i="16" s="1"/>
  <c r="O16" i="16"/>
  <c r="P16" i="16" s="1"/>
  <c r="O9" i="16"/>
  <c r="P9" i="16" s="1"/>
  <c r="O10" i="16"/>
  <c r="P10" i="16" s="1"/>
  <c r="O11" i="16"/>
  <c r="P11" i="16" s="1"/>
  <c r="O15" i="16"/>
  <c r="P15" i="16" s="1"/>
  <c r="O12" i="16"/>
  <c r="P12" i="16" s="1"/>
  <c r="O13" i="16"/>
  <c r="P13" i="16" s="1"/>
  <c r="O17" i="16"/>
  <c r="P17" i="16" s="1"/>
  <c r="O14" i="16"/>
  <c r="P14" i="16" s="1"/>
  <c r="O18" i="16"/>
  <c r="P18" i="16" s="1"/>
  <c r="O19" i="16"/>
  <c r="P19" i="16" s="1"/>
  <c r="O20" i="16"/>
  <c r="P20" i="16" s="1"/>
  <c r="O21" i="16"/>
  <c r="P21" i="16" s="1"/>
  <c r="O22" i="16"/>
  <c r="P22" i="16" s="1"/>
  <c r="O23" i="16"/>
  <c r="P23" i="16" s="1"/>
  <c r="O24" i="16"/>
  <c r="P24" i="16" s="1"/>
  <c r="O32" i="16"/>
  <c r="P32" i="16" s="1"/>
  <c r="O25" i="16"/>
  <c r="P25" i="16" s="1"/>
  <c r="O26" i="16"/>
  <c r="P26" i="16" s="1"/>
  <c r="O27" i="16"/>
  <c r="P27" i="16" s="1"/>
  <c r="O31" i="16"/>
  <c r="P31" i="16" s="1"/>
  <c r="O28" i="16"/>
  <c r="P28" i="16" s="1"/>
  <c r="O29" i="16"/>
  <c r="P29" i="16" s="1"/>
  <c r="O30" i="16"/>
  <c r="P30" i="16" s="1"/>
  <c r="O33" i="16"/>
  <c r="P33" i="16" s="1"/>
  <c r="O34" i="16"/>
  <c r="P34" i="16" s="1"/>
  <c r="O35" i="16"/>
  <c r="P35" i="16" s="1"/>
  <c r="O36" i="16"/>
  <c r="P36" i="16" s="1"/>
  <c r="O41" i="16"/>
  <c r="P41" i="16" s="1"/>
  <c r="O37" i="16"/>
  <c r="P37" i="16" s="1"/>
  <c r="O39" i="16"/>
  <c r="P39" i="16" s="1"/>
  <c r="O38" i="16"/>
  <c r="P38" i="16" s="1"/>
  <c r="O40" i="16"/>
  <c r="P40" i="16" s="1"/>
  <c r="O42" i="16"/>
  <c r="P42" i="16" s="1"/>
  <c r="O43" i="16"/>
  <c r="P43" i="16" s="1"/>
  <c r="O44" i="16"/>
  <c r="P44" i="16" s="1"/>
  <c r="O47" i="16"/>
  <c r="P47" i="16" s="1"/>
  <c r="O45" i="16"/>
  <c r="P45" i="16" s="1"/>
  <c r="O48" i="16"/>
  <c r="P48" i="16" s="1"/>
  <c r="O46" i="16"/>
  <c r="P46" i="16" s="1"/>
  <c r="O49" i="16"/>
  <c r="P49" i="16" s="1"/>
  <c r="O50" i="16"/>
  <c r="P50" i="16" s="1"/>
  <c r="O51" i="16"/>
  <c r="P51" i="16" s="1"/>
  <c r="O52" i="16"/>
  <c r="P52" i="16" s="1"/>
  <c r="O53" i="16"/>
  <c r="P53" i="16" s="1"/>
  <c r="O54" i="16"/>
  <c r="P54" i="16" s="1"/>
  <c r="O57" i="16"/>
  <c r="P57" i="16" s="1"/>
  <c r="O55" i="16"/>
  <c r="P55" i="16" s="1"/>
  <c r="O56" i="16"/>
  <c r="P56" i="16" s="1"/>
  <c r="O58" i="16"/>
  <c r="P58" i="16" s="1"/>
  <c r="O59" i="16"/>
  <c r="P59" i="16" s="1"/>
  <c r="O61" i="16"/>
  <c r="P61" i="16" s="1"/>
  <c r="O60" i="16"/>
  <c r="P60" i="16" s="1"/>
  <c r="O62" i="16"/>
  <c r="P62" i="16" s="1"/>
  <c r="O63" i="16"/>
  <c r="P63" i="16" s="1"/>
  <c r="O64" i="16"/>
  <c r="P64" i="16" s="1"/>
  <c r="O65" i="16"/>
  <c r="P65" i="16" s="1"/>
  <c r="O66" i="16"/>
  <c r="P66" i="16" s="1"/>
  <c r="O67" i="16"/>
  <c r="P67" i="16" s="1"/>
  <c r="O77" i="16"/>
  <c r="P77" i="16" s="1"/>
  <c r="O68" i="16"/>
  <c r="P68" i="16" s="1"/>
  <c r="O69" i="16"/>
  <c r="P69" i="16" s="1"/>
  <c r="O70" i="16"/>
  <c r="P70" i="16" s="1"/>
  <c r="O80" i="16"/>
  <c r="P80" i="16" s="1"/>
  <c r="O71" i="16"/>
  <c r="P71" i="16" s="1"/>
  <c r="O72" i="16"/>
  <c r="P72" i="16" s="1"/>
  <c r="O79" i="16"/>
  <c r="P79" i="16" s="1"/>
  <c r="O78" i="16"/>
  <c r="P78" i="16" s="1"/>
  <c r="O73" i="16"/>
  <c r="P73" i="16" s="1"/>
  <c r="O74" i="16"/>
  <c r="P74" i="16" s="1"/>
  <c r="O75" i="16"/>
  <c r="P75" i="16" s="1"/>
  <c r="O76" i="16"/>
  <c r="P76" i="16" s="1"/>
  <c r="O83" i="16"/>
  <c r="P83" i="16" s="1"/>
  <c r="O84" i="16"/>
  <c r="P84" i="16" s="1"/>
  <c r="O85" i="16"/>
  <c r="P85" i="16" s="1"/>
  <c r="O81" i="16"/>
  <c r="P81" i="16" s="1"/>
  <c r="O86" i="16"/>
  <c r="P86" i="16" s="1"/>
  <c r="O87" i="16"/>
  <c r="P87" i="16" s="1"/>
  <c r="O88" i="16"/>
  <c r="P88" i="16" s="1"/>
  <c r="O82" i="16"/>
  <c r="P82" i="16" s="1"/>
  <c r="O89" i="16"/>
  <c r="P89" i="16" s="1"/>
  <c r="O90" i="16"/>
  <c r="P90" i="16" s="1"/>
  <c r="O91" i="16"/>
  <c r="P91" i="16" s="1"/>
  <c r="O92" i="16"/>
  <c r="P92" i="16" s="1"/>
  <c r="O93" i="16"/>
  <c r="P93" i="16" s="1"/>
  <c r="O94" i="16"/>
  <c r="P94" i="16" s="1"/>
  <c r="O95" i="16"/>
  <c r="P95" i="16" s="1"/>
  <c r="O96" i="16"/>
  <c r="P96" i="16" s="1"/>
  <c r="O97" i="16"/>
  <c r="P97" i="16" s="1"/>
  <c r="O102" i="16"/>
  <c r="P102" i="16" s="1"/>
  <c r="O98" i="16"/>
  <c r="P98" i="16" s="1"/>
  <c r="O104" i="16"/>
  <c r="P104" i="16" s="1"/>
  <c r="O99" i="16"/>
  <c r="P99" i="16" s="1"/>
  <c r="O103" i="16"/>
  <c r="P103" i="16" s="1"/>
  <c r="O100" i="16"/>
  <c r="P100" i="16" s="1"/>
  <c r="O101" i="16"/>
  <c r="P101" i="16" s="1"/>
  <c r="O110" i="16"/>
  <c r="P110" i="16" s="1"/>
  <c r="O108" i="16"/>
  <c r="P108" i="16" s="1"/>
  <c r="O105" i="16"/>
  <c r="P105" i="16" s="1"/>
  <c r="O111" i="16"/>
  <c r="P111" i="16" s="1"/>
  <c r="O106" i="16"/>
  <c r="P106" i="16" s="1"/>
  <c r="O112" i="16"/>
  <c r="P112" i="16" s="1"/>
  <c r="O107" i="16"/>
  <c r="P107" i="16" s="1"/>
  <c r="O109" i="16"/>
  <c r="P109" i="16" s="1"/>
  <c r="O113" i="16"/>
  <c r="P113" i="16" s="1"/>
  <c r="O115" i="16"/>
  <c r="P115" i="16" s="1"/>
  <c r="O114" i="16"/>
  <c r="P114" i="16" s="1"/>
  <c r="O116" i="16"/>
  <c r="P116" i="16" s="1"/>
  <c r="O117" i="16"/>
  <c r="P117" i="16" s="1"/>
  <c r="O118" i="16"/>
  <c r="P118" i="16" s="1"/>
  <c r="O119" i="16"/>
  <c r="P119" i="16" s="1"/>
  <c r="O120" i="16"/>
  <c r="P120" i="16" s="1"/>
  <c r="O121" i="16"/>
  <c r="P121" i="16" s="1"/>
  <c r="O122" i="16"/>
  <c r="P122" i="16" s="1"/>
  <c r="O123" i="16"/>
  <c r="P123" i="16" s="1"/>
  <c r="O124" i="16"/>
  <c r="P124" i="16" s="1"/>
  <c r="O125" i="16"/>
  <c r="P125" i="16" s="1"/>
  <c r="O126" i="16"/>
  <c r="P126" i="16" s="1"/>
  <c r="O127" i="16"/>
  <c r="P127" i="16" s="1"/>
  <c r="O130" i="16"/>
  <c r="P130" i="16" s="1"/>
  <c r="O131" i="16"/>
  <c r="P131" i="16" s="1"/>
  <c r="O132" i="16"/>
  <c r="P132" i="16" s="1"/>
  <c r="O142" i="16"/>
  <c r="P142" i="16" s="1"/>
  <c r="O133" i="16"/>
  <c r="P133" i="16" s="1"/>
  <c r="O134" i="16"/>
  <c r="P134" i="16" s="1"/>
  <c r="O135" i="16"/>
  <c r="P135" i="16" s="1"/>
  <c r="O129" i="16"/>
  <c r="P129" i="16" s="1"/>
  <c r="O136" i="16"/>
  <c r="P136" i="16" s="1"/>
  <c r="O137" i="16"/>
  <c r="P137" i="16" s="1"/>
  <c r="O138" i="16"/>
  <c r="P138" i="16" s="1"/>
  <c r="O128" i="16"/>
  <c r="P128" i="16" s="1"/>
  <c r="O139" i="16"/>
  <c r="P139" i="16" s="1"/>
  <c r="O140" i="16"/>
  <c r="P140" i="16" s="1"/>
  <c r="O143" i="16"/>
  <c r="P143" i="16" s="1"/>
  <c r="O141" i="16"/>
  <c r="P141" i="16" s="1"/>
  <c r="O145" i="16"/>
  <c r="P145" i="16" s="1"/>
  <c r="O146" i="16"/>
  <c r="P146" i="16" s="1"/>
  <c r="O147" i="16"/>
  <c r="P147" i="16" s="1"/>
  <c r="O157" i="16"/>
  <c r="P157" i="16" s="1"/>
  <c r="O148" i="16"/>
  <c r="P148" i="16" s="1"/>
  <c r="O149" i="16"/>
  <c r="P149" i="16" s="1"/>
  <c r="O150" i="16"/>
  <c r="P150" i="16" s="1"/>
  <c r="O158" i="16"/>
  <c r="P158" i="16" s="1"/>
  <c r="O151" i="16"/>
  <c r="P151" i="16" s="1"/>
  <c r="O152" i="16"/>
  <c r="P152" i="16" s="1"/>
  <c r="O159" i="16"/>
  <c r="P159" i="16" s="1"/>
  <c r="O144" i="16"/>
  <c r="P144" i="16" s="1"/>
  <c r="O153" i="16"/>
  <c r="P153" i="16" s="1"/>
  <c r="O154" i="16"/>
  <c r="P154" i="16" s="1"/>
  <c r="O155" i="16"/>
  <c r="P155" i="16" s="1"/>
  <c r="O156" i="16"/>
  <c r="P156" i="16" s="1"/>
  <c r="O160" i="16"/>
  <c r="P160" i="16" s="1"/>
  <c r="O167" i="16"/>
  <c r="P167" i="16" s="1"/>
  <c r="O161" i="16"/>
  <c r="P161" i="16" s="1"/>
  <c r="O162" i="16"/>
  <c r="P162" i="16" s="1"/>
  <c r="O163" i="16"/>
  <c r="P163" i="16" s="1"/>
  <c r="O164" i="16"/>
  <c r="P164" i="16" s="1"/>
  <c r="O165" i="16"/>
  <c r="P165" i="16" s="1"/>
  <c r="O166" i="16"/>
  <c r="P166" i="16" s="1"/>
  <c r="O168" i="16"/>
  <c r="P168" i="16" s="1"/>
  <c r="O174" i="16"/>
  <c r="P174" i="16" s="1"/>
  <c r="O169" i="16"/>
  <c r="P169" i="16" s="1"/>
  <c r="O173" i="16"/>
  <c r="P173" i="16" s="1"/>
  <c r="O170" i="16"/>
  <c r="P170" i="16" s="1"/>
  <c r="O171" i="16"/>
  <c r="P171" i="16" s="1"/>
  <c r="O172" i="16"/>
  <c r="P172" i="16" s="1"/>
  <c r="O175" i="16"/>
  <c r="P175" i="16" s="1"/>
  <c r="O176" i="16"/>
  <c r="P176" i="16" s="1"/>
  <c r="O177" i="16"/>
  <c r="P177" i="16" s="1"/>
  <c r="O178" i="16"/>
  <c r="P178" i="16" s="1"/>
  <c r="O179" i="16"/>
  <c r="P179" i="16" s="1"/>
  <c r="O180" i="16"/>
  <c r="P180" i="16" s="1"/>
  <c r="O183" i="16"/>
  <c r="P183" i="16" s="1"/>
  <c r="O181" i="16"/>
  <c r="P181" i="16" s="1"/>
  <c r="O182" i="16"/>
  <c r="P182" i="16" s="1"/>
  <c r="O185" i="16"/>
  <c r="P185" i="16" s="1"/>
  <c r="O184" i="16"/>
  <c r="P184" i="16" s="1"/>
  <c r="O186" i="16"/>
  <c r="P186" i="16" s="1"/>
  <c r="O187" i="16"/>
  <c r="P187" i="16" s="1"/>
  <c r="O188" i="16"/>
  <c r="P188" i="16" s="1"/>
  <c r="O189" i="16"/>
  <c r="P189" i="16" s="1"/>
  <c r="O190" i="16"/>
  <c r="P190" i="16" s="1"/>
  <c r="O191" i="16"/>
  <c r="P191" i="16" s="1"/>
  <c r="O192" i="16"/>
  <c r="P192" i="16" s="1"/>
  <c r="O193" i="16"/>
  <c r="P193" i="16" s="1"/>
  <c r="O204" i="16"/>
  <c r="P204" i="16" s="1"/>
  <c r="O194" i="16"/>
  <c r="P194" i="16" s="1"/>
  <c r="O195" i="16"/>
  <c r="P195" i="16" s="1"/>
  <c r="O196" i="16"/>
  <c r="P196" i="16" s="1"/>
  <c r="O206" i="16"/>
  <c r="P206" i="16" s="1"/>
  <c r="O197" i="16"/>
  <c r="P197" i="16" s="1"/>
  <c r="O198" i="16"/>
  <c r="P198" i="16" s="1"/>
  <c r="O199" i="16"/>
  <c r="P199" i="16" s="1"/>
  <c r="O200" i="16"/>
  <c r="P200" i="16" s="1"/>
  <c r="O201" i="16"/>
  <c r="P201" i="16" s="1"/>
  <c r="O202" i="16"/>
  <c r="P202" i="16" s="1"/>
  <c r="O203" i="16"/>
  <c r="P203" i="16" s="1"/>
  <c r="O205" i="16"/>
  <c r="P205" i="16" s="1"/>
  <c r="O209" i="16"/>
  <c r="P209" i="16" s="1"/>
  <c r="O210" i="16"/>
  <c r="P210" i="16" s="1"/>
  <c r="O211" i="16"/>
  <c r="P211" i="16" s="1"/>
  <c r="O208" i="16"/>
  <c r="P208" i="16" s="1"/>
  <c r="O212" i="16"/>
  <c r="P212" i="16" s="1"/>
  <c r="O213" i="16"/>
  <c r="P213" i="16" s="1"/>
  <c r="O214" i="16"/>
  <c r="P214" i="16" s="1"/>
  <c r="O207" i="16"/>
  <c r="P207" i="16" s="1"/>
  <c r="O215" i="16"/>
  <c r="P215" i="16" s="1"/>
  <c r="O216" i="16"/>
  <c r="P216" i="16" s="1"/>
  <c r="O217" i="16"/>
  <c r="P217" i="16" s="1"/>
  <c r="O218" i="16"/>
  <c r="P218" i="16" s="1"/>
  <c r="O219" i="16"/>
  <c r="P219" i="16" s="1"/>
  <c r="O220" i="16"/>
  <c r="P220" i="16" s="1"/>
  <c r="O221" i="16"/>
  <c r="P221" i="16" s="1"/>
  <c r="O222" i="16"/>
  <c r="P222" i="16" s="1"/>
  <c r="O223" i="16"/>
  <c r="P223" i="16" s="1"/>
  <c r="O229" i="16"/>
  <c r="P229" i="16" s="1"/>
  <c r="O224" i="16"/>
  <c r="P224" i="16" s="1"/>
  <c r="O225" i="16"/>
  <c r="P225" i="16" s="1"/>
  <c r="O226" i="16"/>
  <c r="P226" i="16" s="1"/>
  <c r="O230" i="16"/>
  <c r="P230" i="16" s="1"/>
  <c r="O227" i="16"/>
  <c r="P227" i="16" s="1"/>
  <c r="O228" i="16"/>
  <c r="P228" i="16" s="1"/>
  <c r="O231" i="16"/>
  <c r="P231" i="16" s="1"/>
  <c r="O235" i="16"/>
  <c r="P235" i="16" s="1"/>
  <c r="O232" i="16"/>
  <c r="P232" i="16" s="1"/>
  <c r="O236" i="16"/>
  <c r="P236" i="16" s="1"/>
  <c r="O233" i="16"/>
  <c r="P233" i="16" s="1"/>
  <c r="O237" i="16"/>
  <c r="P237" i="16" s="1"/>
  <c r="O234" i="16"/>
  <c r="P234" i="16" s="1"/>
  <c r="O238" i="16"/>
  <c r="P238" i="16" s="1"/>
  <c r="O239" i="16"/>
  <c r="P239" i="16" s="1"/>
  <c r="O240" i="16"/>
  <c r="P240" i="16" s="1"/>
  <c r="O241" i="16"/>
  <c r="P241" i="16" s="1"/>
  <c r="O242" i="16"/>
  <c r="P242" i="16" s="1"/>
  <c r="O246" i="16"/>
  <c r="P246" i="16" s="1"/>
  <c r="O243" i="16"/>
  <c r="P243" i="16" s="1"/>
  <c r="O244" i="16"/>
  <c r="P244" i="16" s="1"/>
  <c r="O245" i="16"/>
  <c r="P245" i="16" s="1"/>
  <c r="O248" i="16"/>
  <c r="P248" i="16" s="1"/>
  <c r="O247" i="16"/>
  <c r="P247" i="16" s="1"/>
  <c r="O250" i="16"/>
  <c r="P250" i="16" s="1"/>
  <c r="O249" i="16"/>
  <c r="P249" i="16" s="1"/>
  <c r="O251" i="16"/>
  <c r="P251" i="16" s="1"/>
  <c r="O252" i="16"/>
  <c r="P252" i="16" s="1"/>
  <c r="O253" i="16"/>
  <c r="P253" i="16" s="1"/>
  <c r="O256" i="16"/>
  <c r="P256" i="16" s="1"/>
  <c r="O257" i="16"/>
  <c r="P257" i="16" s="1"/>
  <c r="O266" i="16"/>
  <c r="P266" i="16" s="1"/>
  <c r="O254" i="16"/>
  <c r="P254" i="16" s="1"/>
  <c r="O258" i="16"/>
  <c r="P258" i="16" s="1"/>
  <c r="O259" i="16"/>
  <c r="P259" i="16" s="1"/>
  <c r="O260" i="16"/>
  <c r="P260" i="16" s="1"/>
  <c r="O267" i="16"/>
  <c r="P267" i="16" s="1"/>
  <c r="O261" i="16"/>
  <c r="P261" i="16" s="1"/>
  <c r="O262" i="16"/>
  <c r="P262" i="16" s="1"/>
  <c r="O268" i="16"/>
  <c r="P268" i="16" s="1"/>
  <c r="O255" i="16"/>
  <c r="P255" i="16" s="1"/>
  <c r="O263" i="16"/>
  <c r="P263" i="16" s="1"/>
  <c r="O264" i="16"/>
  <c r="P264" i="16" s="1"/>
  <c r="O269" i="16"/>
  <c r="P269" i="16" s="1"/>
  <c r="O265" i="16"/>
  <c r="P265" i="16" s="1"/>
  <c r="O270" i="16"/>
  <c r="P270" i="16" s="1"/>
  <c r="O271" i="16"/>
  <c r="P271" i="16" s="1"/>
  <c r="O272" i="16"/>
  <c r="P272" i="16" s="1"/>
  <c r="O285" i="16"/>
  <c r="P285" i="16" s="1"/>
  <c r="O273" i="16"/>
  <c r="P273" i="16" s="1"/>
  <c r="O274" i="16"/>
  <c r="P274" i="16" s="1"/>
  <c r="O284" i="16"/>
  <c r="P284" i="16" s="1"/>
  <c r="O281" i="16"/>
  <c r="P281" i="16" s="1"/>
  <c r="O275" i="16"/>
  <c r="P275" i="16" s="1"/>
  <c r="O276" i="16"/>
  <c r="P276" i="16" s="1"/>
  <c r="O277" i="16"/>
  <c r="P277" i="16" s="1"/>
  <c r="O282" i="16"/>
  <c r="P282" i="16" s="1"/>
  <c r="O278" i="16"/>
  <c r="P278" i="16" s="1"/>
  <c r="O279" i="16"/>
  <c r="P279" i="16" s="1"/>
  <c r="O280" i="16"/>
  <c r="P280" i="16" s="1"/>
  <c r="O283" i="16"/>
  <c r="P283" i="16" s="1"/>
  <c r="O286" i="16"/>
  <c r="P286" i="16" s="1"/>
  <c r="O287" i="16"/>
  <c r="P287" i="16" s="1"/>
  <c r="O288" i="16"/>
  <c r="P288" i="16" s="1"/>
  <c r="O289" i="16"/>
  <c r="P289" i="16" s="1"/>
  <c r="O290" i="16"/>
  <c r="P290" i="16" s="1"/>
  <c r="O291" i="16"/>
  <c r="P291" i="16" s="1"/>
  <c r="O292" i="16"/>
  <c r="P292" i="16" s="1"/>
  <c r="O293" i="16"/>
  <c r="P293" i="16" s="1"/>
  <c r="O294" i="16"/>
  <c r="P294" i="16" s="1"/>
  <c r="O301" i="16"/>
  <c r="P301" i="16" s="1"/>
  <c r="O295" i="16"/>
  <c r="P295" i="16" s="1"/>
  <c r="O296" i="16"/>
  <c r="P296" i="16" s="1"/>
  <c r="O297" i="16"/>
  <c r="P297" i="16" s="1"/>
  <c r="O298" i="16"/>
  <c r="P298" i="16" s="1"/>
  <c r="O299" i="16"/>
  <c r="P299" i="16" s="1"/>
  <c r="O300" i="16"/>
  <c r="P300" i="16" s="1"/>
  <c r="O304" i="16"/>
  <c r="P304" i="16" s="1"/>
  <c r="O302" i="16"/>
  <c r="P302" i="16" s="1"/>
  <c r="O305" i="16"/>
  <c r="P305" i="16" s="1"/>
  <c r="O303" i="16"/>
  <c r="P303" i="16" s="1"/>
  <c r="O306" i="16"/>
  <c r="P306" i="16" s="1"/>
  <c r="O307" i="16"/>
  <c r="P307" i="16" s="1"/>
  <c r="O308" i="16"/>
  <c r="P308" i="16" s="1"/>
  <c r="O309" i="16"/>
  <c r="P309" i="16" s="1"/>
  <c r="O310" i="16"/>
  <c r="P310" i="16" s="1"/>
  <c r="O311" i="16"/>
  <c r="P311" i="16" s="1"/>
  <c r="O313" i="16"/>
  <c r="P313" i="16" s="1"/>
  <c r="O312" i="16"/>
  <c r="P312" i="16" s="1"/>
  <c r="O314" i="16"/>
  <c r="P314" i="16" s="1"/>
  <c r="O315" i="16"/>
  <c r="P315" i="16" s="1"/>
  <c r="O316" i="16"/>
  <c r="P316" i="16" s="1"/>
  <c r="O317" i="16"/>
  <c r="P317" i="16" s="1"/>
  <c r="O318" i="16"/>
  <c r="P318" i="16" s="1"/>
  <c r="O319" i="16"/>
  <c r="P319" i="16" s="1"/>
  <c r="O331" i="16"/>
  <c r="P331" i="16" s="1"/>
  <c r="O320" i="16"/>
  <c r="P320" i="16" s="1"/>
  <c r="O321" i="16"/>
  <c r="P321" i="16" s="1"/>
  <c r="O322" i="16"/>
  <c r="P322" i="16" s="1"/>
  <c r="O329" i="16"/>
  <c r="P329" i="16" s="1"/>
  <c r="O323" i="16"/>
  <c r="P323" i="16" s="1"/>
  <c r="O324" i="16"/>
  <c r="P324" i="16" s="1"/>
  <c r="O325" i="16"/>
  <c r="P325" i="16" s="1"/>
  <c r="O332" i="16"/>
  <c r="P332" i="16" s="1"/>
  <c r="O326" i="16"/>
  <c r="P326" i="16" s="1"/>
  <c r="O327" i="16"/>
  <c r="P327" i="16" s="1"/>
  <c r="O328" i="16"/>
  <c r="P328" i="16" s="1"/>
  <c r="O330" i="16"/>
  <c r="P330" i="16" s="1"/>
  <c r="O334" i="16"/>
  <c r="P334" i="16" s="1"/>
  <c r="O335" i="16"/>
  <c r="P335" i="16" s="1"/>
  <c r="O336" i="16"/>
  <c r="P336" i="16" s="1"/>
  <c r="O337" i="16"/>
  <c r="P337" i="16" s="1"/>
  <c r="O338" i="16"/>
  <c r="P338" i="16" s="1"/>
  <c r="O339" i="16"/>
  <c r="P339" i="16" s="1"/>
  <c r="O340" i="16"/>
  <c r="P340" i="16" s="1"/>
  <c r="O348" i="16"/>
  <c r="P348" i="16" s="1"/>
  <c r="O341" i="16"/>
  <c r="P341" i="16" s="1"/>
  <c r="O342" i="16"/>
  <c r="P342" i="16" s="1"/>
  <c r="O343" i="16"/>
  <c r="P343" i="16" s="1"/>
  <c r="O333" i="16"/>
  <c r="P333" i="16" s="1"/>
  <c r="O344" i="16"/>
  <c r="P344" i="16" s="1"/>
  <c r="O345" i="16"/>
  <c r="P345" i="16" s="1"/>
  <c r="O346" i="16"/>
  <c r="P346" i="16" s="1"/>
  <c r="O347" i="16"/>
  <c r="P347" i="16" s="1"/>
  <c r="O350" i="16"/>
  <c r="P350" i="16" s="1"/>
  <c r="O356" i="16"/>
  <c r="P356" i="16" s="1"/>
  <c r="O351" i="16"/>
  <c r="P351" i="16" s="1"/>
  <c r="O355" i="16"/>
  <c r="P355" i="16" s="1"/>
  <c r="O352" i="16"/>
  <c r="P352" i="16" s="1"/>
  <c r="O353" i="16"/>
  <c r="P353" i="16" s="1"/>
  <c r="O354" i="16"/>
  <c r="P354" i="16" s="1"/>
  <c r="O349" i="16"/>
  <c r="P349" i="16" s="1"/>
  <c r="O359" i="16"/>
  <c r="P359" i="16" s="1"/>
  <c r="O362" i="16"/>
  <c r="P362" i="16" s="1"/>
  <c r="O364" i="16"/>
  <c r="P364" i="16" s="1"/>
  <c r="O357" i="16"/>
  <c r="P357" i="16" s="1"/>
  <c r="O360" i="16"/>
  <c r="P360" i="16" s="1"/>
  <c r="O361" i="16"/>
  <c r="P361" i="16" s="1"/>
  <c r="O363" i="16"/>
  <c r="P363" i="16" s="1"/>
  <c r="O358" i="16"/>
  <c r="P358" i="16" s="1"/>
  <c r="O365" i="16"/>
  <c r="P365" i="16" s="1"/>
  <c r="O366" i="16"/>
  <c r="P366" i="16" s="1"/>
  <c r="O367" i="16"/>
  <c r="P367" i="16" s="1"/>
  <c r="O368" i="16"/>
  <c r="P368" i="16" s="1"/>
  <c r="O372" i="16"/>
  <c r="P372" i="16" s="1"/>
  <c r="O370" i="16"/>
  <c r="P370" i="16" s="1"/>
  <c r="O369" i="16"/>
  <c r="P369" i="16" s="1"/>
  <c r="O371" i="16"/>
  <c r="P371" i="16" s="1"/>
  <c r="O374" i="16"/>
  <c r="P374" i="16" s="1"/>
  <c r="O373" i="16"/>
  <c r="P373" i="16" s="1"/>
  <c r="O375" i="16"/>
  <c r="P375" i="16" s="1"/>
  <c r="O376" i="16"/>
  <c r="P376" i="16" s="1"/>
  <c r="O377" i="16"/>
  <c r="P377" i="16" s="1"/>
  <c r="O378" i="16"/>
  <c r="P378" i="16" s="1"/>
  <c r="O379" i="16"/>
  <c r="P379" i="16" s="1"/>
  <c r="O382" i="16"/>
  <c r="P382" i="16" s="1"/>
  <c r="O383" i="16"/>
  <c r="P383" i="16" s="1"/>
  <c r="O394" i="16"/>
  <c r="P394" i="16" s="1"/>
  <c r="O380" i="16"/>
  <c r="P380" i="16" s="1"/>
  <c r="O384" i="16"/>
  <c r="P384" i="16" s="1"/>
  <c r="O385" i="16"/>
  <c r="P385" i="16" s="1"/>
  <c r="O392" i="16"/>
  <c r="P392" i="16" s="1"/>
  <c r="O381" i="16"/>
  <c r="P381" i="16" s="1"/>
  <c r="O386" i="16"/>
  <c r="P386" i="16" s="1"/>
  <c r="O387" i="16"/>
  <c r="P387" i="16" s="1"/>
  <c r="O388" i="16"/>
  <c r="P388" i="16" s="1"/>
  <c r="O389" i="16"/>
  <c r="P389" i="16" s="1"/>
  <c r="O390" i="16"/>
  <c r="P390" i="16" s="1"/>
  <c r="O391" i="16"/>
  <c r="P391" i="16" s="1"/>
  <c r="O395" i="16"/>
  <c r="P395" i="16" s="1"/>
  <c r="O393" i="16"/>
  <c r="P393" i="16" s="1"/>
  <c r="O397" i="16"/>
  <c r="P397" i="16" s="1"/>
  <c r="O411" i="16"/>
  <c r="P411" i="16" s="1"/>
  <c r="O410" i="16"/>
  <c r="P410" i="16" s="1"/>
  <c r="O396" i="16"/>
  <c r="P396" i="16" s="1"/>
  <c r="O398" i="16"/>
  <c r="P398" i="16" s="1"/>
  <c r="O399" i="16"/>
  <c r="P399" i="16" s="1"/>
  <c r="O400" i="16"/>
  <c r="P400" i="16" s="1"/>
  <c r="O401" i="16"/>
  <c r="P401" i="16" s="1"/>
  <c r="O402" i="16"/>
  <c r="P402" i="16" s="1"/>
  <c r="O403" i="16"/>
  <c r="P403" i="16" s="1"/>
  <c r="O404" i="16"/>
  <c r="P404" i="16" s="1"/>
  <c r="O405" i="16"/>
  <c r="P405" i="16" s="1"/>
  <c r="O406" i="16"/>
  <c r="P406" i="16" s="1"/>
  <c r="O407" i="16"/>
  <c r="P407" i="16" s="1"/>
  <c r="O408" i="16"/>
  <c r="P408" i="16" s="1"/>
  <c r="O409" i="16"/>
  <c r="P409" i="16" s="1"/>
  <c r="O412" i="16"/>
  <c r="P412" i="16" s="1"/>
  <c r="O413" i="16"/>
  <c r="P413" i="16" s="1"/>
  <c r="O414" i="16"/>
  <c r="P414" i="16" s="1"/>
  <c r="O415" i="16"/>
  <c r="P415" i="16" s="1"/>
  <c r="O416" i="16"/>
  <c r="P416" i="16" s="1"/>
  <c r="O417" i="16"/>
  <c r="P417" i="16" s="1"/>
  <c r="O418" i="16"/>
  <c r="P418" i="16" s="1"/>
  <c r="O419" i="16"/>
  <c r="P419" i="16" s="1"/>
  <c r="O420" i="16"/>
  <c r="P420" i="16" s="1"/>
  <c r="O421" i="16"/>
  <c r="P421" i="16" s="1"/>
  <c r="O422" i="16"/>
  <c r="P422" i="16" s="1"/>
  <c r="O423" i="16"/>
  <c r="P423" i="16" s="1"/>
  <c r="O424" i="16"/>
  <c r="P424" i="16" s="1"/>
  <c r="O425" i="16"/>
  <c r="P425" i="16" s="1"/>
  <c r="O426" i="16"/>
  <c r="P426" i="16" s="1"/>
  <c r="O427" i="16"/>
  <c r="P427" i="16" s="1"/>
  <c r="O428" i="16"/>
  <c r="P428" i="16" s="1"/>
  <c r="O430" i="16"/>
  <c r="P430" i="16" s="1"/>
  <c r="O429" i="16"/>
  <c r="P429" i="16" s="1"/>
  <c r="O431" i="16"/>
  <c r="P431" i="16" s="1"/>
  <c r="O432" i="16"/>
  <c r="P432" i="16" s="1"/>
  <c r="O434" i="16"/>
  <c r="P434" i="16" s="1"/>
  <c r="O433" i="16"/>
  <c r="P433" i="16" s="1"/>
  <c r="O435" i="16"/>
  <c r="P435" i="16" s="1"/>
  <c r="O437" i="16"/>
  <c r="P437" i="16" s="1"/>
  <c r="O436" i="16"/>
  <c r="P436" i="16" s="1"/>
  <c r="O438" i="16"/>
  <c r="P438" i="16" s="1"/>
  <c r="O439" i="16"/>
  <c r="P439" i="16" s="1"/>
  <c r="O441" i="16"/>
  <c r="P441" i="16" s="1"/>
  <c r="O440" i="16"/>
  <c r="P440" i="16" s="1"/>
  <c r="O442" i="16"/>
  <c r="P442" i="16" s="1"/>
  <c r="O443" i="16"/>
  <c r="P443" i="16" s="1"/>
  <c r="O444" i="16"/>
  <c r="P444" i="16" s="1"/>
  <c r="O445" i="16"/>
  <c r="P445" i="16" s="1"/>
  <c r="O457" i="16"/>
  <c r="P457" i="16" s="1"/>
  <c r="O446" i="16"/>
  <c r="P446" i="16" s="1"/>
  <c r="O447" i="16"/>
  <c r="P447" i="16" s="1"/>
  <c r="O448" i="16"/>
  <c r="P448" i="16" s="1"/>
  <c r="O449" i="16"/>
  <c r="P449" i="16" s="1"/>
  <c r="O450" i="16"/>
  <c r="P450" i="16" s="1"/>
  <c r="O451" i="16"/>
  <c r="P451" i="16" s="1"/>
  <c r="O452" i="16"/>
  <c r="P452" i="16" s="1"/>
  <c r="O458" i="16"/>
  <c r="P458" i="16" s="1"/>
  <c r="O453" i="16"/>
  <c r="P453" i="16" s="1"/>
  <c r="O454" i="16"/>
  <c r="P454" i="16" s="1"/>
  <c r="O455" i="16"/>
  <c r="P455" i="16" s="1"/>
  <c r="O456" i="16"/>
  <c r="P456" i="16" s="1"/>
  <c r="O461" i="16"/>
  <c r="P461" i="16" s="1"/>
  <c r="O462" i="16"/>
  <c r="P462" i="16" s="1"/>
  <c r="O463" i="16"/>
  <c r="P463" i="16" s="1"/>
  <c r="O472" i="16"/>
  <c r="P472" i="16" s="1"/>
  <c r="O464" i="16"/>
  <c r="P464" i="16" s="1"/>
  <c r="O465" i="16"/>
  <c r="P465" i="16" s="1"/>
  <c r="O466" i="16"/>
  <c r="P466" i="16" s="1"/>
  <c r="O474" i="16"/>
  <c r="P474" i="16" s="1"/>
  <c r="O468" i="16"/>
  <c r="P468" i="16" s="1"/>
  <c r="O469" i="16"/>
  <c r="P469" i="16" s="1"/>
  <c r="O473" i="16"/>
  <c r="P473" i="16" s="1"/>
  <c r="O459" i="16"/>
  <c r="P459" i="16" s="1"/>
  <c r="O470" i="16"/>
  <c r="P470" i="16" s="1"/>
  <c r="O471" i="16"/>
  <c r="P471" i="16" s="1"/>
  <c r="O467" i="16"/>
  <c r="P467" i="16" s="1"/>
  <c r="O460" i="16"/>
  <c r="P460" i="16" s="1"/>
  <c r="O475" i="16"/>
  <c r="P475" i="16" s="1"/>
  <c r="O476" i="16"/>
  <c r="P476" i="16" s="1"/>
  <c r="O482" i="16"/>
  <c r="P482" i="16" s="1"/>
  <c r="O481" i="16"/>
  <c r="P481" i="16" s="1"/>
  <c r="O477" i="16"/>
  <c r="P477" i="16" s="1"/>
  <c r="O478" i="16"/>
  <c r="P478" i="16" s="1"/>
  <c r="O479" i="16"/>
  <c r="P479" i="16" s="1"/>
  <c r="O480" i="16"/>
  <c r="P480" i="16" s="1"/>
  <c r="O484" i="16"/>
  <c r="P484" i="16" s="1"/>
  <c r="O485" i="16"/>
  <c r="P485" i="16" s="1"/>
  <c r="O486" i="16"/>
  <c r="P486" i="16" s="1"/>
  <c r="O483" i="16"/>
  <c r="P483" i="16" s="1"/>
  <c r="O487" i="16"/>
  <c r="P487" i="16" s="1"/>
  <c r="O488" i="16"/>
  <c r="P488" i="16" s="1"/>
  <c r="O489" i="16"/>
  <c r="P489" i="16" s="1"/>
  <c r="O490" i="16"/>
  <c r="P490" i="16" s="1"/>
  <c r="O491" i="16"/>
  <c r="P491" i="16" s="1"/>
  <c r="O492" i="16"/>
  <c r="P492" i="16" s="1"/>
  <c r="O493" i="16"/>
  <c r="P493" i="16" s="1"/>
  <c r="O494" i="16"/>
  <c r="P494" i="16" s="1"/>
  <c r="O495" i="16"/>
  <c r="P495" i="16" s="1"/>
  <c r="O496" i="16"/>
  <c r="P496" i="16" s="1"/>
  <c r="O497" i="16"/>
  <c r="P497" i="16" s="1"/>
  <c r="O498" i="16"/>
  <c r="P498" i="16" s="1"/>
  <c r="O499" i="16"/>
  <c r="P499" i="16" s="1"/>
  <c r="O500" i="16"/>
  <c r="P500" i="16" s="1"/>
  <c r="O501" i="16"/>
  <c r="P501" i="16" s="1"/>
  <c r="O502" i="16"/>
  <c r="P502" i="16" s="1"/>
  <c r="O503" i="16"/>
  <c r="P503" i="16" s="1"/>
  <c r="O504" i="16"/>
  <c r="P504" i="16" s="1"/>
  <c r="O505" i="16"/>
  <c r="P505" i="16" s="1"/>
  <c r="O507" i="16"/>
  <c r="P507" i="16" s="1"/>
  <c r="O508" i="16"/>
  <c r="P508" i="16" s="1"/>
  <c r="O509" i="16"/>
  <c r="P509" i="16" s="1"/>
  <c r="O510" i="16"/>
  <c r="P510" i="16" s="1"/>
  <c r="O511" i="16"/>
  <c r="P511" i="16" s="1"/>
  <c r="O512" i="16"/>
  <c r="P512" i="16" s="1"/>
  <c r="O513" i="16"/>
  <c r="P513" i="16" s="1"/>
  <c r="O514" i="16"/>
  <c r="P514" i="16" s="1"/>
  <c r="O515" i="16"/>
  <c r="P515" i="16" s="1"/>
  <c r="O516" i="16"/>
  <c r="P516" i="16" s="1"/>
  <c r="O517" i="16"/>
  <c r="P517" i="16" s="1"/>
  <c r="O521" i="16"/>
  <c r="P521" i="16" s="1"/>
  <c r="O518" i="16"/>
  <c r="P518" i="16" s="1"/>
  <c r="O519" i="16"/>
  <c r="P519" i="16" s="1"/>
  <c r="O520" i="16"/>
  <c r="P520" i="16" s="1"/>
  <c r="O506" i="16"/>
  <c r="P506" i="16" s="1"/>
  <c r="O524" i="16"/>
  <c r="P524" i="16" s="1"/>
  <c r="O525" i="16"/>
  <c r="P525" i="16" s="1"/>
  <c r="O526" i="16"/>
  <c r="P526" i="16" s="1"/>
  <c r="O527" i="16"/>
  <c r="P527" i="16" s="1"/>
  <c r="O528" i="16"/>
  <c r="P528" i="16" s="1"/>
  <c r="O529" i="16"/>
  <c r="P529" i="16" s="1"/>
  <c r="O530" i="16"/>
  <c r="P530" i="16" s="1"/>
  <c r="O536" i="16"/>
  <c r="P536" i="16" s="1"/>
  <c r="O531" i="16"/>
  <c r="P531" i="16" s="1"/>
  <c r="O532" i="16"/>
  <c r="P532" i="16" s="1"/>
  <c r="O533" i="16"/>
  <c r="P533" i="16" s="1"/>
  <c r="O534" i="16"/>
  <c r="P534" i="16" s="1"/>
  <c r="O535" i="16"/>
  <c r="P535" i="16" s="1"/>
  <c r="O537" i="16"/>
  <c r="P537" i="16" s="1"/>
  <c r="O523" i="16"/>
  <c r="P523" i="16" s="1"/>
  <c r="O522" i="16"/>
  <c r="P522" i="16" s="1"/>
  <c r="O538" i="16"/>
  <c r="P538" i="16" s="1"/>
  <c r="O539" i="16"/>
  <c r="P539" i="16" s="1"/>
  <c r="O540" i="16"/>
  <c r="P540" i="16" s="1"/>
  <c r="O545" i="16"/>
  <c r="P545" i="16" s="1"/>
  <c r="O541" i="16"/>
  <c r="P541" i="16" s="1"/>
  <c r="O544" i="16"/>
  <c r="P544" i="16" s="1"/>
  <c r="O542" i="16"/>
  <c r="P542" i="16" s="1"/>
  <c r="O543" i="16"/>
  <c r="P543" i="16" s="1"/>
  <c r="O546" i="16"/>
  <c r="P546" i="16" s="1"/>
  <c r="O552" i="16"/>
  <c r="P552" i="16" s="1"/>
  <c r="O547" i="16"/>
  <c r="P547" i="16" s="1"/>
  <c r="O548" i="16"/>
  <c r="P548" i="16" s="1"/>
  <c r="O549" i="16"/>
  <c r="P549" i="16" s="1"/>
  <c r="O553" i="16"/>
  <c r="P553" i="16" s="1"/>
  <c r="O550" i="16"/>
  <c r="P550" i="16" s="1"/>
  <c r="O551" i="16"/>
  <c r="P551" i="16" s="1"/>
  <c r="O554" i="16"/>
  <c r="P554" i="16" s="1"/>
  <c r="O555" i="16"/>
  <c r="P555" i="16" s="1"/>
  <c r="O556" i="16"/>
  <c r="P556" i="16" s="1"/>
  <c r="O557" i="16"/>
  <c r="P557" i="16" s="1"/>
  <c r="O558" i="16"/>
  <c r="P558" i="16" s="1"/>
  <c r="O559" i="16"/>
  <c r="P559" i="16" s="1"/>
  <c r="O560" i="16"/>
  <c r="P560" i="16" s="1"/>
  <c r="O561" i="16"/>
  <c r="P561" i="16" s="1"/>
  <c r="O563" i="16"/>
  <c r="P563" i="16" s="1"/>
  <c r="O562" i="16"/>
  <c r="P562" i="16" s="1"/>
  <c r="O564" i="16"/>
  <c r="P564" i="16" s="1"/>
  <c r="O565" i="16"/>
  <c r="P565" i="16" s="1"/>
  <c r="O566" i="16"/>
  <c r="P566" i="16" s="1"/>
  <c r="O567" i="16"/>
  <c r="P567" i="16" s="1"/>
  <c r="O568" i="16"/>
  <c r="P568" i="16" s="1"/>
  <c r="O570" i="16"/>
  <c r="P570" i="16" s="1"/>
  <c r="O571" i="16"/>
  <c r="P571" i="16" s="1"/>
  <c r="O581" i="16"/>
  <c r="P581" i="16" s="1"/>
  <c r="O580" i="16"/>
  <c r="P580" i="16" s="1"/>
  <c r="O572" i="16"/>
  <c r="P572" i="16" s="1"/>
  <c r="O573" i="16"/>
  <c r="P573" i="16" s="1"/>
  <c r="O574" i="16"/>
  <c r="P574" i="16" s="1"/>
  <c r="O582" i="16"/>
  <c r="P582" i="16" s="1"/>
  <c r="O575" i="16"/>
  <c r="P575" i="16" s="1"/>
  <c r="O576" i="16"/>
  <c r="P576" i="16" s="1"/>
  <c r="O577" i="16"/>
  <c r="P577" i="16" s="1"/>
  <c r="O583" i="16"/>
  <c r="P583" i="16" s="1"/>
  <c r="O578" i="16"/>
  <c r="P578" i="16" s="1"/>
  <c r="O579" i="16"/>
  <c r="P579" i="16" s="1"/>
  <c r="O584" i="16"/>
  <c r="P584" i="16" s="1"/>
  <c r="O569" i="16"/>
  <c r="P569" i="16" s="1"/>
  <c r="O586" i="16"/>
  <c r="P586" i="16" s="1"/>
  <c r="O587" i="16"/>
  <c r="P587" i="16" s="1"/>
  <c r="O588" i="16"/>
  <c r="P588" i="16" s="1"/>
  <c r="O599" i="16"/>
  <c r="P599" i="16" s="1"/>
  <c r="O589" i="16"/>
  <c r="P589" i="16" s="1"/>
  <c r="O590" i="16"/>
  <c r="P590" i="16" s="1"/>
  <c r="O600" i="16"/>
  <c r="P600" i="16" s="1"/>
  <c r="O585" i="16"/>
  <c r="P585" i="16" s="1"/>
  <c r="O591" i="16"/>
  <c r="P591" i="16" s="1"/>
  <c r="O592" i="16"/>
  <c r="P592" i="16" s="1"/>
  <c r="O593" i="16"/>
  <c r="P593" i="16" s="1"/>
  <c r="O594" i="16"/>
  <c r="P594" i="16" s="1"/>
  <c r="O595" i="16"/>
  <c r="P595" i="16" s="1"/>
  <c r="O596" i="16"/>
  <c r="P596" i="16" s="1"/>
  <c r="O597" i="16"/>
  <c r="P597" i="16" s="1"/>
  <c r="O598" i="16"/>
  <c r="P598" i="16" s="1"/>
  <c r="O602" i="16"/>
  <c r="P602" i="16" s="1"/>
  <c r="O603" i="16"/>
  <c r="P603" i="16" s="1"/>
  <c r="O604" i="16"/>
  <c r="P604" i="16" s="1"/>
  <c r="O601" i="16"/>
  <c r="P601" i="16" s="1"/>
  <c r="O605" i="16"/>
  <c r="P605" i="16" s="1"/>
  <c r="O606" i="16"/>
  <c r="P606" i="16" s="1"/>
  <c r="O607" i="16"/>
  <c r="P607" i="16" s="1"/>
  <c r="O608" i="16"/>
  <c r="P608" i="16" s="1"/>
  <c r="O616" i="16"/>
  <c r="P616" i="16" s="1"/>
  <c r="O609" i="16"/>
  <c r="P609" i="16" s="1"/>
  <c r="O611" i="16"/>
  <c r="P611" i="16" s="1"/>
  <c r="O610" i="16"/>
  <c r="P610" i="16" s="1"/>
  <c r="O612" i="16"/>
  <c r="P612" i="16" s="1"/>
  <c r="O615" i="16"/>
  <c r="P615" i="16" s="1"/>
  <c r="O613" i="16"/>
  <c r="P613" i="16" s="1"/>
  <c r="O614" i="16"/>
  <c r="P614" i="16" s="1"/>
  <c r="O617" i="16"/>
  <c r="P617" i="16" s="1"/>
  <c r="O618" i="16"/>
  <c r="P618" i="16" s="1"/>
  <c r="O619" i="16"/>
  <c r="P619" i="16" s="1"/>
  <c r="O620" i="16"/>
  <c r="P620" i="16" s="1"/>
  <c r="O624" i="16"/>
  <c r="P624" i="16" s="1"/>
  <c r="O623" i="16"/>
  <c r="P623" i="16" s="1"/>
  <c r="O621" i="16"/>
  <c r="P621" i="16" s="1"/>
  <c r="O622" i="16"/>
  <c r="P622" i="16" s="1"/>
  <c r="O625" i="16"/>
  <c r="P625" i="16" s="1"/>
  <c r="O626" i="16"/>
  <c r="P626" i="16" s="1"/>
  <c r="O627" i="16"/>
  <c r="P627" i="16" s="1"/>
  <c r="O628" i="16"/>
  <c r="P628" i="16" s="1"/>
  <c r="O629" i="16"/>
  <c r="P629" i="16" s="1"/>
  <c r="O630" i="16"/>
  <c r="P630" i="16" s="1"/>
  <c r="O631" i="16"/>
  <c r="P631" i="16" s="1"/>
  <c r="O634" i="16"/>
  <c r="P634" i="16" s="1"/>
  <c r="O635" i="16"/>
  <c r="P635" i="16" s="1"/>
  <c r="O636" i="16"/>
  <c r="P636" i="16" s="1"/>
  <c r="O646" i="16"/>
  <c r="P646" i="16" s="1"/>
  <c r="O637" i="16"/>
  <c r="P637" i="16" s="1"/>
  <c r="O638" i="16"/>
  <c r="P638" i="16" s="1"/>
  <c r="O639" i="16"/>
  <c r="P639" i="16" s="1"/>
  <c r="O633" i="16"/>
  <c r="P633" i="16" s="1"/>
  <c r="O640" i="16"/>
  <c r="P640" i="16" s="1"/>
  <c r="O641" i="16"/>
  <c r="P641" i="16" s="1"/>
  <c r="O647" i="16"/>
  <c r="P647" i="16" s="1"/>
  <c r="O632" i="16"/>
  <c r="P632" i="16" s="1"/>
  <c r="O642" i="16"/>
  <c r="P642" i="16" s="1"/>
  <c r="O643" i="16"/>
  <c r="P643" i="16" s="1"/>
  <c r="O644" i="16"/>
  <c r="P644" i="16" s="1"/>
  <c r="O645" i="16"/>
  <c r="P645" i="16" s="1"/>
  <c r="O650" i="16"/>
  <c r="P650" i="16" s="1"/>
  <c r="O651" i="16"/>
  <c r="P651" i="16" s="1"/>
  <c r="O663" i="16"/>
  <c r="P663" i="16" s="1"/>
  <c r="O648" i="16"/>
  <c r="P648" i="16" s="1"/>
  <c r="O652" i="16"/>
  <c r="P652" i="16" s="1"/>
  <c r="O653" i="16"/>
  <c r="P653" i="16" s="1"/>
  <c r="O654" i="16"/>
  <c r="P654" i="16" s="1"/>
  <c r="O655" i="16"/>
  <c r="P655" i="16" s="1"/>
  <c r="O656" i="16"/>
  <c r="P656" i="16" s="1"/>
  <c r="O657" i="16"/>
  <c r="P657" i="16" s="1"/>
  <c r="O658" i="16"/>
  <c r="P658" i="16" s="1"/>
  <c r="O649" i="16"/>
  <c r="P649" i="16" s="1"/>
  <c r="O659" i="16"/>
  <c r="P659" i="16" s="1"/>
  <c r="O660" i="16"/>
  <c r="P660" i="16" s="1"/>
  <c r="O661" i="16"/>
  <c r="P661" i="16" s="1"/>
  <c r="O662" i="16"/>
  <c r="P662" i="16" s="1"/>
  <c r="O664" i="16"/>
  <c r="P664" i="16" s="1"/>
  <c r="O665" i="16"/>
  <c r="P665" i="16" s="1"/>
  <c r="O666" i="16"/>
  <c r="P666" i="16" s="1"/>
  <c r="O667" i="16"/>
  <c r="P667" i="16" s="1"/>
  <c r="O668" i="16"/>
  <c r="P668" i="16" s="1"/>
  <c r="O669" i="16"/>
  <c r="P669" i="16" s="1"/>
  <c r="O670" i="16"/>
  <c r="P670" i="16" s="1"/>
  <c r="O671" i="16"/>
  <c r="P671" i="16" s="1"/>
  <c r="O672" i="16"/>
  <c r="P672" i="16" s="1"/>
  <c r="O673" i="16"/>
  <c r="P673" i="16" s="1"/>
  <c r="O674" i="16"/>
  <c r="P674" i="16" s="1"/>
  <c r="O678" i="16"/>
  <c r="P678" i="16" s="1"/>
  <c r="O675" i="16"/>
  <c r="P675" i="16" s="1"/>
  <c r="O676" i="16"/>
  <c r="P676" i="16" s="1"/>
  <c r="O677" i="16"/>
  <c r="P677" i="16" s="1"/>
  <c r="O679" i="16"/>
  <c r="P679" i="16" s="1"/>
  <c r="O680" i="16"/>
  <c r="P680" i="16" s="1"/>
  <c r="O681" i="16"/>
  <c r="P681" i="16" s="1"/>
  <c r="O682" i="16"/>
  <c r="P682" i="16" s="1"/>
  <c r="O683" i="16"/>
  <c r="P683" i="16" s="1"/>
  <c r="O684" i="16"/>
  <c r="P684" i="16" s="1"/>
  <c r="O686" i="16"/>
  <c r="P686" i="16" s="1"/>
  <c r="O685" i="16"/>
  <c r="P685" i="16" s="1"/>
  <c r="O687" i="16"/>
  <c r="P687" i="16" s="1"/>
  <c r="O689" i="16"/>
  <c r="P689" i="16" s="1"/>
  <c r="O688" i="16"/>
  <c r="P688" i="16" s="1"/>
  <c r="O691" i="16"/>
  <c r="P691" i="16" s="1"/>
  <c r="O690" i="16"/>
  <c r="P690" i="16" s="1"/>
  <c r="O692" i="16"/>
  <c r="P692" i="16" s="1"/>
  <c r="O693" i="16"/>
  <c r="P693" i="16" s="1"/>
  <c r="O694" i="16"/>
  <c r="P694" i="16" s="1"/>
  <c r="O698" i="16"/>
  <c r="P698" i="16" s="1"/>
  <c r="O699" i="16"/>
  <c r="P699" i="16" s="1"/>
  <c r="O708" i="16"/>
  <c r="P708" i="16" s="1"/>
  <c r="O696" i="16"/>
  <c r="P696" i="16" s="1"/>
  <c r="O700" i="16"/>
  <c r="P700" i="16" s="1"/>
  <c r="O701" i="16"/>
  <c r="P701" i="16" s="1"/>
  <c r="O702" i="16"/>
  <c r="P702" i="16" s="1"/>
  <c r="O709" i="16"/>
  <c r="P709" i="16" s="1"/>
  <c r="O703" i="16"/>
  <c r="P703" i="16" s="1"/>
  <c r="O704" i="16"/>
  <c r="P704" i="16" s="1"/>
  <c r="O710" i="16"/>
  <c r="P710" i="16" s="1"/>
  <c r="O695" i="16"/>
  <c r="P695" i="16" s="1"/>
  <c r="O705" i="16"/>
  <c r="P705" i="16" s="1"/>
  <c r="O706" i="16"/>
  <c r="P706" i="16" s="1"/>
  <c r="O707" i="16"/>
  <c r="P707" i="16" s="1"/>
  <c r="O697" i="16"/>
  <c r="P697" i="16" s="1"/>
  <c r="O711" i="16"/>
  <c r="P711" i="16" s="1"/>
  <c r="O712" i="16"/>
  <c r="P712" i="16" s="1"/>
  <c r="O713" i="16"/>
  <c r="P713" i="16" s="1"/>
  <c r="O714" i="16"/>
  <c r="P714" i="16" s="1"/>
  <c r="O715" i="16"/>
  <c r="P715" i="16" s="1"/>
  <c r="O716" i="16"/>
  <c r="P716" i="16" s="1"/>
  <c r="O717" i="16"/>
  <c r="P717" i="16" s="1"/>
  <c r="O725" i="16"/>
  <c r="P725" i="16" s="1"/>
  <c r="O718" i="16"/>
  <c r="P718" i="16" s="1"/>
  <c r="O719" i="16"/>
  <c r="P719" i="16" s="1"/>
  <c r="O720" i="16"/>
  <c r="P720" i="16" s="1"/>
  <c r="O724" i="16"/>
  <c r="P724" i="16" s="1"/>
  <c r="O721" i="16"/>
  <c r="P721" i="16" s="1"/>
  <c r="O722" i="16"/>
  <c r="P722" i="16" s="1"/>
  <c r="O723" i="16"/>
  <c r="P723" i="16" s="1"/>
  <c r="O726" i="16"/>
  <c r="P726" i="16" s="1"/>
  <c r="O729" i="16"/>
  <c r="P729" i="16" s="1"/>
  <c r="O727" i="16"/>
  <c r="P727" i="16" s="1"/>
  <c r="O730" i="16"/>
  <c r="P730" i="16" s="1"/>
  <c r="O731" i="16"/>
  <c r="P731" i="16" s="1"/>
  <c r="O732" i="16"/>
  <c r="P732" i="16" s="1"/>
  <c r="O733" i="16"/>
  <c r="P733" i="16" s="1"/>
  <c r="O734" i="16"/>
  <c r="P734" i="16" s="1"/>
  <c r="O728" i="16"/>
  <c r="P728" i="16" s="1"/>
  <c r="O735" i="16"/>
  <c r="P735" i="16" s="1"/>
  <c r="O736" i="16"/>
  <c r="P736" i="16" s="1"/>
  <c r="O737" i="16"/>
  <c r="P737" i="16" s="1"/>
  <c r="O742" i="16"/>
  <c r="P742" i="16" s="1"/>
  <c r="O738" i="16"/>
  <c r="P738" i="16" s="1"/>
  <c r="O739" i="16"/>
  <c r="P739" i="16" s="1"/>
  <c r="O740" i="16"/>
  <c r="P740" i="16" s="1"/>
  <c r="O741" i="16"/>
  <c r="P741" i="16" s="1"/>
  <c r="O743" i="16"/>
  <c r="P743" i="16" s="1"/>
  <c r="O744" i="16"/>
  <c r="P744" i="16" s="1"/>
  <c r="O745" i="16"/>
  <c r="P745" i="16" s="1"/>
  <c r="O746" i="16"/>
  <c r="P746" i="16" s="1"/>
  <c r="O747" i="16"/>
  <c r="P747" i="16" s="1"/>
  <c r="O750" i="16"/>
  <c r="P750" i="16" s="1"/>
  <c r="O748" i="16"/>
  <c r="P748" i="16" s="1"/>
  <c r="O749" i="16"/>
  <c r="P749" i="16" s="1"/>
  <c r="O751" i="16"/>
  <c r="P751" i="16" s="1"/>
  <c r="O752" i="16"/>
  <c r="P752" i="16" s="1"/>
  <c r="O753" i="16"/>
  <c r="P753" i="16" s="1"/>
  <c r="O754" i="16"/>
  <c r="P754" i="16" s="1"/>
  <c r="O755" i="16"/>
  <c r="P755" i="16" s="1"/>
  <c r="O756" i="16"/>
  <c r="P756" i="16" s="1"/>
  <c r="O757" i="16"/>
  <c r="P757" i="16" s="1"/>
  <c r="O759" i="16"/>
  <c r="P759" i="16" s="1"/>
  <c r="O760" i="16"/>
  <c r="P760" i="16" s="1"/>
  <c r="O761" i="16"/>
  <c r="P761" i="16" s="1"/>
  <c r="O773" i="16"/>
  <c r="P773" i="16" s="1"/>
  <c r="O762" i="16"/>
  <c r="P762" i="16" s="1"/>
  <c r="O763" i="16"/>
  <c r="P763" i="16" s="1"/>
  <c r="O764" i="16"/>
  <c r="P764" i="16" s="1"/>
  <c r="O765" i="16"/>
  <c r="P765" i="16" s="1"/>
  <c r="O766" i="16"/>
  <c r="P766" i="16" s="1"/>
  <c r="O767" i="16"/>
  <c r="P767" i="16" s="1"/>
  <c r="O768" i="16"/>
  <c r="P768" i="16" s="1"/>
  <c r="O758" i="16"/>
  <c r="P758" i="16" s="1"/>
  <c r="O769" i="16"/>
  <c r="P769" i="16" s="1"/>
  <c r="O770" i="16"/>
  <c r="P770" i="16" s="1"/>
  <c r="O771" i="16"/>
  <c r="P771" i="16" s="1"/>
  <c r="O772" i="16"/>
  <c r="P772" i="16" s="1"/>
  <c r="O776" i="16"/>
  <c r="P776" i="16" s="1"/>
  <c r="O777" i="16"/>
  <c r="P777" i="16" s="1"/>
  <c r="O787" i="16"/>
  <c r="P787" i="16" s="1"/>
  <c r="O774" i="16"/>
  <c r="P774" i="16" s="1"/>
  <c r="O778" i="16"/>
  <c r="P778" i="16" s="1"/>
  <c r="O779" i="16"/>
  <c r="P779" i="16" s="1"/>
  <c r="O780" i="16"/>
  <c r="P780" i="16" s="1"/>
  <c r="O789" i="16"/>
  <c r="P789" i="16" s="1"/>
  <c r="O781" i="16"/>
  <c r="P781" i="16" s="1"/>
  <c r="O782" i="16"/>
  <c r="P782" i="16" s="1"/>
  <c r="O788" i="16"/>
  <c r="P788" i="16" s="1"/>
  <c r="O775" i="16"/>
  <c r="P775" i="16" s="1"/>
  <c r="O783" i="16"/>
  <c r="P783" i="16" s="1"/>
  <c r="O784" i="16"/>
  <c r="P784" i="16" s="1"/>
  <c r="O785" i="16"/>
  <c r="P785" i="16" s="1"/>
  <c r="O786" i="16"/>
  <c r="P786" i="16" s="1"/>
  <c r="O790" i="16"/>
  <c r="P790" i="16" s="1"/>
  <c r="O797" i="16"/>
  <c r="P797" i="16" s="1"/>
  <c r="O791" i="16"/>
  <c r="P791" i="16" s="1"/>
  <c r="O796" i="16"/>
  <c r="P796" i="16" s="1"/>
  <c r="O792" i="16"/>
  <c r="P792" i="16" s="1"/>
  <c r="O793" i="16"/>
  <c r="P793" i="16" s="1"/>
  <c r="O794" i="16"/>
  <c r="P794" i="16" s="1"/>
  <c r="O795" i="16"/>
  <c r="P795" i="16" s="1"/>
  <c r="O804" i="16"/>
  <c r="P804" i="16" s="1"/>
  <c r="O800" i="16"/>
  <c r="P800" i="16" s="1"/>
  <c r="O801" i="16"/>
  <c r="P801" i="16" s="1"/>
  <c r="O802" i="16"/>
  <c r="P802" i="16" s="1"/>
  <c r="O798" i="16"/>
  <c r="P798" i="16" s="1"/>
  <c r="O799" i="16"/>
  <c r="P799" i="16" s="1"/>
  <c r="O803" i="16"/>
  <c r="P803" i="16" s="1"/>
  <c r="O805" i="16"/>
  <c r="P805" i="16" s="1"/>
  <c r="O806" i="16"/>
  <c r="P806" i="16" s="1"/>
  <c r="O807" i="16"/>
  <c r="P807" i="16" s="1"/>
  <c r="O808" i="16"/>
  <c r="P808" i="16" s="1"/>
  <c r="O809" i="16"/>
  <c r="P809" i="16" s="1"/>
  <c r="O810" i="16"/>
  <c r="P810" i="16" s="1"/>
  <c r="O811" i="16"/>
  <c r="P811" i="16" s="1"/>
  <c r="O813" i="16"/>
  <c r="P813" i="16" s="1"/>
  <c r="O812" i="16"/>
  <c r="P812" i="16" s="1"/>
  <c r="O814" i="16"/>
  <c r="P814" i="16" s="1"/>
  <c r="O815" i="16"/>
  <c r="P815" i="16" s="1"/>
  <c r="O816" i="16"/>
  <c r="P816" i="16" s="1"/>
  <c r="O817" i="16"/>
  <c r="P817" i="16" s="1"/>
  <c r="O818" i="16"/>
  <c r="P818" i="16" s="1"/>
  <c r="O819" i="16"/>
  <c r="P819" i="16" s="1"/>
  <c r="O820" i="16"/>
  <c r="P820" i="16" s="1"/>
  <c r="O823" i="16"/>
  <c r="P823" i="16" s="1"/>
  <c r="O824" i="16"/>
  <c r="P824" i="16" s="1"/>
  <c r="O825" i="16"/>
  <c r="P825" i="16" s="1"/>
  <c r="O826" i="16"/>
  <c r="P826" i="16" s="1"/>
  <c r="O827" i="16"/>
  <c r="P827" i="16" s="1"/>
  <c r="O828" i="16"/>
  <c r="P828" i="16" s="1"/>
  <c r="O822" i="16"/>
  <c r="P822" i="16" s="1"/>
  <c r="O821" i="16"/>
  <c r="P821" i="16" s="1"/>
  <c r="O829" i="16"/>
  <c r="P829" i="16" s="1"/>
  <c r="O830" i="16"/>
  <c r="P830" i="16" s="1"/>
  <c r="O831" i="16"/>
  <c r="P831" i="16" s="1"/>
  <c r="O832" i="16"/>
  <c r="P832" i="16" s="1"/>
  <c r="O833" i="16"/>
  <c r="P833" i="16" s="1"/>
  <c r="O834" i="16"/>
  <c r="P834" i="16" s="1"/>
  <c r="O836" i="16"/>
  <c r="P836" i="16" s="1"/>
  <c r="O835" i="16"/>
  <c r="P835" i="16" s="1"/>
  <c r="O840" i="16"/>
  <c r="P840" i="16" s="1"/>
  <c r="O841" i="16"/>
  <c r="P841" i="16" s="1"/>
  <c r="O842" i="16"/>
  <c r="P842" i="16" s="1"/>
  <c r="O843" i="16"/>
  <c r="P843" i="16" s="1"/>
  <c r="O851" i="16"/>
  <c r="P851" i="16" s="1"/>
  <c r="O839" i="16"/>
  <c r="P839" i="16" s="1"/>
  <c r="O838" i="16"/>
  <c r="P838" i="16" s="1"/>
  <c r="O837" i="16"/>
  <c r="P837" i="16" s="1"/>
  <c r="O844" i="16"/>
  <c r="P844" i="16" s="1"/>
  <c r="O845" i="16"/>
  <c r="P845" i="16" s="1"/>
  <c r="O846" i="16"/>
  <c r="P846" i="16" s="1"/>
  <c r="O847" i="16"/>
  <c r="P847" i="16" s="1"/>
  <c r="O848" i="16"/>
  <c r="P848" i="16" s="1"/>
  <c r="O849" i="16"/>
  <c r="P849" i="16" s="1"/>
  <c r="O850" i="16"/>
  <c r="P850" i="16" s="1"/>
  <c r="O852" i="16"/>
  <c r="P852" i="16" s="1"/>
  <c r="O854" i="16"/>
  <c r="P854" i="16" s="1"/>
  <c r="O855" i="16"/>
  <c r="P855" i="16" s="1"/>
  <c r="O856" i="16"/>
  <c r="P856" i="16" s="1"/>
  <c r="O857" i="16"/>
  <c r="P857" i="16" s="1"/>
  <c r="O858" i="16"/>
  <c r="P858" i="16" s="1"/>
  <c r="O859" i="16"/>
  <c r="P859" i="16" s="1"/>
  <c r="O860" i="16"/>
  <c r="P860" i="16" s="1"/>
  <c r="O853" i="16"/>
  <c r="P853" i="16" s="1"/>
  <c r="O862" i="16"/>
  <c r="P862" i="16" s="1"/>
  <c r="O863" i="16"/>
  <c r="P863" i="16" s="1"/>
  <c r="O861" i="16"/>
  <c r="P861" i="16" s="1"/>
  <c r="O867" i="16"/>
  <c r="P867" i="16" s="1"/>
  <c r="O864" i="16"/>
  <c r="P864" i="16" s="1"/>
  <c r="O865" i="16"/>
  <c r="P865" i="16" s="1"/>
  <c r="O868" i="16"/>
  <c r="P868" i="16" s="1"/>
  <c r="O866" i="16"/>
  <c r="P866" i="16" s="1"/>
  <c r="O869" i="16"/>
  <c r="P869" i="16" s="1"/>
  <c r="O870" i="16"/>
  <c r="P870" i="16" s="1"/>
  <c r="O871" i="16"/>
  <c r="P871" i="16" s="1"/>
  <c r="O872" i="16"/>
  <c r="P872" i="16" s="1"/>
  <c r="O876" i="16"/>
  <c r="P876" i="16" s="1"/>
  <c r="O873" i="16"/>
  <c r="P873" i="16" s="1"/>
  <c r="O874" i="16"/>
  <c r="P874" i="16" s="1"/>
  <c r="O875" i="16"/>
  <c r="P875" i="16" s="1"/>
  <c r="O877" i="16"/>
  <c r="P877" i="16" s="1"/>
  <c r="O878" i="16"/>
  <c r="P878" i="16" s="1"/>
  <c r="O879" i="16"/>
  <c r="P879" i="16" s="1"/>
  <c r="O880" i="16"/>
  <c r="P880" i="16" s="1"/>
  <c r="O881" i="16"/>
  <c r="P881" i="16" s="1"/>
  <c r="O882" i="16"/>
  <c r="P882" i="16" s="1"/>
  <c r="O883" i="16"/>
  <c r="P883" i="16" s="1"/>
  <c r="O886" i="16"/>
  <c r="P886" i="16" s="1"/>
  <c r="O887" i="16"/>
  <c r="P887" i="16" s="1"/>
  <c r="O888" i="16"/>
  <c r="P888" i="16" s="1"/>
  <c r="O889" i="16"/>
  <c r="P889" i="16" s="1"/>
  <c r="O890" i="16"/>
  <c r="P890" i="16" s="1"/>
  <c r="O898" i="16"/>
  <c r="P898" i="16" s="1"/>
  <c r="O896" i="16"/>
  <c r="P896" i="16" s="1"/>
  <c r="O885" i="16"/>
  <c r="P885" i="16" s="1"/>
  <c r="O891" i="16"/>
  <c r="P891" i="16" s="1"/>
  <c r="O892" i="16"/>
  <c r="P892" i="16" s="1"/>
  <c r="O893" i="16"/>
  <c r="P893" i="16" s="1"/>
  <c r="O894" i="16"/>
  <c r="P894" i="16" s="1"/>
  <c r="O895" i="16"/>
  <c r="P895" i="16" s="1"/>
  <c r="O899" i="16"/>
  <c r="P899" i="16" s="1"/>
  <c r="O897" i="16"/>
  <c r="P897" i="16" s="1"/>
  <c r="O884" i="16"/>
  <c r="P884" i="16" s="1"/>
  <c r="O902" i="16"/>
  <c r="P902" i="16" s="1"/>
  <c r="O903" i="16"/>
  <c r="P903" i="16" s="1"/>
  <c r="O904" i="16"/>
  <c r="P904" i="16" s="1"/>
  <c r="O905" i="16"/>
  <c r="P905" i="16" s="1"/>
  <c r="O906" i="16"/>
  <c r="P906" i="16" s="1"/>
  <c r="O914" i="16"/>
  <c r="P914" i="16" s="1"/>
  <c r="O912" i="16"/>
  <c r="P912" i="16" s="1"/>
  <c r="O901" i="16"/>
  <c r="P901" i="16" s="1"/>
  <c r="O907" i="16"/>
  <c r="P907" i="16" s="1"/>
  <c r="O908" i="16"/>
  <c r="P908" i="16" s="1"/>
  <c r="O909" i="16"/>
  <c r="P909" i="16" s="1"/>
  <c r="O910" i="16"/>
  <c r="P910" i="16" s="1"/>
  <c r="O911" i="16"/>
  <c r="P911" i="16" s="1"/>
  <c r="O915" i="16"/>
  <c r="P915" i="16" s="1"/>
  <c r="O913" i="16"/>
  <c r="P913" i="16" s="1"/>
  <c r="O900" i="16"/>
  <c r="P900" i="16" s="1"/>
  <c r="O917" i="16"/>
  <c r="P917" i="16" s="1"/>
  <c r="O918" i="16"/>
  <c r="P918" i="16" s="1"/>
  <c r="O919" i="16"/>
  <c r="P919" i="16" s="1"/>
  <c r="O920" i="16"/>
  <c r="P920" i="16" s="1"/>
  <c r="O921" i="16"/>
  <c r="P921" i="16" s="1"/>
  <c r="O923" i="16"/>
  <c r="P923" i="16" s="1"/>
  <c r="O922" i="16"/>
  <c r="P922" i="16" s="1"/>
  <c r="O916" i="16"/>
  <c r="P916" i="16" s="1"/>
  <c r="O928" i="16"/>
  <c r="P928" i="16" s="1"/>
  <c r="O931" i="16"/>
  <c r="P931" i="16" s="1"/>
  <c r="O924" i="16"/>
  <c r="P924" i="16" s="1"/>
  <c r="O925" i="16"/>
  <c r="P925" i="16" s="1"/>
  <c r="O929" i="16"/>
  <c r="P929" i="16" s="1"/>
  <c r="O930" i="16"/>
  <c r="P930" i="16" s="1"/>
  <c r="O926" i="16"/>
  <c r="P926" i="16" s="1"/>
  <c r="O927" i="16"/>
  <c r="P927" i="16" s="1"/>
  <c r="O935" i="16"/>
  <c r="P935" i="16" s="1"/>
  <c r="O934" i="16"/>
  <c r="P934" i="16" s="1"/>
  <c r="O932" i="16"/>
  <c r="P932" i="16" s="1"/>
  <c r="O933" i="16"/>
  <c r="P933" i="16" s="1"/>
  <c r="O936" i="16"/>
  <c r="P936" i="16" s="1"/>
  <c r="O937" i="16"/>
  <c r="P937" i="16" s="1"/>
  <c r="O938" i="16"/>
  <c r="P938" i="16" s="1"/>
  <c r="O939" i="16"/>
  <c r="P939" i="16" s="1"/>
  <c r="O941" i="16"/>
  <c r="P941" i="16" s="1"/>
  <c r="O940" i="16"/>
  <c r="P940" i="16" s="1"/>
  <c r="O942" i="16"/>
  <c r="P942" i="16" s="1"/>
  <c r="O943" i="16"/>
  <c r="P943" i="16" s="1"/>
  <c r="O944" i="16"/>
  <c r="P944" i="16" s="1"/>
  <c r="O945" i="16"/>
  <c r="P945" i="16" s="1"/>
  <c r="O946" i="16"/>
  <c r="P946" i="16" s="1"/>
  <c r="O947" i="16"/>
  <c r="P947" i="16" s="1"/>
  <c r="O948" i="16"/>
  <c r="P948" i="16" s="1"/>
  <c r="O949" i="16"/>
  <c r="P949" i="16" s="1"/>
  <c r="O950" i="16"/>
  <c r="P950" i="16" s="1"/>
  <c r="O951" i="16"/>
  <c r="P951" i="16" s="1"/>
  <c r="O952" i="16"/>
  <c r="P952" i="16" s="1"/>
  <c r="O953" i="16"/>
  <c r="P953" i="16" s="1"/>
  <c r="O954" i="16"/>
  <c r="P954" i="16" s="1"/>
  <c r="O955" i="16"/>
  <c r="P955" i="16" s="1"/>
  <c r="O956" i="16"/>
  <c r="P956" i="16" s="1"/>
  <c r="O957" i="16"/>
  <c r="P957" i="16" s="1"/>
  <c r="O958" i="16"/>
  <c r="P958" i="16" s="1"/>
  <c r="O959" i="16"/>
  <c r="P959" i="16" s="1"/>
  <c r="O960" i="16"/>
  <c r="P960" i="16" s="1"/>
  <c r="O961" i="16"/>
  <c r="P961" i="16" s="1"/>
  <c r="O962" i="16"/>
  <c r="P962" i="16" s="1"/>
  <c r="O964" i="16"/>
  <c r="P964" i="16" s="1"/>
  <c r="O965" i="16"/>
  <c r="P965" i="16" s="1"/>
  <c r="O966" i="16"/>
  <c r="P966" i="16" s="1"/>
  <c r="O967" i="16"/>
  <c r="P967" i="16" s="1"/>
  <c r="O968" i="16"/>
  <c r="P968" i="16" s="1"/>
  <c r="O969" i="16"/>
  <c r="P969" i="16" s="1"/>
  <c r="O978" i="16"/>
  <c r="P978" i="16" s="1"/>
  <c r="O963" i="16"/>
  <c r="P963" i="16" s="1"/>
  <c r="O970" i="16"/>
  <c r="P970" i="16" s="1"/>
  <c r="O971" i="16"/>
  <c r="P971" i="16" s="1"/>
  <c r="O972" i="16"/>
  <c r="P972" i="16" s="1"/>
  <c r="O973" i="16"/>
  <c r="P973" i="16" s="1"/>
  <c r="O974" i="16"/>
  <c r="P974" i="16" s="1"/>
  <c r="O975" i="16"/>
  <c r="P975" i="16" s="1"/>
  <c r="O976" i="16"/>
  <c r="P976" i="16" s="1"/>
  <c r="O977" i="16"/>
  <c r="P977" i="16" s="1"/>
  <c r="O981" i="16"/>
  <c r="P981" i="16" s="1"/>
  <c r="O982" i="16"/>
  <c r="P982" i="16" s="1"/>
  <c r="O983" i="16"/>
  <c r="P983" i="16" s="1"/>
  <c r="O985" i="16"/>
  <c r="P985" i="16" s="1"/>
  <c r="O984" i="16"/>
  <c r="P984" i="16" s="1"/>
  <c r="O986" i="16"/>
  <c r="P986" i="16" s="1"/>
  <c r="O980" i="16"/>
  <c r="P980" i="16" s="1"/>
  <c r="O979" i="16"/>
  <c r="P979" i="16" s="1"/>
  <c r="O990" i="16"/>
  <c r="P990" i="16" s="1"/>
  <c r="O991" i="16"/>
  <c r="P991" i="16" s="1"/>
  <c r="O994" i="16"/>
  <c r="P994" i="16" s="1"/>
  <c r="O987" i="16"/>
  <c r="P987" i="16" s="1"/>
  <c r="O992" i="16"/>
  <c r="P992" i="16" s="1"/>
  <c r="O993" i="16"/>
  <c r="P993" i="16" s="1"/>
  <c r="O989" i="16"/>
  <c r="P989" i="16" s="1"/>
  <c r="O988" i="16"/>
  <c r="P988" i="16" s="1"/>
  <c r="O995" i="16"/>
  <c r="P995" i="16" s="1"/>
  <c r="O996" i="16"/>
  <c r="P996" i="16" s="1"/>
  <c r="O997" i="16"/>
  <c r="P997" i="16" s="1"/>
  <c r="O998" i="16"/>
  <c r="P998" i="16" s="1"/>
  <c r="O999" i="16"/>
  <c r="P999" i="16" s="1"/>
  <c r="O1000" i="16"/>
  <c r="P1000" i="16" s="1"/>
  <c r="O1002" i="16"/>
  <c r="P1002" i="16" s="1"/>
  <c r="O1001" i="16"/>
  <c r="P1001" i="16" s="1"/>
  <c r="O1003" i="16"/>
  <c r="P1003" i="16" s="1"/>
  <c r="O1004" i="16"/>
  <c r="P1004" i="16" s="1"/>
  <c r="O1005" i="16"/>
  <c r="P1005" i="16" s="1"/>
  <c r="O1006" i="16"/>
  <c r="P1006" i="16" s="1"/>
  <c r="O1007" i="16"/>
  <c r="P1007" i="16" s="1"/>
  <c r="O1008" i="16"/>
  <c r="P1008" i="16" s="1"/>
  <c r="O1009" i="16"/>
  <c r="P1009" i="16" s="1"/>
  <c r="O1010" i="16"/>
  <c r="P1010" i="16" s="1"/>
  <c r="O1015" i="16"/>
  <c r="P1015" i="16" s="1"/>
  <c r="O1016" i="16"/>
  <c r="P1016" i="16" s="1"/>
  <c r="O1017" i="16"/>
  <c r="P1017" i="16" s="1"/>
  <c r="O1018" i="16"/>
  <c r="P1018" i="16" s="1"/>
  <c r="O1019" i="16"/>
  <c r="P1019" i="16" s="1"/>
  <c r="O1020" i="16"/>
  <c r="P1020" i="16" s="1"/>
  <c r="O1025" i="16"/>
  <c r="P1025" i="16" s="1"/>
  <c r="O1013" i="16"/>
  <c r="P1013" i="16" s="1"/>
  <c r="O1021" i="16"/>
  <c r="P1021" i="16" s="1"/>
  <c r="O1022" i="16"/>
  <c r="P1022" i="16" s="1"/>
  <c r="O1023" i="16"/>
  <c r="P1023" i="16" s="1"/>
  <c r="O1026" i="16"/>
  <c r="P1026" i="16" s="1"/>
  <c r="O1024" i="16"/>
  <c r="P1024" i="16" s="1"/>
  <c r="O1014" i="16"/>
  <c r="P1014" i="16" s="1"/>
  <c r="O1012" i="16"/>
  <c r="P1012" i="16" s="1"/>
  <c r="O1011" i="16"/>
  <c r="P1011" i="16" s="1"/>
  <c r="O1030" i="16"/>
  <c r="P1030" i="16" s="1"/>
  <c r="O1031" i="16"/>
  <c r="P1031" i="16" s="1"/>
  <c r="O1032" i="16"/>
  <c r="P1032" i="16" s="1"/>
  <c r="O1033" i="16"/>
  <c r="P1033" i="16" s="1"/>
  <c r="O1034" i="16"/>
  <c r="P1034" i="16" s="1"/>
  <c r="O1035" i="16"/>
  <c r="P1035" i="16" s="1"/>
  <c r="O1041" i="16"/>
  <c r="P1041" i="16" s="1"/>
  <c r="O1040" i="16"/>
  <c r="P1040" i="16" s="1"/>
  <c r="O1036" i="16"/>
  <c r="P1036" i="16" s="1"/>
  <c r="O1037" i="16"/>
  <c r="P1037" i="16" s="1"/>
  <c r="O1038" i="16"/>
  <c r="P1038" i="16" s="1"/>
  <c r="O1039" i="16"/>
  <c r="P1039" i="16" s="1"/>
  <c r="O1042" i="16"/>
  <c r="P1042" i="16" s="1"/>
  <c r="O1029" i="16"/>
  <c r="P1029" i="16" s="1"/>
  <c r="O1028" i="16"/>
  <c r="P1028" i="16" s="1"/>
  <c r="O1027" i="16"/>
  <c r="P1027" i="16" s="1"/>
  <c r="O1043" i="16"/>
  <c r="P1043" i="16" s="1"/>
  <c r="O1044" i="16"/>
  <c r="P1044" i="16" s="1"/>
  <c r="O1045" i="16"/>
  <c r="P1045" i="16" s="1"/>
  <c r="O1050" i="16"/>
  <c r="P1050" i="16" s="1"/>
  <c r="O1046" i="16"/>
  <c r="P1046" i="16" s="1"/>
  <c r="O1047" i="16"/>
  <c r="P1047" i="16" s="1"/>
  <c r="O1048" i="16"/>
  <c r="P1048" i="16" s="1"/>
  <c r="O1049" i="16"/>
  <c r="P1049" i="16" s="1"/>
  <c r="O1053" i="16"/>
  <c r="P1053" i="16" s="1"/>
  <c r="O1054" i="16"/>
  <c r="P1054" i="16" s="1"/>
  <c r="O1055" i="16"/>
  <c r="P1055" i="16" s="1"/>
  <c r="O1056" i="16"/>
  <c r="P1056" i="16" s="1"/>
  <c r="O1057" i="16"/>
  <c r="P1057" i="16" s="1"/>
  <c r="O1052" i="16"/>
  <c r="P1052" i="16" s="1"/>
  <c r="O1051" i="16"/>
  <c r="P1051" i="16" s="1"/>
  <c r="O1058" i="16"/>
  <c r="P1058" i="16" s="1"/>
  <c r="O1060" i="16"/>
  <c r="P1060" i="16" s="1"/>
  <c r="O1059" i="16"/>
  <c r="P1059" i="16" s="1"/>
  <c r="O1061" i="16"/>
  <c r="P1061" i="16" s="1"/>
  <c r="O1062" i="16"/>
  <c r="P1062" i="16" s="1"/>
  <c r="O1064" i="16"/>
  <c r="P1064" i="16" s="1"/>
  <c r="O1065" i="16"/>
  <c r="P1065" i="16" s="1"/>
  <c r="O1066" i="16"/>
  <c r="P1066" i="16" s="1"/>
  <c r="O1063" i="16"/>
  <c r="P1063" i="16" s="1"/>
  <c r="O1067" i="16"/>
  <c r="P1067" i="16" s="1"/>
  <c r="O1068" i="16"/>
  <c r="P1068" i="16" s="1"/>
  <c r="O1070" i="16"/>
  <c r="P1070" i="16" s="1"/>
  <c r="O1069" i="16"/>
  <c r="P1069" i="16" s="1"/>
  <c r="O1071" i="16"/>
  <c r="P1071" i="16" s="1"/>
  <c r="O1072" i="16"/>
  <c r="P1072" i="16" s="1"/>
  <c r="O1073" i="16"/>
  <c r="P1073" i="16" s="1"/>
  <c r="O1074" i="16"/>
  <c r="P1074" i="16" s="1"/>
  <c r="O1079" i="16"/>
  <c r="P1079" i="16" s="1"/>
  <c r="O1076" i="16"/>
  <c r="P1076" i="16" s="1"/>
  <c r="O1080" i="16"/>
  <c r="P1080" i="16" s="1"/>
  <c r="O1081" i="16"/>
  <c r="P1081" i="16" s="1"/>
  <c r="O1082" i="16"/>
  <c r="P1082" i="16" s="1"/>
  <c r="O1083" i="16"/>
  <c r="P1083" i="16" s="1"/>
  <c r="O1084" i="16"/>
  <c r="P1084" i="16" s="1"/>
  <c r="O1085" i="16"/>
  <c r="P1085" i="16" s="1"/>
  <c r="O1086" i="16"/>
  <c r="P1086" i="16" s="1"/>
  <c r="O1087" i="16"/>
  <c r="P1087" i="16" s="1"/>
  <c r="O1090" i="16"/>
  <c r="P1090" i="16" s="1"/>
  <c r="O1075" i="16"/>
  <c r="P1075" i="16" s="1"/>
  <c r="O1088" i="16"/>
  <c r="P1088" i="16" s="1"/>
  <c r="O1089" i="16"/>
  <c r="P1089" i="16" s="1"/>
  <c r="O1078" i="16"/>
  <c r="P1078" i="16" s="1"/>
  <c r="O1077" i="16"/>
  <c r="P1077" i="16" s="1"/>
  <c r="O1093" i="16"/>
  <c r="P1093" i="16" s="1"/>
  <c r="O1094" i="16"/>
  <c r="P1094" i="16" s="1"/>
  <c r="O1095" i="16"/>
  <c r="P1095" i="16" s="1"/>
  <c r="O1096" i="16"/>
  <c r="P1096" i="16" s="1"/>
  <c r="O1097" i="16"/>
  <c r="P1097" i="16" s="1"/>
  <c r="O1092" i="16"/>
  <c r="P1092" i="16" s="1"/>
  <c r="O1098" i="16"/>
  <c r="P1098" i="16" s="1"/>
  <c r="O1099" i="16"/>
  <c r="P1099" i="16" s="1"/>
  <c r="O1100" i="16"/>
  <c r="P1100" i="16" s="1"/>
  <c r="O1091" i="16"/>
  <c r="P1091" i="16" s="1"/>
  <c r="O1101" i="16"/>
  <c r="P1101" i="16" s="1"/>
  <c r="O1102" i="16"/>
  <c r="P1102" i="16" s="1"/>
  <c r="O1103" i="16"/>
  <c r="P1103" i="16" s="1"/>
  <c r="O1104" i="16"/>
  <c r="P1104" i="16" s="1"/>
  <c r="O1105" i="16"/>
  <c r="P1105" i="16" s="1"/>
  <c r="O1106" i="16"/>
  <c r="P1106" i="16" s="1"/>
  <c r="O1109" i="16"/>
  <c r="P1109" i="16" s="1"/>
  <c r="O1110" i="16"/>
  <c r="P1110" i="16" s="1"/>
  <c r="O1111" i="16"/>
  <c r="P1111" i="16" s="1"/>
  <c r="O1112" i="16"/>
  <c r="P1112" i="16" s="1"/>
  <c r="O1113" i="16"/>
  <c r="P1113" i="16" s="1"/>
  <c r="O1107" i="16"/>
  <c r="P1107" i="16" s="1"/>
  <c r="O1114" i="16"/>
  <c r="P1114" i="16" s="1"/>
  <c r="O1108" i="16"/>
  <c r="P1108" i="16" s="1"/>
  <c r="O1117" i="16"/>
  <c r="P1117" i="16" s="1"/>
  <c r="O1118" i="16"/>
  <c r="P1118" i="16" s="1"/>
  <c r="O1115" i="16"/>
  <c r="P1115" i="16" s="1"/>
  <c r="O1119" i="16"/>
  <c r="P1119" i="16" s="1"/>
  <c r="O1122" i="16"/>
  <c r="P1122" i="16" s="1"/>
  <c r="O1120" i="16"/>
  <c r="P1120" i="16" s="1"/>
  <c r="O1121" i="16"/>
  <c r="P1121" i="16" s="1"/>
  <c r="O1116" i="16"/>
  <c r="P1116" i="16" s="1"/>
  <c r="O1124" i="16"/>
  <c r="P1124" i="16" s="1"/>
  <c r="O1123" i="16"/>
  <c r="P1123" i="16" s="1"/>
  <c r="O1126" i="16"/>
  <c r="P1126" i="16" s="1"/>
  <c r="O1125" i="16"/>
  <c r="P1125" i="16" s="1"/>
  <c r="O1127" i="16"/>
  <c r="P1127" i="16" s="1"/>
  <c r="O1128" i="16"/>
  <c r="P1128" i="16" s="1"/>
  <c r="O1129" i="16"/>
  <c r="P1129" i="16" s="1"/>
  <c r="O1130" i="16"/>
  <c r="P1130" i="16" s="1"/>
  <c r="O1131" i="16"/>
  <c r="P1131" i="16" s="1"/>
  <c r="O1132" i="16"/>
  <c r="P1132" i="16" s="1"/>
  <c r="O1133" i="16"/>
  <c r="P1133" i="16" s="1"/>
  <c r="O1134" i="16"/>
  <c r="P1134" i="16" s="1"/>
  <c r="O1135" i="16"/>
  <c r="P1135" i="16" s="1"/>
  <c r="O1136" i="16"/>
  <c r="P1136" i="16" s="1"/>
  <c r="O1137" i="16"/>
  <c r="P1137" i="16" s="1"/>
  <c r="O1138" i="16"/>
  <c r="P1138" i="16" s="1"/>
  <c r="O1141" i="16"/>
  <c r="P1141" i="16" s="1"/>
  <c r="O1142" i="16"/>
  <c r="P1142" i="16" s="1"/>
  <c r="O1143" i="16"/>
  <c r="P1143" i="16" s="1"/>
  <c r="O1144" i="16"/>
  <c r="P1144" i="16" s="1"/>
  <c r="O1145" i="16"/>
  <c r="P1145" i="16" s="1"/>
  <c r="O1139" i="16"/>
  <c r="P1139" i="16" s="1"/>
  <c r="O1146" i="16"/>
  <c r="P1146" i="16" s="1"/>
  <c r="O1147" i="16"/>
  <c r="P1147" i="16" s="1"/>
  <c r="O1148" i="16"/>
  <c r="P1148" i="16" s="1"/>
  <c r="O1149" i="16"/>
  <c r="P1149" i="16" s="1"/>
  <c r="O1150" i="16"/>
  <c r="P1150" i="16" s="1"/>
  <c r="O1151" i="16"/>
  <c r="P1151" i="16" s="1"/>
  <c r="O1152" i="16"/>
  <c r="P1152" i="16" s="1"/>
  <c r="O1154" i="16"/>
  <c r="P1154" i="16" s="1"/>
  <c r="O1153" i="16"/>
  <c r="P1153" i="16" s="1"/>
  <c r="O1140" i="16"/>
  <c r="P1140" i="16" s="1"/>
  <c r="O1156" i="16"/>
  <c r="P1156" i="16" s="1"/>
  <c r="O1157" i="16"/>
  <c r="P1157" i="16" s="1"/>
  <c r="O1158" i="16"/>
  <c r="P1158" i="16" s="1"/>
  <c r="O1159" i="16"/>
  <c r="P1159" i="16" s="1"/>
  <c r="O1168" i="16"/>
  <c r="P1168" i="16" s="1"/>
  <c r="O1155" i="16"/>
  <c r="P1155" i="16" s="1"/>
  <c r="O1160" i="16"/>
  <c r="P1160" i="16" s="1"/>
  <c r="O1161" i="16"/>
  <c r="P1161" i="16" s="1"/>
  <c r="O1162" i="16"/>
  <c r="P1162" i="16" s="1"/>
  <c r="O1169" i="16"/>
  <c r="P1169" i="16" s="1"/>
  <c r="O1163" i="16"/>
  <c r="P1163" i="16" s="1"/>
  <c r="O1164" i="16"/>
  <c r="P1164" i="16" s="1"/>
  <c r="O1165" i="16"/>
  <c r="P1165" i="16" s="1"/>
  <c r="O1166" i="16"/>
  <c r="P1166" i="16" s="1"/>
  <c r="O1167" i="16"/>
  <c r="P1167" i="16" s="1"/>
  <c r="O1170" i="16"/>
  <c r="P1170" i="16" s="1"/>
  <c r="O1171" i="16"/>
  <c r="P1171" i="16" s="1"/>
  <c r="O1172" i="16"/>
  <c r="P1172" i="16" s="1"/>
  <c r="O1173" i="16"/>
  <c r="P1173" i="16" s="1"/>
  <c r="O1177" i="16"/>
  <c r="P1177" i="16" s="1"/>
  <c r="O1174" i="16"/>
  <c r="P1174" i="16" s="1"/>
  <c r="O1175" i="16"/>
  <c r="P1175" i="16" s="1"/>
  <c r="O1176" i="16"/>
  <c r="P1176" i="16" s="1"/>
  <c r="O1178" i="16"/>
  <c r="P1178" i="16" s="1"/>
  <c r="O1182" i="16"/>
  <c r="P1182" i="16" s="1"/>
  <c r="O1179" i="16"/>
  <c r="P1179" i="16" s="1"/>
  <c r="O1180" i="16"/>
  <c r="P1180" i="16" s="1"/>
  <c r="O1183" i="16"/>
  <c r="P1183" i="16" s="1"/>
  <c r="O1184" i="16"/>
  <c r="P1184" i="16" s="1"/>
  <c r="O1185" i="16"/>
  <c r="P1185" i="16" s="1"/>
  <c r="O1186" i="16"/>
  <c r="P1186" i="16" s="1"/>
  <c r="O1181" i="16"/>
  <c r="P1181" i="16" s="1"/>
  <c r="O1187" i="16"/>
  <c r="P1187" i="16" s="1"/>
  <c r="O1190" i="16"/>
  <c r="P1190" i="16" s="1"/>
  <c r="O1188" i="16"/>
  <c r="P1188" i="16" s="1"/>
  <c r="O1189" i="16"/>
  <c r="P1189" i="16" s="1"/>
  <c r="O1191" i="16"/>
  <c r="P1191" i="16" s="1"/>
  <c r="O1192" i="16"/>
  <c r="P1192" i="16" s="1"/>
  <c r="O1193" i="16"/>
  <c r="P1193" i="16" s="1"/>
  <c r="O1194" i="16"/>
  <c r="P1194" i="16" s="1"/>
  <c r="O1195" i="16"/>
  <c r="P1195" i="16" s="1"/>
  <c r="O1196" i="16"/>
  <c r="P1196" i="16" s="1"/>
  <c r="O1198" i="16"/>
  <c r="P1198" i="16" s="1"/>
  <c r="O1197" i="16"/>
  <c r="P1197" i="16" s="1"/>
  <c r="O1199" i="16"/>
  <c r="P1199" i="16" s="1"/>
  <c r="O1200" i="16"/>
  <c r="P1200" i="16" s="1"/>
  <c r="O1201" i="16"/>
  <c r="P1201" i="16" s="1"/>
  <c r="O1202" i="16"/>
  <c r="P1202" i="16" s="1"/>
  <c r="O1204" i="16"/>
  <c r="P1204" i="16" s="1"/>
  <c r="O1205" i="16"/>
  <c r="P1205" i="16" s="1"/>
  <c r="O1206" i="16"/>
  <c r="P1206" i="16" s="1"/>
  <c r="O1203" i="16"/>
  <c r="P1203" i="16" s="1"/>
  <c r="O1207" i="16"/>
  <c r="P1207" i="16" s="1"/>
  <c r="O1218" i="16"/>
  <c r="P1218" i="16" s="1"/>
  <c r="O1208" i="16"/>
  <c r="P1208" i="16" s="1"/>
  <c r="O1209" i="16"/>
  <c r="P1209" i="16" s="1"/>
  <c r="O1210" i="16"/>
  <c r="P1210" i="16" s="1"/>
  <c r="O1211" i="16"/>
  <c r="P1211" i="16" s="1"/>
  <c r="O1212" i="16"/>
  <c r="P1212" i="16" s="1"/>
  <c r="O1213" i="16"/>
  <c r="P1213" i="16" s="1"/>
  <c r="O1214" i="16"/>
  <c r="P1214" i="16" s="1"/>
  <c r="O1215" i="16"/>
  <c r="P1215" i="16" s="1"/>
  <c r="O1216" i="16"/>
  <c r="P1216" i="16" s="1"/>
  <c r="O1217" i="16"/>
  <c r="P1217" i="16" s="1"/>
  <c r="O1220" i="16"/>
  <c r="P1220" i="16" s="1"/>
  <c r="O1221" i="16"/>
  <c r="P1221" i="16" s="1"/>
  <c r="O1222" i="16"/>
  <c r="P1222" i="16" s="1"/>
  <c r="O1223" i="16"/>
  <c r="P1223" i="16" s="1"/>
  <c r="O1224" i="16"/>
  <c r="P1224" i="16" s="1"/>
  <c r="O1225" i="16"/>
  <c r="P1225" i="16" s="1"/>
  <c r="O1226" i="16"/>
  <c r="P1226" i="16" s="1"/>
  <c r="O1227" i="16"/>
  <c r="P1227" i="16" s="1"/>
  <c r="O1234" i="16"/>
  <c r="P1234" i="16" s="1"/>
  <c r="O1219" i="16"/>
  <c r="P1219" i="16" s="1"/>
  <c r="O1228" i="16"/>
  <c r="P1228" i="16" s="1"/>
  <c r="O1229" i="16"/>
  <c r="P1229" i="16" s="1"/>
  <c r="O1230" i="16"/>
  <c r="P1230" i="16" s="1"/>
  <c r="O1231" i="16"/>
  <c r="P1231" i="16" s="1"/>
  <c r="O1232" i="16"/>
  <c r="P1232" i="16" s="1"/>
  <c r="O1233" i="16"/>
  <c r="P1233" i="16" s="1"/>
  <c r="O1237" i="16"/>
  <c r="P1237" i="16" s="1"/>
  <c r="O1238" i="16"/>
  <c r="P1238" i="16" s="1"/>
  <c r="O1235" i="16"/>
  <c r="P1235" i="16" s="1"/>
  <c r="O1239" i="16"/>
  <c r="P1239" i="16" s="1"/>
  <c r="O1240" i="16"/>
  <c r="P1240" i="16" s="1"/>
  <c r="O1241" i="16"/>
  <c r="P1241" i="16" s="1"/>
  <c r="O1242" i="16"/>
  <c r="P1242" i="16" s="1"/>
  <c r="O1236" i="16"/>
  <c r="P1236" i="16" s="1"/>
  <c r="O1245" i="16"/>
  <c r="P1245" i="16" s="1"/>
  <c r="O1246" i="16"/>
  <c r="P1246" i="16" s="1"/>
  <c r="O1247" i="16"/>
  <c r="P1247" i="16" s="1"/>
  <c r="O1248" i="16"/>
  <c r="P1248" i="16" s="1"/>
  <c r="O1243" i="16"/>
  <c r="P1243" i="16" s="1"/>
  <c r="O1250" i="16"/>
  <c r="P1250" i="16" s="1"/>
  <c r="O1244" i="16"/>
  <c r="P1244" i="16" s="1"/>
  <c r="O1249" i="16"/>
  <c r="P1249" i="16" s="1"/>
  <c r="O1251" i="16"/>
  <c r="P1251" i="16" s="1"/>
  <c r="O1252" i="16"/>
  <c r="P1252" i="16" s="1"/>
  <c r="O1253" i="16"/>
  <c r="P1253" i="16" s="1"/>
  <c r="O1254" i="16"/>
  <c r="P1254" i="16" s="1"/>
  <c r="O1256" i="16"/>
  <c r="P1256" i="16" s="1"/>
  <c r="O1257" i="16"/>
  <c r="P1257" i="16" s="1"/>
  <c r="O1258" i="16"/>
  <c r="P1258" i="16" s="1"/>
  <c r="O1255" i="16"/>
  <c r="P1255" i="16" s="1"/>
  <c r="O1260" i="16"/>
  <c r="P1260" i="16" s="1"/>
  <c r="O1259" i="16"/>
  <c r="P1259" i="16" s="1"/>
  <c r="O1261" i="16"/>
  <c r="P1261" i="16" s="1"/>
  <c r="O1262" i="16"/>
  <c r="P1262" i="16" s="1"/>
  <c r="O1263" i="16"/>
  <c r="P1263" i="16" s="1"/>
  <c r="O1264" i="16"/>
  <c r="P1264" i="16" s="1"/>
  <c r="O1265" i="16"/>
  <c r="P1265" i="16" s="1"/>
  <c r="O1266" i="16"/>
  <c r="P1266" i="16" s="1"/>
  <c r="O1269" i="16"/>
  <c r="P1269" i="16" s="1"/>
  <c r="O1270" i="16"/>
  <c r="P1270" i="16" s="1"/>
  <c r="O1271" i="16"/>
  <c r="P1271" i="16" s="1"/>
  <c r="O1282" i="16"/>
  <c r="P1282" i="16" s="1"/>
  <c r="O1268" i="16"/>
  <c r="P1268" i="16" s="1"/>
  <c r="O1267" i="16"/>
  <c r="P1267" i="16" s="1"/>
  <c r="O1272" i="16"/>
  <c r="P1272" i="16" s="1"/>
  <c r="O1273" i="16"/>
  <c r="P1273" i="16" s="1"/>
  <c r="O1274" i="16"/>
  <c r="P1274" i="16" s="1"/>
  <c r="O1275" i="16"/>
  <c r="P1275" i="16" s="1"/>
  <c r="O1276" i="16"/>
  <c r="P1276" i="16" s="1"/>
  <c r="O1277" i="16"/>
  <c r="P1277" i="16" s="1"/>
  <c r="O1278" i="16"/>
  <c r="P1278" i="16" s="1"/>
  <c r="O1279" i="16"/>
  <c r="P1279" i="16" s="1"/>
  <c r="O1280" i="16"/>
  <c r="P1280" i="16" s="1"/>
  <c r="O1281" i="16"/>
  <c r="P1281" i="16" s="1"/>
  <c r="O1285" i="16"/>
  <c r="P1285" i="16" s="1"/>
  <c r="O1286" i="16"/>
  <c r="P1286" i="16" s="1"/>
  <c r="O1287" i="16"/>
  <c r="P1287" i="16" s="1"/>
  <c r="O1288" i="16"/>
  <c r="P1288" i="16" s="1"/>
  <c r="O1289" i="16"/>
  <c r="P1289" i="16" s="1"/>
  <c r="O1297" i="16"/>
  <c r="P1297" i="16" s="1"/>
  <c r="O1296" i="16"/>
  <c r="P1296" i="16" s="1"/>
  <c r="O1283" i="16"/>
  <c r="P1283" i="16" s="1"/>
  <c r="O1290" i="16"/>
  <c r="P1290" i="16" s="1"/>
  <c r="O1291" i="16"/>
  <c r="P1291" i="16" s="1"/>
  <c r="O1292" i="16"/>
  <c r="P1292" i="16" s="1"/>
  <c r="O1293" i="16"/>
  <c r="P1293" i="16" s="1"/>
  <c r="O1298" i="16"/>
  <c r="P1298" i="16" s="1"/>
  <c r="O1284" i="16"/>
  <c r="P1284" i="16" s="1"/>
  <c r="O1294" i="16"/>
  <c r="P1294" i="16" s="1"/>
  <c r="O1295" i="16"/>
  <c r="P1295" i="16" s="1"/>
  <c r="O1301" i="16"/>
  <c r="P1301" i="16" s="1"/>
  <c r="O1302" i="16"/>
  <c r="P1302" i="16" s="1"/>
  <c r="O1299" i="16"/>
  <c r="P1299" i="16" s="1"/>
  <c r="O1303" i="16"/>
  <c r="P1303" i="16" s="1"/>
  <c r="O1305" i="16"/>
  <c r="P1305" i="16" s="1"/>
  <c r="O1304" i="16"/>
  <c r="P1304" i="16" s="1"/>
  <c r="O1306" i="16"/>
  <c r="P1306" i="16" s="1"/>
  <c r="O1300" i="16"/>
  <c r="P1300" i="16" s="1"/>
  <c r="O1308" i="16"/>
  <c r="P1308" i="16" s="1"/>
  <c r="O1314" i="16"/>
  <c r="P1314" i="16" s="1"/>
  <c r="O1309" i="16"/>
  <c r="P1309" i="16" s="1"/>
  <c r="O1307" i="16"/>
  <c r="P1307" i="16" s="1"/>
  <c r="O1310" i="16"/>
  <c r="P1310" i="16" s="1"/>
  <c r="O1311" i="16"/>
  <c r="P1311" i="16" s="1"/>
  <c r="O1312" i="16"/>
  <c r="P1312" i="16" s="1"/>
  <c r="O1313" i="16"/>
  <c r="P1313" i="16" s="1"/>
  <c r="O1315" i="16"/>
  <c r="P1315" i="16" s="1"/>
  <c r="O1317" i="16"/>
  <c r="P1317" i="16" s="1"/>
  <c r="O1316" i="16"/>
  <c r="P1316" i="16" s="1"/>
  <c r="O1318" i="16"/>
  <c r="P1318" i="16" s="1"/>
  <c r="O1320" i="16"/>
  <c r="P1320" i="16" s="1"/>
  <c r="O1321" i="16"/>
  <c r="P1321" i="16" s="1"/>
  <c r="O1322" i="16"/>
  <c r="P1322" i="16" s="1"/>
  <c r="O1319" i="16"/>
  <c r="P1319" i="16" s="1"/>
  <c r="O1323" i="16"/>
  <c r="P1323" i="16" s="1"/>
  <c r="O1324" i="16"/>
  <c r="P1324" i="16" s="1"/>
  <c r="O1326" i="16"/>
  <c r="P1326" i="16" s="1"/>
  <c r="O1325" i="16"/>
  <c r="P1325" i="16" s="1"/>
  <c r="O1327" i="16"/>
  <c r="P1327" i="16" s="1"/>
  <c r="O1328" i="16"/>
  <c r="P1328" i="16" s="1"/>
  <c r="O1329" i="16"/>
  <c r="P1329" i="16" s="1"/>
  <c r="O1330" i="16"/>
  <c r="P1330" i="16" s="1"/>
  <c r="O1335" i="16"/>
  <c r="P1335" i="16" s="1"/>
  <c r="O1336" i="16"/>
  <c r="P1336" i="16" s="1"/>
  <c r="O1337" i="16"/>
  <c r="P1337" i="16" s="1"/>
  <c r="O1338" i="16"/>
  <c r="P1338" i="16" s="1"/>
  <c r="O1339" i="16"/>
  <c r="P1339" i="16" s="1"/>
  <c r="O1340" i="16"/>
  <c r="P1340" i="16" s="1"/>
  <c r="O1333" i="16"/>
  <c r="P1333" i="16" s="1"/>
  <c r="O1331" i="16"/>
  <c r="P1331" i="16" s="1"/>
  <c r="O1341" i="16"/>
  <c r="P1341" i="16" s="1"/>
  <c r="O1342" i="16"/>
  <c r="P1342" i="16" s="1"/>
  <c r="O1343" i="16"/>
  <c r="P1343" i="16" s="1"/>
  <c r="O1332" i="16"/>
  <c r="P1332" i="16" s="1"/>
  <c r="O1344" i="16"/>
  <c r="P1344" i="16" s="1"/>
  <c r="O1345" i="16"/>
  <c r="P1345" i="16" s="1"/>
  <c r="O1346" i="16"/>
  <c r="P1346" i="16" s="1"/>
  <c r="O1334" i="16"/>
  <c r="P1334" i="16" s="1"/>
  <c r="O1351" i="16"/>
  <c r="P1351" i="16" s="1"/>
  <c r="O1352" i="16"/>
  <c r="P1352" i="16" s="1"/>
  <c r="O1353" i="16"/>
  <c r="P1353" i="16" s="1"/>
  <c r="O1349" i="16"/>
  <c r="P1349" i="16" s="1"/>
  <c r="O1354" i="16"/>
  <c r="P1354" i="16" s="1"/>
  <c r="O1355" i="16"/>
  <c r="P1355" i="16" s="1"/>
  <c r="O1356" i="16"/>
  <c r="P1356" i="16" s="1"/>
  <c r="O1357" i="16"/>
  <c r="P1357" i="16" s="1"/>
  <c r="O1358" i="16"/>
  <c r="P1358" i="16" s="1"/>
  <c r="O1359" i="16"/>
  <c r="P1359" i="16" s="1"/>
  <c r="O1350" i="16"/>
  <c r="P1350" i="16" s="1"/>
  <c r="O1347" i="16"/>
  <c r="P1347" i="16" s="1"/>
  <c r="O1360" i="16"/>
  <c r="P1360" i="16" s="1"/>
  <c r="O1361" i="16"/>
  <c r="P1361" i="16" s="1"/>
  <c r="O1362" i="16"/>
  <c r="P1362" i="16" s="1"/>
  <c r="O1348" i="16"/>
  <c r="P1348" i="16" s="1"/>
  <c r="O1370" i="16"/>
  <c r="P1370" i="16" s="1"/>
  <c r="O1363" i="16"/>
  <c r="P1363" i="16" s="1"/>
  <c r="O1364" i="16"/>
  <c r="P1364" i="16" s="1"/>
  <c r="O1365" i="16"/>
  <c r="P1365" i="16" s="1"/>
  <c r="O1366" i="16"/>
  <c r="P1366" i="16" s="1"/>
  <c r="O1367" i="16"/>
  <c r="P1367" i="16" s="1"/>
  <c r="O1368" i="16"/>
  <c r="P1368" i="16" s="1"/>
  <c r="O1369" i="16"/>
  <c r="P1369" i="16" s="1"/>
  <c r="O1374" i="16"/>
  <c r="P1374" i="16" s="1"/>
  <c r="O1371" i="16"/>
  <c r="P1371" i="16" s="1"/>
  <c r="O1375" i="16"/>
  <c r="P1375" i="16" s="1"/>
  <c r="O1373" i="16"/>
  <c r="P1373" i="16" s="1"/>
  <c r="O1376" i="16"/>
  <c r="P1376" i="16" s="1"/>
  <c r="O1377" i="16"/>
  <c r="P1377" i="16" s="1"/>
  <c r="O1378" i="16"/>
  <c r="P1378" i="16" s="1"/>
  <c r="O1372" i="16"/>
  <c r="P1372" i="16" s="1"/>
  <c r="O1380" i="16"/>
  <c r="P1380" i="16" s="1"/>
  <c r="O1379" i="16"/>
  <c r="P1379" i="16" s="1"/>
  <c r="O1381" i="16"/>
  <c r="P1381" i="16" s="1"/>
  <c r="O1382" i="16"/>
  <c r="P1382" i="16" s="1"/>
  <c r="O1384" i="16"/>
  <c r="P1384" i="16" s="1"/>
  <c r="O1383" i="16"/>
  <c r="P1383" i="16" s="1"/>
  <c r="O1385" i="16"/>
  <c r="P1385" i="16" s="1"/>
  <c r="O1386" i="16"/>
  <c r="P1386" i="16" s="1"/>
  <c r="O1387" i="16"/>
  <c r="P1387" i="16" s="1"/>
  <c r="O1388" i="16"/>
  <c r="P1388" i="16" s="1"/>
  <c r="O1389" i="16"/>
  <c r="P1389" i="16" s="1"/>
  <c r="O1390" i="16"/>
  <c r="P1390" i="16" s="1"/>
  <c r="O1391" i="16"/>
  <c r="P1391" i="16" s="1"/>
  <c r="O1392" i="16"/>
  <c r="P1392" i="16" s="1"/>
  <c r="O1393" i="16"/>
  <c r="P1393" i="16" s="1"/>
  <c r="O1394" i="16"/>
  <c r="P1394" i="16" s="1"/>
  <c r="O1396" i="16"/>
  <c r="P1396" i="16" s="1"/>
  <c r="O1397" i="16"/>
  <c r="P1397" i="16" s="1"/>
  <c r="O1398" i="16"/>
  <c r="P1398" i="16" s="1"/>
  <c r="O1399" i="16"/>
  <c r="P1399" i="16" s="1"/>
  <c r="O1400" i="16"/>
  <c r="P1400" i="16" s="1"/>
  <c r="O1409" i="16"/>
  <c r="P1409" i="16" s="1"/>
  <c r="O1401" i="16"/>
  <c r="P1401" i="16" s="1"/>
  <c r="O1402" i="16"/>
  <c r="P1402" i="16" s="1"/>
  <c r="O1403" i="16"/>
  <c r="P1403" i="16" s="1"/>
  <c r="O1404" i="16"/>
  <c r="P1404" i="16" s="1"/>
  <c r="O1405" i="16"/>
  <c r="P1405" i="16" s="1"/>
  <c r="O1410" i="16"/>
  <c r="P1410" i="16" s="1"/>
  <c r="O1406" i="16"/>
  <c r="P1406" i="16" s="1"/>
  <c r="O1407" i="16"/>
  <c r="P1407" i="16" s="1"/>
  <c r="O1408" i="16"/>
  <c r="P1408" i="16" s="1"/>
  <c r="O1395" i="16"/>
  <c r="P1395" i="16" s="1"/>
  <c r="O1412" i="16"/>
  <c r="P1412" i="16" s="1"/>
  <c r="O1413" i="16"/>
  <c r="P1413" i="16" s="1"/>
  <c r="O1414" i="16"/>
  <c r="P1414" i="16" s="1"/>
  <c r="O1415" i="16"/>
  <c r="P1415" i="16" s="1"/>
  <c r="O1416" i="16"/>
  <c r="P1416" i="16" s="1"/>
  <c r="O1417" i="16"/>
  <c r="P1417" i="16" s="1"/>
  <c r="O1426" i="16"/>
  <c r="P1426" i="16" s="1"/>
  <c r="O1411" i="16"/>
  <c r="P1411" i="16" s="1"/>
  <c r="O1418" i="16"/>
  <c r="P1418" i="16" s="1"/>
  <c r="O1419" i="16"/>
  <c r="P1419" i="16" s="1"/>
  <c r="O1420" i="16"/>
  <c r="P1420" i="16" s="1"/>
  <c r="O1421" i="16"/>
  <c r="P1421" i="16" s="1"/>
  <c r="O1422" i="16"/>
  <c r="P1422" i="16" s="1"/>
  <c r="O1423" i="16"/>
  <c r="P1423" i="16" s="1"/>
  <c r="O1424" i="16"/>
  <c r="P1424" i="16" s="1"/>
  <c r="O1425" i="16"/>
  <c r="P1425" i="16" s="1"/>
  <c r="O1428" i="16"/>
  <c r="P1428" i="16" s="1"/>
  <c r="O1429" i="16"/>
  <c r="P1429" i="16" s="1"/>
  <c r="O1427" i="16"/>
  <c r="P1427" i="16" s="1"/>
  <c r="O1434" i="16"/>
  <c r="P1434" i="16" s="1"/>
  <c r="O1430" i="16"/>
  <c r="P1430" i="16" s="1"/>
  <c r="O1431" i="16"/>
  <c r="P1431" i="16" s="1"/>
  <c r="O1432" i="16"/>
  <c r="P1432" i="16" s="1"/>
  <c r="O1433" i="16"/>
  <c r="P1433" i="16" s="1"/>
  <c r="O1441" i="16"/>
  <c r="P1441" i="16" s="1"/>
  <c r="O1436" i="16"/>
  <c r="P1436" i="16" s="1"/>
  <c r="O1437" i="16"/>
  <c r="P1437" i="16" s="1"/>
  <c r="O1435" i="16"/>
  <c r="P1435" i="16" s="1"/>
  <c r="O1438" i="16"/>
  <c r="P1438" i="16" s="1"/>
  <c r="O1442" i="16"/>
  <c r="P1442" i="16" s="1"/>
  <c r="O1439" i="16"/>
  <c r="P1439" i="16" s="1"/>
  <c r="O1440" i="16"/>
  <c r="P1440" i="16" s="1"/>
  <c r="O1443" i="16"/>
  <c r="P1443" i="16" s="1"/>
  <c r="O1444" i="16"/>
  <c r="P1444" i="16" s="1"/>
  <c r="O1445" i="16"/>
  <c r="P1445" i="16" s="1"/>
  <c r="O1446" i="16"/>
  <c r="P1446" i="16" s="1"/>
  <c r="O1447" i="16"/>
  <c r="P1447" i="16" s="1"/>
  <c r="O1448" i="16"/>
  <c r="P1448" i="16" s="1"/>
  <c r="O1449" i="16"/>
  <c r="P1449" i="16" s="1"/>
  <c r="O1450" i="16"/>
  <c r="P1450" i="16" s="1"/>
  <c r="O1451" i="16"/>
  <c r="P1451" i="16" s="1"/>
  <c r="O1452" i="16"/>
  <c r="P1452" i="16" s="1"/>
  <c r="O1454" i="16"/>
  <c r="P1454" i="16" s="1"/>
  <c r="O1453" i="16"/>
  <c r="P1453" i="16" s="1"/>
  <c r="O1455" i="16"/>
  <c r="P1455" i="16" s="1"/>
  <c r="O1456" i="16"/>
  <c r="P1456" i="16" s="1"/>
  <c r="O1457" i="16"/>
  <c r="P1457" i="16" s="1"/>
  <c r="O1458" i="16"/>
  <c r="P1458" i="16" s="1"/>
  <c r="O1460" i="16"/>
  <c r="P1460" i="16" s="1"/>
  <c r="O1461" i="16"/>
  <c r="P1461" i="16" s="1"/>
  <c r="O1462" i="16"/>
  <c r="P1462" i="16" s="1"/>
  <c r="O1463" i="16"/>
  <c r="P1463" i="16" s="1"/>
  <c r="O1464" i="16"/>
  <c r="P1464" i="16" s="1"/>
  <c r="O1459" i="16"/>
  <c r="P1459" i="16" s="1"/>
  <c r="O1465" i="16"/>
  <c r="P1465" i="16" s="1"/>
  <c r="O1466" i="16"/>
  <c r="P1466" i="16" s="1"/>
  <c r="O1467" i="16"/>
  <c r="P1467" i="16" s="1"/>
  <c r="O1468" i="16"/>
  <c r="P1468" i="16" s="1"/>
  <c r="O1469" i="16"/>
  <c r="P1469" i="16" s="1"/>
  <c r="O1470" i="16"/>
  <c r="P1470" i="16" s="1"/>
  <c r="O1471" i="16"/>
  <c r="P1471" i="16" s="1"/>
  <c r="O1472" i="16"/>
  <c r="P1472" i="16" s="1"/>
  <c r="O1473" i="16"/>
  <c r="P1473" i="16" s="1"/>
  <c r="O1474" i="16"/>
  <c r="P1474" i="16" s="1"/>
  <c r="O1480" i="16"/>
  <c r="P1480" i="16" s="1"/>
  <c r="O1481" i="16"/>
  <c r="P1481" i="16" s="1"/>
  <c r="O1482" i="16"/>
  <c r="P1482" i="16" s="1"/>
  <c r="O1483" i="16"/>
  <c r="P1483" i="16" s="1"/>
  <c r="O1484" i="16"/>
  <c r="P1484" i="16" s="1"/>
  <c r="O1490" i="16"/>
  <c r="P1490" i="16" s="1"/>
  <c r="O1485" i="16"/>
  <c r="P1485" i="16" s="1"/>
  <c r="O1479" i="16"/>
  <c r="P1479" i="16" s="1"/>
  <c r="O1477" i="16"/>
  <c r="P1477" i="16" s="1"/>
  <c r="O1475" i="16"/>
  <c r="P1475" i="16" s="1"/>
  <c r="O1486" i="16"/>
  <c r="P1486" i="16" s="1"/>
  <c r="O1487" i="16"/>
  <c r="P1487" i="16" s="1"/>
  <c r="O1488" i="16"/>
  <c r="P1488" i="16" s="1"/>
  <c r="O1489" i="16"/>
  <c r="P1489" i="16" s="1"/>
  <c r="O1478" i="16"/>
  <c r="P1478" i="16" s="1"/>
  <c r="O1476" i="16"/>
  <c r="P1476" i="16" s="1"/>
  <c r="O1492" i="16"/>
  <c r="P1492" i="16" s="1"/>
  <c r="O1493" i="16"/>
  <c r="P1493" i="16" s="1"/>
  <c r="O1494" i="16"/>
  <c r="P1494" i="16" s="1"/>
  <c r="O1495" i="16"/>
  <c r="P1495" i="16" s="1"/>
  <c r="O1498" i="16"/>
  <c r="P1498" i="16" s="1"/>
  <c r="O1496" i="16"/>
  <c r="P1496" i="16" s="1"/>
  <c r="O1497" i="16"/>
  <c r="P1497" i="16" s="1"/>
  <c r="O1491" i="16"/>
  <c r="P1491" i="16" s="1"/>
  <c r="O1500" i="16"/>
  <c r="P1500" i="16" s="1"/>
  <c r="O1501" i="16"/>
  <c r="P1501" i="16" s="1"/>
  <c r="O1502" i="16"/>
  <c r="P1502" i="16" s="1"/>
  <c r="O1499" i="16"/>
  <c r="P1499" i="16" s="1"/>
  <c r="O1503" i="16"/>
  <c r="P1503" i="16" s="1"/>
  <c r="O1504" i="16"/>
  <c r="P1504" i="16" s="1"/>
  <c r="O1505" i="16"/>
  <c r="P1505" i="16" s="1"/>
  <c r="O1506" i="16"/>
  <c r="P1506" i="16" s="1"/>
  <c r="O1507" i="16"/>
  <c r="P1507" i="16" s="1"/>
  <c r="O1510" i="16"/>
  <c r="P1510" i="16" s="1"/>
  <c r="O1508" i="16"/>
  <c r="P1508" i="16" s="1"/>
  <c r="O1509" i="16"/>
  <c r="P1509" i="16" s="1"/>
  <c r="O1512" i="16"/>
  <c r="P1512" i="16" s="1"/>
  <c r="O1511" i="16"/>
  <c r="P1511" i="16" s="1"/>
  <c r="O1513" i="16"/>
  <c r="P1513" i="16" s="1"/>
  <c r="O1514" i="16"/>
  <c r="P1514" i="16" s="1"/>
  <c r="O1515" i="16"/>
  <c r="P1515" i="16" s="1"/>
  <c r="O1516" i="16"/>
  <c r="P1516" i="16" s="1"/>
  <c r="O1517" i="16"/>
  <c r="P1517" i="16" s="1"/>
  <c r="O1518" i="16"/>
  <c r="P1518" i="16" s="1"/>
  <c r="O1519" i="16"/>
  <c r="P1519" i="16" s="1"/>
  <c r="O1520" i="16"/>
  <c r="P1520" i="16" s="1"/>
  <c r="O1521" i="16"/>
  <c r="P1521" i="16" s="1"/>
  <c r="O1522" i="16"/>
  <c r="P1522" i="16" s="1"/>
  <c r="O1526" i="16"/>
  <c r="P1526" i="16" s="1"/>
  <c r="O1527" i="16"/>
  <c r="P1527" i="16" s="1"/>
  <c r="O1528" i="16"/>
  <c r="P1528" i="16" s="1"/>
  <c r="O1529" i="16"/>
  <c r="P1529" i="16" s="1"/>
  <c r="O1530" i="16"/>
  <c r="P1530" i="16" s="1"/>
  <c r="O1531" i="16"/>
  <c r="P1531" i="16" s="1"/>
  <c r="O1532" i="16"/>
  <c r="P1532" i="16" s="1"/>
  <c r="O1533" i="16"/>
  <c r="P1533" i="16" s="1"/>
  <c r="O1524" i="16"/>
  <c r="P1524" i="16" s="1"/>
  <c r="O1523" i="16"/>
  <c r="P1523" i="16" s="1"/>
  <c r="O1534" i="16"/>
  <c r="P1534" i="16" s="1"/>
  <c r="O1535" i="16"/>
  <c r="P1535" i="16" s="1"/>
  <c r="O1536" i="16"/>
  <c r="P1536" i="16" s="1"/>
  <c r="O1537" i="16"/>
  <c r="P1537" i="16" s="1"/>
  <c r="O1538" i="16"/>
  <c r="P1538" i="16" s="1"/>
  <c r="O1525" i="16"/>
  <c r="P1525" i="16" s="1"/>
  <c r="O1544" i="16"/>
  <c r="P1544" i="16" s="1"/>
  <c r="O1545" i="16"/>
  <c r="P1545" i="16" s="1"/>
  <c r="O1546" i="16"/>
  <c r="P1546" i="16" s="1"/>
  <c r="O1540" i="16"/>
  <c r="P1540" i="16" s="1"/>
  <c r="O1547" i="16"/>
  <c r="P1547" i="16" s="1"/>
  <c r="O1548" i="16"/>
  <c r="P1548" i="16" s="1"/>
  <c r="O1549" i="16"/>
  <c r="P1549" i="16" s="1"/>
  <c r="O1554" i="16"/>
  <c r="P1554" i="16" s="1"/>
  <c r="O1543" i="16"/>
  <c r="P1543" i="16" s="1"/>
  <c r="O1542" i="16"/>
  <c r="P1542" i="16" s="1"/>
  <c r="O1541" i="16"/>
  <c r="P1541" i="16" s="1"/>
  <c r="O1539" i="16"/>
  <c r="P1539" i="16" s="1"/>
  <c r="O1550" i="16"/>
  <c r="P1550" i="16" s="1"/>
  <c r="O1551" i="16"/>
  <c r="P1551" i="16" s="1"/>
  <c r="O1552" i="16"/>
  <c r="P1552" i="16" s="1"/>
  <c r="O1553" i="16"/>
  <c r="P1553" i="16" s="1"/>
  <c r="O1555" i="16"/>
  <c r="P1555" i="16" s="1"/>
  <c r="O1556" i="16"/>
  <c r="P1556" i="16" s="1"/>
  <c r="O1557" i="16"/>
  <c r="P1557" i="16" s="1"/>
  <c r="O1558" i="16"/>
  <c r="P1558" i="16" s="1"/>
  <c r="O1559" i="16"/>
  <c r="P1559" i="16" s="1"/>
  <c r="O1560" i="16"/>
  <c r="P1560" i="16" s="1"/>
  <c r="O1561" i="16"/>
  <c r="P1561" i="16" s="1"/>
  <c r="O1562" i="16"/>
  <c r="P1562" i="16" s="1"/>
  <c r="O1563" i="16"/>
  <c r="P1563" i="16" s="1"/>
  <c r="O1564" i="16"/>
  <c r="P1564" i="16" s="1"/>
  <c r="O1565" i="16"/>
  <c r="P1565" i="16" s="1"/>
  <c r="O1566" i="16"/>
  <c r="P1566" i="16" s="1"/>
  <c r="O1567" i="16"/>
  <c r="P1567" i="16" s="1"/>
  <c r="O1568" i="16"/>
  <c r="P1568" i="16" s="1"/>
  <c r="O1569" i="16"/>
  <c r="P1569" i="16" s="1"/>
  <c r="O1570" i="16"/>
  <c r="P1570" i="16" s="1"/>
  <c r="O1571" i="16"/>
  <c r="P1571" i="16" s="1"/>
  <c r="O1573" i="16"/>
  <c r="P1573" i="16" s="1"/>
  <c r="O1572" i="16"/>
  <c r="P1572" i="16" s="1"/>
  <c r="O1574" i="16"/>
  <c r="P1574" i="16" s="1"/>
  <c r="O1575" i="16"/>
  <c r="P1575" i="16" s="1"/>
  <c r="O1576" i="16"/>
  <c r="P1576" i="16" s="1"/>
  <c r="O1577" i="16"/>
  <c r="P1577" i="16" s="1"/>
  <c r="O1578" i="16"/>
  <c r="P1578" i="16" s="1"/>
  <c r="O1579" i="16"/>
  <c r="P1579" i="16" s="1"/>
  <c r="O1580" i="16"/>
  <c r="P1580" i="16" s="1"/>
  <c r="O1582" i="16"/>
  <c r="P1582" i="16" s="1"/>
  <c r="O1581" i="16"/>
  <c r="P1581" i="16" s="1"/>
  <c r="O1583" i="16"/>
  <c r="P1583" i="16" s="1"/>
  <c r="O1584" i="16"/>
  <c r="P1584" i="16" s="1"/>
  <c r="O1585" i="16"/>
  <c r="P1585" i="16" s="1"/>
  <c r="O1586" i="16"/>
  <c r="P1586" i="16" s="1"/>
  <c r="O1592" i="16"/>
  <c r="P1592" i="16" s="1"/>
  <c r="O1593" i="16"/>
  <c r="P1593" i="16" s="1"/>
  <c r="O1601" i="16"/>
  <c r="P1601" i="16" s="1"/>
  <c r="O1589" i="16"/>
  <c r="P1589" i="16" s="1"/>
  <c r="O1594" i="16"/>
  <c r="P1594" i="16" s="1"/>
  <c r="O1595" i="16"/>
  <c r="P1595" i="16" s="1"/>
  <c r="O1602" i="16"/>
  <c r="P1602" i="16" s="1"/>
  <c r="O1587" i="16"/>
  <c r="P1587" i="16" s="1"/>
  <c r="O1596" i="16"/>
  <c r="P1596" i="16" s="1"/>
  <c r="O1597" i="16"/>
  <c r="P1597" i="16" s="1"/>
  <c r="O1591" i="16"/>
  <c r="P1591" i="16" s="1"/>
  <c r="O1590" i="16"/>
  <c r="P1590" i="16" s="1"/>
  <c r="O1598" i="16"/>
  <c r="P1598" i="16" s="1"/>
  <c r="O1599" i="16"/>
  <c r="P1599" i="16" s="1"/>
  <c r="O1600" i="16"/>
  <c r="P1600" i="16" s="1"/>
  <c r="O1588" i="16"/>
  <c r="P1588" i="16" s="1"/>
  <c r="O1606" i="16"/>
  <c r="P1606" i="16" s="1"/>
  <c r="O1607" i="16"/>
  <c r="P1607" i="16" s="1"/>
  <c r="O1604" i="16"/>
  <c r="P1604" i="16" s="1"/>
  <c r="O1603" i="16"/>
  <c r="P1603" i="16" s="1"/>
  <c r="O1608" i="16"/>
  <c r="P1608" i="16" s="1"/>
  <c r="O1609" i="16"/>
  <c r="P1609" i="16" s="1"/>
  <c r="O1610" i="16"/>
  <c r="P1610" i="16" s="1"/>
  <c r="O1605" i="16"/>
  <c r="P1605" i="16" s="1"/>
  <c r="O1611" i="16"/>
  <c r="P1611" i="16" s="1"/>
  <c r="O1612" i="16"/>
  <c r="P1612" i="16" s="1"/>
  <c r="O1613" i="16"/>
  <c r="P1613" i="16" s="1"/>
  <c r="O1614" i="16"/>
  <c r="P1614" i="16" s="1"/>
  <c r="O1615" i="16"/>
  <c r="P1615" i="16" s="1"/>
  <c r="O1616" i="16"/>
  <c r="P1616" i="16" s="1"/>
  <c r="O1617" i="16"/>
  <c r="P1617" i="16" s="1"/>
  <c r="O1618" i="16"/>
  <c r="P1618" i="16" s="1"/>
  <c r="O1622" i="16"/>
  <c r="P1622" i="16" s="1"/>
  <c r="O1619" i="16"/>
  <c r="P1619" i="16" s="1"/>
  <c r="O1623" i="16"/>
  <c r="P1623" i="16" s="1"/>
  <c r="O1620" i="16"/>
  <c r="P1620" i="16" s="1"/>
  <c r="O1624" i="16"/>
  <c r="P1624" i="16" s="1"/>
  <c r="O1621" i="16"/>
  <c r="P1621" i="16" s="1"/>
  <c r="O1625" i="16"/>
  <c r="P1625" i="16" s="1"/>
  <c r="O1626" i="16"/>
  <c r="P1626" i="16" s="1"/>
  <c r="O1629" i="16"/>
  <c r="P1629" i="16" s="1"/>
  <c r="O1627" i="16"/>
  <c r="P1627" i="16" s="1"/>
  <c r="O1630" i="16"/>
  <c r="P1630" i="16" s="1"/>
  <c r="O1634" i="16"/>
  <c r="P1634" i="16" s="1"/>
  <c r="O1631" i="16"/>
  <c r="P1631" i="16" s="1"/>
  <c r="O1632" i="16"/>
  <c r="P1632" i="16" s="1"/>
  <c r="O1633" i="16"/>
  <c r="P1633" i="16" s="1"/>
  <c r="O1628" i="16"/>
  <c r="P1628" i="16" s="1"/>
  <c r="O1636" i="16"/>
  <c r="P1636" i="16" s="1"/>
  <c r="O1637" i="16"/>
  <c r="P1637" i="16" s="1"/>
  <c r="O1638" i="16"/>
  <c r="P1638" i="16" s="1"/>
  <c r="O1635" i="16"/>
  <c r="P1635" i="16" s="1"/>
  <c r="O1640" i="16"/>
  <c r="P1640" i="16" s="1"/>
  <c r="O1639" i="16"/>
  <c r="P1639" i="16" s="1"/>
  <c r="O1641" i="16"/>
  <c r="P1641" i="16" s="1"/>
  <c r="O1642" i="16"/>
  <c r="P1642" i="16" s="1"/>
  <c r="O1644" i="16"/>
  <c r="P1644" i="16" s="1"/>
  <c r="O1643" i="16"/>
  <c r="P1643" i="16" s="1"/>
  <c r="O1645" i="16"/>
  <c r="P1645" i="16" s="1"/>
  <c r="O1646" i="16"/>
  <c r="P1646" i="16" s="1"/>
  <c r="O1647" i="16"/>
  <c r="P1647" i="16" s="1"/>
  <c r="O1648" i="16"/>
  <c r="P1648" i="16" s="1"/>
  <c r="O1649" i="16"/>
  <c r="P1649" i="16" s="1"/>
  <c r="O1650" i="16"/>
  <c r="P1650" i="16" s="1"/>
  <c r="O1651" i="16"/>
  <c r="P1651" i="16" s="1"/>
  <c r="O1652" i="16"/>
  <c r="P1652" i="16" s="1"/>
  <c r="O1653" i="16"/>
  <c r="P1653" i="16" s="1"/>
  <c r="O1657" i="16"/>
  <c r="P1657" i="16" s="1"/>
  <c r="O1658" i="16"/>
  <c r="P1658" i="16" s="1"/>
  <c r="O1659" i="16"/>
  <c r="P1659" i="16" s="1"/>
  <c r="O1660" i="16"/>
  <c r="P1660" i="16" s="1"/>
  <c r="O1661" i="16"/>
  <c r="P1661" i="16" s="1"/>
  <c r="O1662" i="16"/>
  <c r="P1662" i="16" s="1"/>
  <c r="O1663" i="16"/>
  <c r="P1663" i="16" s="1"/>
  <c r="O1664" i="16"/>
  <c r="P1664" i="16" s="1"/>
  <c r="O1665" i="16"/>
  <c r="P1665" i="16" s="1"/>
  <c r="O1656" i="16"/>
  <c r="P1656" i="16" s="1"/>
  <c r="O1655" i="16"/>
  <c r="P1655" i="16" s="1"/>
  <c r="O1654" i="16"/>
  <c r="P1654" i="16" s="1"/>
  <c r="O1666" i="16"/>
  <c r="P1666" i="16" s="1"/>
  <c r="O1667" i="16"/>
  <c r="P1667" i="16" s="1"/>
  <c r="O1668" i="16"/>
  <c r="P1668" i="16" s="1"/>
  <c r="O1669" i="16"/>
  <c r="P1669" i="16" s="1"/>
  <c r="O1674" i="16"/>
  <c r="P1674" i="16" s="1"/>
  <c r="O1675" i="16"/>
  <c r="P1675" i="16" s="1"/>
  <c r="O1676" i="16"/>
  <c r="P1676" i="16" s="1"/>
  <c r="O1677" i="16"/>
  <c r="P1677" i="16" s="1"/>
  <c r="O1678" i="16"/>
  <c r="P1678" i="16" s="1"/>
  <c r="O1670" i="16"/>
  <c r="P1670" i="16" s="1"/>
  <c r="O1679" i="16"/>
  <c r="P1679" i="16" s="1"/>
  <c r="O1680" i="16"/>
  <c r="P1680" i="16" s="1"/>
  <c r="O1681" i="16"/>
  <c r="P1681" i="16" s="1"/>
  <c r="O1685" i="16"/>
  <c r="P1685" i="16" s="1"/>
  <c r="O1673" i="16"/>
  <c r="P1673" i="16" s="1"/>
  <c r="O1671" i="16"/>
  <c r="P1671" i="16" s="1"/>
  <c r="O1682" i="16"/>
  <c r="P1682" i="16" s="1"/>
  <c r="O1683" i="16"/>
  <c r="P1683" i="16" s="1"/>
  <c r="O1672" i="16"/>
  <c r="P1672" i="16" s="1"/>
  <c r="O1684" i="16"/>
  <c r="P1684" i="16" s="1"/>
  <c r="O1687" i="16"/>
  <c r="P1687" i="16" s="1"/>
  <c r="O1688" i="16"/>
  <c r="P1688" i="16" s="1"/>
  <c r="O1689" i="16"/>
  <c r="P1689" i="16" s="1"/>
  <c r="O1690" i="16"/>
  <c r="P1690" i="16" s="1"/>
  <c r="O1686" i="16"/>
  <c r="P1686" i="16" s="1"/>
  <c r="O1691" i="16"/>
  <c r="P1691" i="16" s="1"/>
  <c r="O1692" i="16"/>
  <c r="P1692" i="16" s="1"/>
  <c r="O1693" i="16"/>
  <c r="P1693" i="16" s="1"/>
  <c r="O1698" i="16"/>
  <c r="P1698" i="16" s="1"/>
  <c r="O1699" i="16"/>
  <c r="P1699" i="16" s="1"/>
  <c r="O1694" i="16"/>
  <c r="P1694" i="16" s="1"/>
  <c r="O1700" i="16"/>
  <c r="P1700" i="16" s="1"/>
  <c r="O1695" i="16"/>
  <c r="P1695" i="16" s="1"/>
  <c r="O1696" i="16"/>
  <c r="P1696" i="16" s="1"/>
  <c r="O1701" i="16"/>
  <c r="P1701" i="16" s="1"/>
  <c r="O1697" i="16"/>
  <c r="P1697" i="16" s="1"/>
  <c r="O1703" i="16"/>
  <c r="P1703" i="16" s="1"/>
  <c r="O1702" i="16"/>
  <c r="P1702" i="16" s="1"/>
  <c r="O1705" i="16"/>
  <c r="P1705" i="16" s="1"/>
  <c r="O1704" i="16"/>
  <c r="P1704" i="16" s="1"/>
  <c r="O1707" i="16"/>
  <c r="P1707" i="16" s="1"/>
  <c r="O1706" i="16"/>
  <c r="P1706" i="16" s="1"/>
  <c r="O1708" i="16"/>
  <c r="P1708" i="16" s="1"/>
  <c r="O1709" i="16"/>
  <c r="P1709" i="16" s="1"/>
  <c r="O1710" i="16"/>
  <c r="P1710" i="16" s="1"/>
  <c r="O1711" i="16"/>
  <c r="P1711" i="16" s="1"/>
  <c r="O1713" i="16"/>
  <c r="P1713" i="16" s="1"/>
  <c r="O1712" i="16"/>
  <c r="P1712" i="16" s="1"/>
  <c r="O1714" i="16"/>
  <c r="P1714" i="16" s="1"/>
  <c r="O1715" i="16"/>
  <c r="P1715" i="16" s="1"/>
  <c r="O1716" i="16"/>
  <c r="P1716" i="16" s="1"/>
  <c r="O1717" i="16"/>
  <c r="P1717" i="16" s="1"/>
  <c r="O1718" i="16"/>
  <c r="P1718" i="16" s="1"/>
  <c r="O1719" i="16"/>
  <c r="P1719" i="16" s="1"/>
  <c r="O1720" i="16"/>
  <c r="P1720" i="16" s="1"/>
  <c r="O1723" i="16"/>
  <c r="P1723" i="16" s="1"/>
  <c r="O1724" i="16"/>
  <c r="P1724" i="16" s="1"/>
  <c r="O1725" i="16"/>
  <c r="P1725" i="16" s="1"/>
  <c r="O1726" i="16"/>
  <c r="P1726" i="16" s="1"/>
  <c r="O1727" i="16"/>
  <c r="P1727" i="16" s="1"/>
  <c r="O1728" i="16"/>
  <c r="P1728" i="16" s="1"/>
  <c r="O1729" i="16"/>
  <c r="P1729" i="16" s="1"/>
  <c r="O1730" i="16"/>
  <c r="P1730" i="16" s="1"/>
  <c r="O1731" i="16"/>
  <c r="P1731" i="16" s="1"/>
  <c r="O1732" i="16"/>
  <c r="P1732" i="16" s="1"/>
  <c r="O1722" i="16"/>
  <c r="P1722" i="16" s="1"/>
  <c r="O1721" i="16"/>
  <c r="P1721" i="16" s="1"/>
  <c r="O1733" i="16"/>
  <c r="P1733" i="16" s="1"/>
  <c r="O1734" i="16"/>
  <c r="P1734" i="16" s="1"/>
  <c r="O1735" i="16"/>
  <c r="P1735" i="16" s="1"/>
  <c r="O1736" i="16"/>
  <c r="P1736" i="16" s="1"/>
  <c r="O1744" i="16"/>
  <c r="P1744" i="16" s="1"/>
  <c r="O1745" i="16"/>
  <c r="P1745" i="16" s="1"/>
  <c r="O1746" i="16"/>
  <c r="P1746" i="16" s="1"/>
  <c r="O1747" i="16"/>
  <c r="P1747" i="16" s="1"/>
  <c r="O1748" i="16"/>
  <c r="P1748" i="16" s="1"/>
  <c r="O1749" i="16"/>
  <c r="P1749" i="16" s="1"/>
  <c r="O1742" i="16"/>
  <c r="P1742" i="16" s="1"/>
  <c r="O1741" i="16"/>
  <c r="P1741" i="16" s="1"/>
  <c r="O1740" i="16"/>
  <c r="P1740" i="16" s="1"/>
  <c r="O1739" i="16"/>
  <c r="P1739" i="16" s="1"/>
  <c r="O1743" i="16"/>
  <c r="P1743" i="16" s="1"/>
  <c r="O1737" i="16"/>
  <c r="P1737" i="16" s="1"/>
  <c r="O1750" i="16"/>
  <c r="P1750" i="16" s="1"/>
  <c r="O1751" i="16"/>
  <c r="P1751" i="16" s="1"/>
  <c r="O1752" i="16"/>
  <c r="P1752" i="16" s="1"/>
  <c r="O1738" i="16"/>
  <c r="P1738" i="16" s="1"/>
  <c r="O1753" i="16"/>
  <c r="P1753" i="16" s="1"/>
  <c r="O1754" i="16"/>
  <c r="P1754" i="16" s="1"/>
  <c r="O1755" i="16"/>
  <c r="P1755" i="16" s="1"/>
  <c r="O1756" i="16"/>
  <c r="P1756" i="16" s="1"/>
  <c r="O1757" i="16"/>
  <c r="P1757" i="16" s="1"/>
  <c r="O1758" i="16"/>
  <c r="P1758" i="16" s="1"/>
  <c r="O1759" i="16"/>
  <c r="P1759" i="16" s="1"/>
  <c r="O1760" i="16"/>
  <c r="P1760" i="16" s="1"/>
  <c r="O1762" i="16"/>
  <c r="P1762" i="16" s="1"/>
  <c r="O1763" i="16"/>
  <c r="P1763" i="16" s="1"/>
  <c r="O1764" i="16"/>
  <c r="P1764" i="16" s="1"/>
  <c r="O1761" i="16"/>
  <c r="P1761" i="16" s="1"/>
  <c r="O1768" i="16"/>
  <c r="P1768" i="16" s="1"/>
  <c r="O1765" i="16"/>
  <c r="P1765" i="16" s="1"/>
  <c r="O1766" i="16"/>
  <c r="P1766" i="16" s="1"/>
  <c r="O1767" i="16"/>
  <c r="P1767" i="16" s="1"/>
  <c r="O1771" i="16"/>
  <c r="P1771" i="16" s="1"/>
  <c r="O1772" i="16"/>
  <c r="P1772" i="16" s="1"/>
  <c r="O1770" i="16"/>
  <c r="P1770" i="16" s="1"/>
  <c r="O1769" i="16"/>
  <c r="P1769" i="16" s="1"/>
  <c r="O1773" i="16"/>
  <c r="P1773" i="16" s="1"/>
  <c r="O1774" i="16"/>
  <c r="P1774" i="16" s="1"/>
  <c r="O1775" i="16"/>
  <c r="P1775" i="16" s="1"/>
  <c r="O1776" i="16"/>
  <c r="P1776" i="16" s="1"/>
  <c r="O1778" i="16"/>
  <c r="P1778" i="16" s="1"/>
  <c r="O1777" i="16"/>
  <c r="P1777" i="16" s="1"/>
  <c r="O1780" i="16"/>
  <c r="P1780" i="16" s="1"/>
  <c r="O1779" i="16"/>
  <c r="P1779" i="16" s="1"/>
  <c r="O1781" i="16"/>
  <c r="P1781" i="16" s="1"/>
  <c r="O1782" i="16"/>
  <c r="P1782" i="16" s="1"/>
  <c r="O1783" i="16"/>
  <c r="P1783" i="16" s="1"/>
  <c r="O1784" i="16"/>
  <c r="P1784" i="16" s="1"/>
  <c r="O1785" i="16"/>
  <c r="P1785" i="16" s="1"/>
  <c r="O1786" i="16"/>
  <c r="P1786" i="16" s="1"/>
  <c r="O1787" i="16"/>
  <c r="P1787" i="16" s="1"/>
  <c r="O1791" i="16"/>
  <c r="P1791" i="16" s="1"/>
  <c r="O1792" i="16"/>
  <c r="P1792" i="16" s="1"/>
  <c r="O1793" i="16"/>
  <c r="P1793" i="16" s="1"/>
  <c r="O1789" i="16"/>
  <c r="P1789" i="16" s="1"/>
  <c r="O1794" i="16"/>
  <c r="P1794" i="16" s="1"/>
  <c r="O1795" i="16"/>
  <c r="P1795" i="16" s="1"/>
  <c r="O1796" i="16"/>
  <c r="P1796" i="16" s="1"/>
  <c r="O1797" i="16"/>
  <c r="P1797" i="16" s="1"/>
  <c r="O1798" i="16"/>
  <c r="P1798" i="16" s="1"/>
  <c r="O1790" i="16"/>
  <c r="P1790" i="16" s="1"/>
  <c r="O1799" i="16"/>
  <c r="P1799" i="16" s="1"/>
  <c r="O1800" i="16"/>
  <c r="P1800" i="16" s="1"/>
  <c r="O1801" i="16"/>
  <c r="P1801" i="16" s="1"/>
  <c r="O1802" i="16"/>
  <c r="P1802" i="16" s="1"/>
  <c r="O1803" i="16"/>
  <c r="P1803" i="16" s="1"/>
  <c r="O1788" i="16"/>
  <c r="P1788" i="16" s="1"/>
  <c r="O1809" i="16"/>
  <c r="P1809" i="16" s="1"/>
  <c r="O1810" i="16"/>
  <c r="P1810" i="16" s="1"/>
  <c r="O1811" i="16"/>
  <c r="P1811" i="16" s="1"/>
  <c r="O1819" i="16"/>
  <c r="P1819" i="16" s="1"/>
  <c r="O1812" i="16"/>
  <c r="P1812" i="16" s="1"/>
  <c r="O1813" i="16"/>
  <c r="P1813" i="16" s="1"/>
  <c r="O1814" i="16"/>
  <c r="P1814" i="16" s="1"/>
  <c r="O1815" i="16"/>
  <c r="P1815" i="16" s="1"/>
  <c r="O1816" i="16"/>
  <c r="P1816" i="16" s="1"/>
  <c r="O1817" i="16"/>
  <c r="P1817" i="16" s="1"/>
  <c r="O1807" i="16"/>
  <c r="P1807" i="16" s="1"/>
  <c r="O1804" i="16"/>
  <c r="P1804" i="16" s="1"/>
  <c r="O1818" i="16"/>
  <c r="P1818" i="16" s="1"/>
  <c r="O1808" i="16"/>
  <c r="P1808" i="16" s="1"/>
  <c r="O1806" i="16"/>
  <c r="P1806" i="16" s="1"/>
  <c r="O1805" i="16"/>
  <c r="P1805" i="16" s="1"/>
  <c r="O1822" i="16"/>
  <c r="P1822" i="16" s="1"/>
  <c r="O1823" i="16"/>
  <c r="P1823" i="16" s="1"/>
  <c r="O1824" i="16"/>
  <c r="P1824" i="16" s="1"/>
  <c r="O1825" i="16"/>
  <c r="P1825" i="16" s="1"/>
  <c r="O1820" i="16"/>
  <c r="P1820" i="16" s="1"/>
  <c r="O1826" i="16"/>
  <c r="P1826" i="16" s="1"/>
  <c r="O1827" i="16"/>
  <c r="P1827" i="16" s="1"/>
  <c r="O1821" i="16"/>
  <c r="P1821" i="16" s="1"/>
  <c r="O1829" i="16"/>
  <c r="P1829" i="16" s="1"/>
  <c r="O1830" i="16"/>
  <c r="P1830" i="16" s="1"/>
  <c r="O1831" i="16"/>
  <c r="P1831" i="16" s="1"/>
  <c r="O1832" i="16"/>
  <c r="P1832" i="16" s="1"/>
  <c r="O1833" i="16"/>
  <c r="P1833" i="16" s="1"/>
  <c r="O1828" i="16"/>
  <c r="P1828" i="16" s="1"/>
  <c r="O1834" i="16"/>
  <c r="P1834" i="16" s="1"/>
  <c r="O1835" i="16"/>
  <c r="P1835" i="16" s="1"/>
  <c r="O1839" i="16"/>
  <c r="P1839" i="16" s="1"/>
  <c r="O1836" i="16"/>
  <c r="P1836" i="16" s="1"/>
  <c r="O1837" i="16"/>
  <c r="P1837" i="16" s="1"/>
  <c r="O1838" i="16"/>
  <c r="P1838" i="16" s="1"/>
  <c r="O1841" i="16"/>
  <c r="P1841" i="16" s="1"/>
  <c r="O1842" i="16"/>
  <c r="P1842" i="16" s="1"/>
  <c r="O1843" i="16"/>
  <c r="P1843" i="16" s="1"/>
  <c r="O1840" i="16"/>
  <c r="P1840" i="16" s="1"/>
  <c r="O1845" i="16"/>
  <c r="P1845" i="16" s="1"/>
  <c r="O1844" i="16"/>
  <c r="P1844" i="16" s="1"/>
  <c r="O1846" i="16"/>
  <c r="P1846" i="16" s="1"/>
  <c r="O1847" i="16"/>
  <c r="P1847" i="16" s="1"/>
  <c r="O1848" i="16"/>
  <c r="P1848" i="16" s="1"/>
  <c r="O1849" i="16"/>
  <c r="P1849" i="16" s="1"/>
  <c r="O1850" i="16"/>
  <c r="P1850" i="16" s="1"/>
  <c r="O1851" i="16"/>
  <c r="P1851" i="16" s="1"/>
  <c r="O1852" i="16"/>
  <c r="P1852" i="16" s="1"/>
  <c r="O1853" i="16"/>
  <c r="P1853" i="16" s="1"/>
  <c r="O1854" i="16"/>
  <c r="P1854" i="16" s="1"/>
  <c r="O1858" i="16"/>
  <c r="P1858" i="16" s="1"/>
  <c r="O1859" i="16"/>
  <c r="P1859" i="16" s="1"/>
  <c r="O1860" i="16"/>
  <c r="P1860" i="16" s="1"/>
  <c r="O1855" i="16"/>
  <c r="P1855" i="16" s="1"/>
  <c r="O1861" i="16"/>
  <c r="P1861" i="16" s="1"/>
  <c r="O1862" i="16"/>
  <c r="P1862" i="16" s="1"/>
  <c r="O1863" i="16"/>
  <c r="P1863" i="16" s="1"/>
  <c r="O1864" i="16"/>
  <c r="P1864" i="16" s="1"/>
  <c r="O1865" i="16"/>
  <c r="P1865" i="16" s="1"/>
  <c r="O1866" i="16"/>
  <c r="P1866" i="16" s="1"/>
  <c r="O1870" i="16"/>
  <c r="P1870" i="16" s="1"/>
  <c r="O1857" i="16"/>
  <c r="P1857" i="16" s="1"/>
  <c r="O1867" i="16"/>
  <c r="P1867" i="16" s="1"/>
  <c r="O1868" i="16"/>
  <c r="P1868" i="16" s="1"/>
  <c r="O1869" i="16"/>
  <c r="P1869" i="16" s="1"/>
  <c r="O1856" i="16"/>
  <c r="P1856" i="16" s="1"/>
  <c r="O1875" i="16"/>
  <c r="P1875" i="16" s="1"/>
  <c r="O1876" i="16"/>
  <c r="P1876" i="16" s="1"/>
  <c r="O1877" i="16"/>
  <c r="P1877" i="16" s="1"/>
  <c r="O1878" i="16"/>
  <c r="P1878" i="16" s="1"/>
  <c r="O1879" i="16"/>
  <c r="P1879" i="16" s="1"/>
  <c r="O1880" i="16"/>
  <c r="P1880" i="16" s="1"/>
  <c r="O1873" i="16"/>
  <c r="P1873" i="16" s="1"/>
  <c r="O1871" i="16"/>
  <c r="P1871" i="16" s="1"/>
  <c r="O1881" i="16"/>
  <c r="P1881" i="16" s="1"/>
  <c r="O1882" i="16"/>
  <c r="P1882" i="16" s="1"/>
  <c r="O1874" i="16"/>
  <c r="P1874" i="16" s="1"/>
  <c r="O1872" i="16"/>
  <c r="P1872" i="16" s="1"/>
  <c r="O1883" i="16"/>
  <c r="P1883" i="16" s="1"/>
  <c r="O1884" i="16"/>
  <c r="P1884" i="16" s="1"/>
  <c r="O1885" i="16"/>
  <c r="P1885" i="16" s="1"/>
  <c r="O1886" i="16"/>
  <c r="P1886" i="16" s="1"/>
  <c r="O1889" i="16"/>
  <c r="P1889" i="16" s="1"/>
  <c r="O1888" i="16"/>
  <c r="P1888" i="16" s="1"/>
  <c r="O1890" i="16"/>
  <c r="P1890" i="16" s="1"/>
  <c r="O1891" i="16"/>
  <c r="P1891" i="16" s="1"/>
  <c r="O1892" i="16"/>
  <c r="P1892" i="16" s="1"/>
  <c r="O1887" i="16"/>
  <c r="P1887" i="16" s="1"/>
  <c r="O1893" i="16"/>
  <c r="P1893" i="16" s="1"/>
  <c r="O1894" i="16"/>
  <c r="P1894" i="16" s="1"/>
  <c r="O1898" i="16"/>
  <c r="P1898" i="16" s="1"/>
  <c r="O1899" i="16"/>
  <c r="P1899" i="16" s="1"/>
  <c r="O1896" i="16"/>
  <c r="P1896" i="16" s="1"/>
  <c r="O1900" i="16"/>
  <c r="P1900" i="16" s="1"/>
  <c r="O1901" i="16"/>
  <c r="P1901" i="16" s="1"/>
  <c r="O1895" i="16"/>
  <c r="P1895" i="16" s="1"/>
  <c r="O1902" i="16"/>
  <c r="P1902" i="16" s="1"/>
  <c r="O1897" i="16"/>
  <c r="P1897" i="16" s="1"/>
  <c r="O1903" i="16"/>
  <c r="P1903" i="16" s="1"/>
  <c r="O1906" i="16"/>
  <c r="P1906" i="16" s="1"/>
  <c r="O1904" i="16"/>
  <c r="P1904" i="16" s="1"/>
  <c r="O1905" i="16"/>
  <c r="P1905" i="16" s="1"/>
  <c r="O1909" i="16"/>
  <c r="P1909" i="16" s="1"/>
  <c r="O1907" i="16"/>
  <c r="P1907" i="16" s="1"/>
  <c r="O1910" i="16"/>
  <c r="P1910" i="16" s="1"/>
  <c r="O1908" i="16"/>
  <c r="P1908" i="16" s="1"/>
  <c r="O1911" i="16"/>
  <c r="P1911" i="16" s="1"/>
  <c r="O1912" i="16"/>
  <c r="P1912" i="16" s="1"/>
  <c r="O1914" i="16"/>
  <c r="P1914" i="16" s="1"/>
  <c r="O1913" i="16"/>
  <c r="P1913" i="16" s="1"/>
  <c r="O1915" i="16"/>
  <c r="P1915" i="16" s="1"/>
  <c r="O1916" i="16"/>
  <c r="P1916" i="16" s="1"/>
  <c r="O1917" i="16"/>
  <c r="P1917" i="16" s="1"/>
  <c r="O1918" i="16"/>
  <c r="P1918" i="16" s="1"/>
  <c r="O1919" i="16"/>
  <c r="P1919" i="16" s="1"/>
  <c r="O1920" i="16"/>
  <c r="P1920" i="16" s="1"/>
  <c r="O1921" i="16"/>
  <c r="P1921" i="16" s="1"/>
  <c r="O1926" i="16"/>
  <c r="P1926" i="16" s="1"/>
  <c r="O1927" i="16"/>
  <c r="P1927" i="16" s="1"/>
  <c r="O1928" i="16"/>
  <c r="P1928" i="16" s="1"/>
  <c r="O1929" i="16"/>
  <c r="P1929" i="16" s="1"/>
  <c r="O1930" i="16"/>
  <c r="P1930" i="16" s="1"/>
  <c r="O1931" i="16"/>
  <c r="P1931" i="16" s="1"/>
  <c r="O1932" i="16"/>
  <c r="P1932" i="16" s="1"/>
  <c r="O1933" i="16"/>
  <c r="P1933" i="16" s="1"/>
  <c r="O1924" i="16"/>
  <c r="P1924" i="16" s="1"/>
  <c r="O1922" i="16"/>
  <c r="P1922" i="16" s="1"/>
  <c r="O1934" i="16"/>
  <c r="P1934" i="16" s="1"/>
  <c r="O1935" i="16"/>
  <c r="P1935" i="16" s="1"/>
  <c r="O1936" i="16"/>
  <c r="P1936" i="16" s="1"/>
  <c r="O1937" i="16"/>
  <c r="P1937" i="16" s="1"/>
  <c r="O1925" i="16"/>
  <c r="P1925" i="16" s="1"/>
  <c r="O1923" i="16"/>
  <c r="P1923" i="16" s="1"/>
  <c r="O1939" i="16"/>
  <c r="P1939" i="16" s="1"/>
  <c r="O1940" i="16"/>
  <c r="P1940" i="16" s="1"/>
  <c r="O1941" i="16"/>
  <c r="P1941" i="16" s="1"/>
  <c r="O1942" i="16"/>
  <c r="P1942" i="16" s="1"/>
  <c r="O1943" i="16"/>
  <c r="P1943" i="16" s="1"/>
  <c r="O1938" i="16"/>
  <c r="P1938" i="16" s="1"/>
  <c r="O1944" i="16"/>
  <c r="P1944" i="16" s="1"/>
  <c r="O1945" i="16"/>
  <c r="P1945" i="16" s="1"/>
  <c r="O1946" i="16"/>
  <c r="P1946" i="16" s="1"/>
  <c r="O1947" i="16"/>
  <c r="P1947" i="16" s="1"/>
  <c r="O1948" i="16"/>
  <c r="P1948" i="16" s="1"/>
  <c r="O1949" i="16"/>
  <c r="P1949" i="16" s="1"/>
  <c r="O1950" i="16"/>
  <c r="P1950" i="16" s="1"/>
  <c r="O1951" i="16"/>
  <c r="P1951" i="16" s="1"/>
  <c r="O1952" i="16"/>
  <c r="P1952" i="16" s="1"/>
  <c r="O1953" i="16"/>
  <c r="P1953" i="16" s="1"/>
  <c r="O1954" i="16"/>
  <c r="P1954" i="16" s="1"/>
  <c r="O1955" i="16"/>
  <c r="P1955" i="16" s="1"/>
  <c r="O1956" i="16"/>
  <c r="P1956" i="16" s="1"/>
  <c r="O1961" i="16"/>
  <c r="P1961" i="16" s="1"/>
  <c r="O1957" i="16"/>
  <c r="P1957" i="16" s="1"/>
  <c r="O1958" i="16"/>
  <c r="P1958" i="16" s="1"/>
  <c r="O1959" i="16"/>
  <c r="P1959" i="16" s="1"/>
  <c r="O1960" i="16"/>
  <c r="P1960" i="16" s="1"/>
  <c r="O1964" i="16"/>
  <c r="P1964" i="16" s="1"/>
  <c r="O1965" i="16"/>
  <c r="P1965" i="16" s="1"/>
  <c r="O1962" i="16"/>
  <c r="P1962" i="16" s="1"/>
  <c r="O1969" i="16"/>
  <c r="P1969" i="16" s="1"/>
  <c r="O1963" i="16"/>
  <c r="P1963" i="16" s="1"/>
  <c r="O1966" i="16"/>
  <c r="P1966" i="16" s="1"/>
  <c r="O1967" i="16"/>
  <c r="P1967" i="16" s="1"/>
  <c r="O1968" i="16"/>
  <c r="P1968" i="16" s="1"/>
  <c r="O1970" i="16"/>
  <c r="P1970" i="16" s="1"/>
  <c r="O1971" i="16"/>
  <c r="P1971" i="16" s="1"/>
  <c r="O1972" i="16"/>
  <c r="P1972" i="16" s="1"/>
  <c r="O1973" i="16"/>
  <c r="P1973" i="16" s="1"/>
  <c r="O1975" i="16"/>
  <c r="P1975" i="16" s="1"/>
  <c r="O1974" i="16"/>
  <c r="P1974" i="16" s="1"/>
  <c r="O1976" i="16"/>
  <c r="P1976" i="16" s="1"/>
  <c r="O1977" i="16"/>
  <c r="P1977" i="16" s="1"/>
  <c r="O1978" i="16"/>
  <c r="P1978" i="16" s="1"/>
  <c r="O1979" i="16"/>
  <c r="P1979" i="16" s="1"/>
  <c r="O1980" i="16"/>
  <c r="P1980" i="16" s="1"/>
  <c r="O1981" i="16"/>
  <c r="P1981" i="16" s="1"/>
  <c r="O1982" i="16"/>
  <c r="P1982" i="16" s="1"/>
  <c r="O1983" i="16"/>
  <c r="P1983" i="16" s="1"/>
  <c r="O1984" i="16"/>
  <c r="P1984" i="16" s="1"/>
  <c r="O1985" i="16"/>
  <c r="P1985" i="16" s="1"/>
  <c r="O1986" i="16"/>
  <c r="P1986" i="16" s="1"/>
  <c r="O1987" i="16"/>
  <c r="P1987" i="16" s="1"/>
  <c r="O1988" i="16"/>
  <c r="P1988" i="16" s="1"/>
  <c r="O1993" i="16"/>
  <c r="P1993" i="16" s="1"/>
  <c r="O1994" i="16"/>
  <c r="P1994" i="16" s="1"/>
  <c r="O1995" i="16"/>
  <c r="P1995" i="16" s="1"/>
  <c r="O2002" i="16"/>
  <c r="P2002" i="16" s="1"/>
  <c r="O1996" i="16"/>
  <c r="P1996" i="16" s="1"/>
  <c r="O1997" i="16"/>
  <c r="P1997" i="16" s="1"/>
  <c r="O1998" i="16"/>
  <c r="P1998" i="16" s="1"/>
  <c r="O2003" i="16"/>
  <c r="P2003" i="16" s="1"/>
  <c r="O1991" i="16"/>
  <c r="P1991" i="16" s="1"/>
  <c r="O1989" i="16"/>
  <c r="P1989" i="16" s="1"/>
  <c r="O1999" i="16"/>
  <c r="P1999" i="16" s="1"/>
  <c r="O2000" i="16"/>
  <c r="P2000" i="16" s="1"/>
  <c r="O2004" i="16"/>
  <c r="P2004" i="16" s="1"/>
  <c r="O1992" i="16"/>
  <c r="P1992" i="16" s="1"/>
  <c r="O2001" i="16"/>
  <c r="P2001" i="16" s="1"/>
  <c r="O1990" i="16"/>
  <c r="P1990" i="16" s="1"/>
  <c r="O2011" i="16"/>
  <c r="P2011" i="16" s="1"/>
  <c r="O2012" i="16"/>
  <c r="P2012" i="16" s="1"/>
  <c r="O2013" i="16"/>
  <c r="P2013" i="16" s="1"/>
  <c r="O2006" i="16"/>
  <c r="P2006" i="16" s="1"/>
  <c r="O2009" i="16"/>
  <c r="P2009" i="16" s="1"/>
  <c r="O2005" i="16"/>
  <c r="P2005" i="16" s="1"/>
  <c r="O2014" i="16"/>
  <c r="P2014" i="16" s="1"/>
  <c r="O2015" i="16"/>
  <c r="P2015" i="16" s="1"/>
  <c r="O2016" i="16"/>
  <c r="P2016" i="16" s="1"/>
  <c r="O2007" i="16"/>
  <c r="P2007" i="16" s="1"/>
  <c r="O2017" i="16"/>
  <c r="P2017" i="16" s="1"/>
  <c r="O2018" i="16"/>
  <c r="P2018" i="16" s="1"/>
  <c r="O2019" i="16"/>
  <c r="P2019" i="16" s="1"/>
  <c r="O2020" i="16"/>
  <c r="P2020" i="16" s="1"/>
  <c r="O2010" i="16"/>
  <c r="P2010" i="16" s="1"/>
  <c r="O2008" i="16"/>
  <c r="P2008" i="16" s="1"/>
  <c r="O2022" i="16"/>
  <c r="P2022" i="16" s="1"/>
  <c r="O2028" i="16"/>
  <c r="P2028" i="16" s="1"/>
  <c r="O2023" i="16"/>
  <c r="P2023" i="16" s="1"/>
  <c r="O2024" i="16"/>
  <c r="P2024" i="16" s="1"/>
  <c r="O2021" i="16"/>
  <c r="P2021" i="16" s="1"/>
  <c r="O2025" i="16"/>
  <c r="P2025" i="16" s="1"/>
  <c r="O2026" i="16"/>
  <c r="P2026" i="16" s="1"/>
  <c r="O2027" i="16"/>
  <c r="P2027" i="16" s="1"/>
  <c r="O2030" i="16"/>
  <c r="P2030" i="16" s="1"/>
  <c r="O2029" i="16"/>
  <c r="P2029" i="16" s="1"/>
  <c r="O2031" i="16"/>
  <c r="P2031" i="16" s="1"/>
  <c r="O2032" i="16"/>
  <c r="P2032" i="16" s="1"/>
  <c r="O2033" i="16"/>
  <c r="P2033" i="16" s="1"/>
  <c r="O2034" i="16"/>
  <c r="P2034" i="16" s="1"/>
  <c r="O2035" i="16"/>
  <c r="P2035" i="16" s="1"/>
  <c r="O2036" i="16"/>
  <c r="P2036" i="16" s="1"/>
  <c r="O2037" i="16"/>
  <c r="P2037" i="16" s="1"/>
  <c r="O2038" i="16"/>
  <c r="P2038" i="16" s="1"/>
  <c r="O2039" i="16"/>
  <c r="P2039" i="16" s="1"/>
  <c r="O2040" i="16"/>
  <c r="P2040" i="16" s="1"/>
  <c r="O2041" i="16"/>
  <c r="P2041" i="16" s="1"/>
  <c r="O2042" i="16"/>
  <c r="P2042" i="16" s="1"/>
  <c r="O2043" i="16"/>
  <c r="P2043" i="16" s="1"/>
  <c r="O2044" i="16"/>
  <c r="P2044" i="16" s="1"/>
  <c r="O2045" i="16"/>
  <c r="P2045" i="16" s="1"/>
  <c r="O2046" i="16"/>
  <c r="P2046" i="16" s="1"/>
  <c r="O2048" i="16"/>
  <c r="P2048" i="16" s="1"/>
  <c r="O2047" i="16"/>
  <c r="P2047" i="16" s="1"/>
  <c r="O2049" i="16"/>
  <c r="P2049" i="16" s="1"/>
  <c r="O2050" i="16"/>
  <c r="P2050" i="16" s="1"/>
  <c r="O2051" i="16"/>
  <c r="P2051" i="16" s="1"/>
  <c r="O2052" i="16"/>
  <c r="P2052" i="16" s="1"/>
  <c r="O2053" i="16"/>
  <c r="P2053" i="16" s="1"/>
  <c r="O2054" i="16"/>
  <c r="P2054" i="16" s="1"/>
  <c r="O2055" i="16"/>
  <c r="P2055" i="16" s="1"/>
  <c r="O2058" i="16"/>
  <c r="P2058" i="16" s="1"/>
  <c r="O2059" i="16"/>
  <c r="P2059" i="16" s="1"/>
  <c r="O2060" i="16"/>
  <c r="P2060" i="16" s="1"/>
  <c r="O2061" i="16"/>
  <c r="P2061" i="16" s="1"/>
  <c r="O2062" i="16"/>
  <c r="P2062" i="16" s="1"/>
  <c r="O2063" i="16"/>
  <c r="P2063" i="16" s="1"/>
  <c r="O2056" i="16"/>
  <c r="P2056" i="16" s="1"/>
  <c r="O2064" i="16"/>
  <c r="P2064" i="16" s="1"/>
  <c r="O2057" i="16"/>
  <c r="P2057" i="16" s="1"/>
  <c r="O2065" i="16"/>
  <c r="P2065" i="16" s="1"/>
  <c r="O2066" i="16"/>
  <c r="P2066" i="16" s="1"/>
  <c r="O2067" i="16"/>
  <c r="P2067" i="16" s="1"/>
  <c r="O2068" i="16"/>
  <c r="P2068" i="16" s="1"/>
  <c r="O2069" i="16"/>
  <c r="P2069" i="16" s="1"/>
  <c r="O2070" i="16"/>
  <c r="P2070" i="16" s="1"/>
  <c r="O2071" i="16"/>
  <c r="P2071" i="16" s="1"/>
  <c r="O2075" i="16"/>
  <c r="P2075" i="16" s="1"/>
  <c r="O2076" i="16"/>
  <c r="P2076" i="16" s="1"/>
  <c r="O2077" i="16"/>
  <c r="P2077" i="16" s="1"/>
  <c r="O2078" i="16"/>
  <c r="P2078" i="16" s="1"/>
  <c r="O2079" i="16"/>
  <c r="P2079" i="16" s="1"/>
  <c r="O2072" i="16"/>
  <c r="P2072" i="16" s="1"/>
  <c r="O2080" i="16"/>
  <c r="P2080" i="16" s="1"/>
  <c r="O2073" i="16"/>
  <c r="P2073" i="16" s="1"/>
  <c r="O2081" i="16"/>
  <c r="P2081" i="16" s="1"/>
  <c r="O2074" i="16"/>
  <c r="P2074" i="16" s="1"/>
  <c r="O2082" i="16"/>
  <c r="P2082" i="16" s="1"/>
  <c r="O2083" i="16"/>
  <c r="P2083" i="16" s="1"/>
  <c r="O2087" i="16"/>
  <c r="P2087" i="16" s="1"/>
  <c r="O2084" i="16"/>
  <c r="P2084" i="16" s="1"/>
  <c r="O2085" i="16"/>
  <c r="P2085" i="16" s="1"/>
  <c r="O2086" i="16"/>
  <c r="P2086" i="16" s="1"/>
  <c r="O2090" i="16"/>
  <c r="P2090" i="16" s="1"/>
  <c r="O2089" i="16"/>
  <c r="P2089" i="16" s="1"/>
  <c r="O2091" i="16"/>
  <c r="P2091" i="16" s="1"/>
  <c r="O2088" i="16"/>
  <c r="P2088" i="16" s="1"/>
  <c r="O2092" i="16"/>
  <c r="P2092" i="16" s="1"/>
  <c r="O2093" i="16"/>
  <c r="P2093" i="16" s="1"/>
  <c r="O2094" i="16"/>
  <c r="P2094" i="16" s="1"/>
  <c r="O2095" i="16"/>
  <c r="P2095" i="16" s="1"/>
  <c r="O2096" i="16"/>
  <c r="P2096" i="16" s="1"/>
  <c r="O2098" i="16"/>
  <c r="P2098" i="16" s="1"/>
  <c r="O2099" i="16"/>
  <c r="P2099" i="16" s="1"/>
  <c r="O2100" i="16"/>
  <c r="P2100" i="16" s="1"/>
  <c r="O2101" i="16"/>
  <c r="P2101" i="16" s="1"/>
  <c r="O2102" i="16"/>
  <c r="P2102" i="16" s="1"/>
  <c r="O2097" i="16"/>
  <c r="P2097" i="16" s="1"/>
  <c r="O2103" i="16"/>
  <c r="P2103" i="16" s="1"/>
  <c r="O2105" i="16"/>
  <c r="P2105" i="16" s="1"/>
  <c r="O2106" i="16"/>
  <c r="P2106" i="16" s="1"/>
  <c r="O2107" i="16"/>
  <c r="P2107" i="16" s="1"/>
  <c r="O2104" i="16"/>
  <c r="P2104" i="16" s="1"/>
  <c r="O2109" i="16"/>
  <c r="P2109" i="16" s="1"/>
  <c r="O2108" i="16"/>
  <c r="P2108" i="16" s="1"/>
  <c r="O2110" i="16"/>
  <c r="P2110" i="16" s="1"/>
  <c r="O2111" i="16"/>
  <c r="P2111" i="16" s="1"/>
  <c r="O2113" i="16"/>
  <c r="P2113" i="16" s="1"/>
  <c r="O2112" i="16"/>
  <c r="P2112" i="16" s="1"/>
  <c r="O2114" i="16"/>
  <c r="P2114" i="16" s="1"/>
  <c r="O2115" i="16"/>
  <c r="P2115" i="16" s="1"/>
  <c r="O2116" i="16"/>
  <c r="P2116" i="16" s="1"/>
  <c r="O2117" i="16"/>
  <c r="P2117" i="16" s="1"/>
  <c r="O2118" i="16"/>
  <c r="P2118" i="16" s="1"/>
  <c r="N2" i="16"/>
  <c r="N3" i="16"/>
  <c r="N4" i="16"/>
  <c r="N5" i="16"/>
  <c r="N6" i="16"/>
  <c r="N7" i="16"/>
  <c r="N8" i="16"/>
  <c r="N16" i="16"/>
  <c r="N9" i="16"/>
  <c r="N10" i="16"/>
  <c r="N11" i="16"/>
  <c r="N15" i="16"/>
  <c r="N12" i="16"/>
  <c r="N13" i="16"/>
  <c r="N17" i="16"/>
  <c r="N14" i="16"/>
  <c r="N18" i="16"/>
  <c r="N19" i="16"/>
  <c r="N20" i="16"/>
  <c r="N21" i="16"/>
  <c r="N22" i="16"/>
  <c r="N23" i="16"/>
  <c r="N24" i="16"/>
  <c r="N32" i="16"/>
  <c r="N25" i="16"/>
  <c r="N26" i="16"/>
  <c r="N27" i="16"/>
  <c r="N31" i="16"/>
  <c r="N28" i="16"/>
  <c r="N29" i="16"/>
  <c r="N30" i="16"/>
  <c r="N33" i="16"/>
  <c r="N34" i="16"/>
  <c r="N35" i="16"/>
  <c r="N36" i="16"/>
  <c r="N41" i="16"/>
  <c r="N37" i="16"/>
  <c r="N39" i="16"/>
  <c r="N38" i="16"/>
  <c r="N40" i="16"/>
  <c r="N42" i="16"/>
  <c r="N43" i="16"/>
  <c r="N44" i="16"/>
  <c r="N47" i="16"/>
  <c r="N45" i="16"/>
  <c r="N48" i="16"/>
  <c r="N46" i="16"/>
  <c r="N49" i="16"/>
  <c r="N50" i="16"/>
  <c r="N51" i="16"/>
  <c r="N52" i="16"/>
  <c r="N53" i="16"/>
  <c r="N54" i="16"/>
  <c r="N57" i="16"/>
  <c r="N55" i="16"/>
  <c r="N56" i="16"/>
  <c r="N58" i="16"/>
  <c r="N59" i="16"/>
  <c r="N61" i="16"/>
  <c r="N60" i="16"/>
  <c r="N62" i="16"/>
  <c r="N63" i="16"/>
  <c r="N64" i="16"/>
  <c r="N65" i="16"/>
  <c r="N66" i="16"/>
  <c r="N67" i="16"/>
  <c r="N77" i="16"/>
  <c r="N68" i="16"/>
  <c r="N69" i="16"/>
  <c r="N70" i="16"/>
  <c r="N80" i="16"/>
  <c r="N71" i="16"/>
  <c r="N72" i="16"/>
  <c r="N79" i="16"/>
  <c r="N78" i="16"/>
  <c r="N73" i="16"/>
  <c r="N74" i="16"/>
  <c r="N75" i="16"/>
  <c r="N76" i="16"/>
  <c r="N83" i="16"/>
  <c r="N84" i="16"/>
  <c r="N85" i="16"/>
  <c r="N81" i="16"/>
  <c r="N86" i="16"/>
  <c r="N87" i="16"/>
  <c r="N88" i="16"/>
  <c r="N82" i="16"/>
  <c r="N89" i="16"/>
  <c r="N90" i="16"/>
  <c r="N91" i="16"/>
  <c r="N92" i="16"/>
  <c r="N93" i="16"/>
  <c r="N94" i="16"/>
  <c r="N95" i="16"/>
  <c r="N96" i="16"/>
  <c r="N97" i="16"/>
  <c r="N102" i="16"/>
  <c r="N98" i="16"/>
  <c r="N104" i="16"/>
  <c r="N99" i="16"/>
  <c r="N103" i="16"/>
  <c r="N100" i="16"/>
  <c r="N101" i="16"/>
  <c r="N110" i="16"/>
  <c r="N108" i="16"/>
  <c r="N105" i="16"/>
  <c r="N111" i="16"/>
  <c r="N106" i="16"/>
  <c r="N112" i="16"/>
  <c r="N107" i="16"/>
  <c r="N109" i="16"/>
  <c r="N113" i="16"/>
  <c r="N115" i="16"/>
  <c r="N114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30" i="16"/>
  <c r="N131" i="16"/>
  <c r="N132" i="16"/>
  <c r="N142" i="16"/>
  <c r="N133" i="16"/>
  <c r="N134" i="16"/>
  <c r="N135" i="16"/>
  <c r="N129" i="16"/>
  <c r="N136" i="16"/>
  <c r="N137" i="16"/>
  <c r="N138" i="16"/>
  <c r="N128" i="16"/>
  <c r="N139" i="16"/>
  <c r="N140" i="16"/>
  <c r="N143" i="16"/>
  <c r="N141" i="16"/>
  <c r="N145" i="16"/>
  <c r="N146" i="16"/>
  <c r="N147" i="16"/>
  <c r="N157" i="16"/>
  <c r="N148" i="16"/>
  <c r="N149" i="16"/>
  <c r="N150" i="16"/>
  <c r="N158" i="16"/>
  <c r="N151" i="16"/>
  <c r="N152" i="16"/>
  <c r="N159" i="16"/>
  <c r="N144" i="16"/>
  <c r="N153" i="16"/>
  <c r="N154" i="16"/>
  <c r="N155" i="16"/>
  <c r="N156" i="16"/>
  <c r="N160" i="16"/>
  <c r="N167" i="16"/>
  <c r="N161" i="16"/>
  <c r="N162" i="16"/>
  <c r="N163" i="16"/>
  <c r="N164" i="16"/>
  <c r="N165" i="16"/>
  <c r="N166" i="16"/>
  <c r="N168" i="16"/>
  <c r="N174" i="16"/>
  <c r="N169" i="16"/>
  <c r="N173" i="16"/>
  <c r="N170" i="16"/>
  <c r="N171" i="16"/>
  <c r="N172" i="16"/>
  <c r="N175" i="16"/>
  <c r="N176" i="16"/>
  <c r="N177" i="16"/>
  <c r="N178" i="16"/>
  <c r="N179" i="16"/>
  <c r="N180" i="16"/>
  <c r="N183" i="16"/>
  <c r="N181" i="16"/>
  <c r="N182" i="16"/>
  <c r="N185" i="16"/>
  <c r="N184" i="16"/>
  <c r="N186" i="16"/>
  <c r="N187" i="16"/>
  <c r="N188" i="16"/>
  <c r="N189" i="16"/>
  <c r="N190" i="16"/>
  <c r="N191" i="16"/>
  <c r="N192" i="16"/>
  <c r="N193" i="16"/>
  <c r="N204" i="16"/>
  <c r="N194" i="16"/>
  <c r="N195" i="16"/>
  <c r="N196" i="16"/>
  <c r="N206" i="16"/>
  <c r="N197" i="16"/>
  <c r="N198" i="16"/>
  <c r="N199" i="16"/>
  <c r="N200" i="16"/>
  <c r="N201" i="16"/>
  <c r="N202" i="16"/>
  <c r="N203" i="16"/>
  <c r="N205" i="16"/>
  <c r="N209" i="16"/>
  <c r="N210" i="16"/>
  <c r="N211" i="16"/>
  <c r="N208" i="16"/>
  <c r="N212" i="16"/>
  <c r="N213" i="16"/>
  <c r="N214" i="16"/>
  <c r="N207" i="16"/>
  <c r="N215" i="16"/>
  <c r="N216" i="16"/>
  <c r="N217" i="16"/>
  <c r="N218" i="16"/>
  <c r="N219" i="16"/>
  <c r="N220" i="16"/>
  <c r="N221" i="16"/>
  <c r="N222" i="16"/>
  <c r="N223" i="16"/>
  <c r="N229" i="16"/>
  <c r="N224" i="16"/>
  <c r="N225" i="16"/>
  <c r="N226" i="16"/>
  <c r="N230" i="16"/>
  <c r="N227" i="16"/>
  <c r="N228" i="16"/>
  <c r="N231" i="16"/>
  <c r="N235" i="16"/>
  <c r="N232" i="16"/>
  <c r="N236" i="16"/>
  <c r="N233" i="16"/>
  <c r="N237" i="16"/>
  <c r="N234" i="16"/>
  <c r="N238" i="16"/>
  <c r="N239" i="16"/>
  <c r="N240" i="16"/>
  <c r="N241" i="16"/>
  <c r="N242" i="16"/>
  <c r="N246" i="16"/>
  <c r="N243" i="16"/>
  <c r="N244" i="16"/>
  <c r="N245" i="16"/>
  <c r="N248" i="16"/>
  <c r="N247" i="16"/>
  <c r="N250" i="16"/>
  <c r="N249" i="16"/>
  <c r="N251" i="16"/>
  <c r="N252" i="16"/>
  <c r="N253" i="16"/>
  <c r="N256" i="16"/>
  <c r="N257" i="16"/>
  <c r="N266" i="16"/>
  <c r="N254" i="16"/>
  <c r="N258" i="16"/>
  <c r="N259" i="16"/>
  <c r="N260" i="16"/>
  <c r="N267" i="16"/>
  <c r="N261" i="16"/>
  <c r="N262" i="16"/>
  <c r="N268" i="16"/>
  <c r="N255" i="16"/>
  <c r="N263" i="16"/>
  <c r="N264" i="16"/>
  <c r="N269" i="16"/>
  <c r="N265" i="16"/>
  <c r="N270" i="16"/>
  <c r="N271" i="16"/>
  <c r="N272" i="16"/>
  <c r="N285" i="16"/>
  <c r="N273" i="16"/>
  <c r="N274" i="16"/>
  <c r="N284" i="16"/>
  <c r="N281" i="16"/>
  <c r="N275" i="16"/>
  <c r="N276" i="16"/>
  <c r="N277" i="16"/>
  <c r="N282" i="16"/>
  <c r="N278" i="16"/>
  <c r="N279" i="16"/>
  <c r="N280" i="16"/>
  <c r="N283" i="16"/>
  <c r="N286" i="16"/>
  <c r="N287" i="16"/>
  <c r="N288" i="16"/>
  <c r="N289" i="16"/>
  <c r="N290" i="16"/>
  <c r="N291" i="16"/>
  <c r="N292" i="16"/>
  <c r="N293" i="16"/>
  <c r="N294" i="16"/>
  <c r="N301" i="16"/>
  <c r="N295" i="16"/>
  <c r="N296" i="16"/>
  <c r="N297" i="16"/>
  <c r="N298" i="16"/>
  <c r="N299" i="16"/>
  <c r="N300" i="16"/>
  <c r="N304" i="16"/>
  <c r="N302" i="16"/>
  <c r="N305" i="16"/>
  <c r="N303" i="16"/>
  <c r="N306" i="16"/>
  <c r="N307" i="16"/>
  <c r="N308" i="16"/>
  <c r="N309" i="16"/>
  <c r="N310" i="16"/>
  <c r="N311" i="16"/>
  <c r="N313" i="16"/>
  <c r="N312" i="16"/>
  <c r="N314" i="16"/>
  <c r="N315" i="16"/>
  <c r="N316" i="16"/>
  <c r="N317" i="16"/>
  <c r="N318" i="16"/>
  <c r="N319" i="16"/>
  <c r="N331" i="16"/>
  <c r="N320" i="16"/>
  <c r="N321" i="16"/>
  <c r="N322" i="16"/>
  <c r="N329" i="16"/>
  <c r="N323" i="16"/>
  <c r="N324" i="16"/>
  <c r="N325" i="16"/>
  <c r="N332" i="16"/>
  <c r="N326" i="16"/>
  <c r="N327" i="16"/>
  <c r="N328" i="16"/>
  <c r="N330" i="16"/>
  <c r="N334" i="16"/>
  <c r="N335" i="16"/>
  <c r="N336" i="16"/>
  <c r="N337" i="16"/>
  <c r="N338" i="16"/>
  <c r="N339" i="16"/>
  <c r="N340" i="16"/>
  <c r="N348" i="16"/>
  <c r="N341" i="16"/>
  <c r="N342" i="16"/>
  <c r="N343" i="16"/>
  <c r="N333" i="16"/>
  <c r="N344" i="16"/>
  <c r="N345" i="16"/>
  <c r="N346" i="16"/>
  <c r="N347" i="16"/>
  <c r="N350" i="16"/>
  <c r="N356" i="16"/>
  <c r="N351" i="16"/>
  <c r="N355" i="16"/>
  <c r="N352" i="16"/>
  <c r="N353" i="16"/>
  <c r="N354" i="16"/>
  <c r="N349" i="16"/>
  <c r="N359" i="16"/>
  <c r="N362" i="16"/>
  <c r="N364" i="16"/>
  <c r="N357" i="16"/>
  <c r="N360" i="16"/>
  <c r="N361" i="16"/>
  <c r="N363" i="16"/>
  <c r="N358" i="16"/>
  <c r="N365" i="16"/>
  <c r="N366" i="16"/>
  <c r="N367" i="16"/>
  <c r="N368" i="16"/>
  <c r="N372" i="16"/>
  <c r="N370" i="16"/>
  <c r="N369" i="16"/>
  <c r="N371" i="16"/>
  <c r="N374" i="16"/>
  <c r="N373" i="16"/>
  <c r="N375" i="16"/>
  <c r="N376" i="16"/>
  <c r="N377" i="16"/>
  <c r="N378" i="16"/>
  <c r="N379" i="16"/>
  <c r="N382" i="16"/>
  <c r="N383" i="16"/>
  <c r="N394" i="16"/>
  <c r="N380" i="16"/>
  <c r="N384" i="16"/>
  <c r="N385" i="16"/>
  <c r="N392" i="16"/>
  <c r="N381" i="16"/>
  <c r="N386" i="16"/>
  <c r="N387" i="16"/>
  <c r="N388" i="16"/>
  <c r="N389" i="16"/>
  <c r="N390" i="16"/>
  <c r="N391" i="16"/>
  <c r="N395" i="16"/>
  <c r="N393" i="16"/>
  <c r="N397" i="16"/>
  <c r="N411" i="16"/>
  <c r="N410" i="16"/>
  <c r="N396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2" i="16"/>
  <c r="N413" i="16"/>
  <c r="N414" i="16"/>
  <c r="N415" i="16"/>
  <c r="N416" i="16"/>
  <c r="N417" i="16"/>
  <c r="N418" i="16"/>
  <c r="N419" i="16"/>
  <c r="N420" i="16"/>
  <c r="N421" i="16"/>
  <c r="N422" i="16"/>
  <c r="N423" i="16"/>
  <c r="N424" i="16"/>
  <c r="N425" i="16"/>
  <c r="N426" i="16"/>
  <c r="N427" i="16"/>
  <c r="N428" i="16"/>
  <c r="N430" i="16"/>
  <c r="N429" i="16"/>
  <c r="N431" i="16"/>
  <c r="N432" i="16"/>
  <c r="N434" i="16"/>
  <c r="N433" i="16"/>
  <c r="N435" i="16"/>
  <c r="N437" i="16"/>
  <c r="N436" i="16"/>
  <c r="N438" i="16"/>
  <c r="N439" i="16"/>
  <c r="N441" i="16"/>
  <c r="N440" i="16"/>
  <c r="N442" i="16"/>
  <c r="N443" i="16"/>
  <c r="N444" i="16"/>
  <c r="N445" i="16"/>
  <c r="N457" i="16"/>
  <c r="N446" i="16"/>
  <c r="N447" i="16"/>
  <c r="N448" i="16"/>
  <c r="N449" i="16"/>
  <c r="N450" i="16"/>
  <c r="N451" i="16"/>
  <c r="N452" i="16"/>
  <c r="N458" i="16"/>
  <c r="N453" i="16"/>
  <c r="N454" i="16"/>
  <c r="N455" i="16"/>
  <c r="N456" i="16"/>
  <c r="N461" i="16"/>
  <c r="N462" i="16"/>
  <c r="N463" i="16"/>
  <c r="N472" i="16"/>
  <c r="N464" i="16"/>
  <c r="N465" i="16"/>
  <c r="N466" i="16"/>
  <c r="N474" i="16"/>
  <c r="N468" i="16"/>
  <c r="N469" i="16"/>
  <c r="N473" i="16"/>
  <c r="N459" i="16"/>
  <c r="N470" i="16"/>
  <c r="N471" i="16"/>
  <c r="N467" i="16"/>
  <c r="N460" i="16"/>
  <c r="N475" i="16"/>
  <c r="N476" i="16"/>
  <c r="N482" i="16"/>
  <c r="N481" i="16"/>
  <c r="N477" i="16"/>
  <c r="N478" i="16"/>
  <c r="N479" i="16"/>
  <c r="N480" i="16"/>
  <c r="N484" i="16"/>
  <c r="N485" i="16"/>
  <c r="N486" i="16"/>
  <c r="N483" i="16"/>
  <c r="N487" i="16"/>
  <c r="N488" i="16"/>
  <c r="N489" i="16"/>
  <c r="N490" i="16"/>
  <c r="N491" i="16"/>
  <c r="N492" i="16"/>
  <c r="N493" i="16"/>
  <c r="N494" i="16"/>
  <c r="N495" i="16"/>
  <c r="N496" i="16"/>
  <c r="N497" i="16"/>
  <c r="N498" i="16"/>
  <c r="N499" i="16"/>
  <c r="N500" i="16"/>
  <c r="N501" i="16"/>
  <c r="N502" i="16"/>
  <c r="N503" i="16"/>
  <c r="N504" i="16"/>
  <c r="N505" i="16"/>
  <c r="N507" i="16"/>
  <c r="N508" i="16"/>
  <c r="N509" i="16"/>
  <c r="N510" i="16"/>
  <c r="N511" i="16"/>
  <c r="N512" i="16"/>
  <c r="N513" i="16"/>
  <c r="N514" i="16"/>
  <c r="N515" i="16"/>
  <c r="N516" i="16"/>
  <c r="N517" i="16"/>
  <c r="N521" i="16"/>
  <c r="N518" i="16"/>
  <c r="N519" i="16"/>
  <c r="N520" i="16"/>
  <c r="N506" i="16"/>
  <c r="N524" i="16"/>
  <c r="N525" i="16"/>
  <c r="N526" i="16"/>
  <c r="N527" i="16"/>
  <c r="N528" i="16"/>
  <c r="N529" i="16"/>
  <c r="N530" i="16"/>
  <c r="N536" i="16"/>
  <c r="N531" i="16"/>
  <c r="N532" i="16"/>
  <c r="N533" i="16"/>
  <c r="N534" i="16"/>
  <c r="N535" i="16"/>
  <c r="N537" i="16"/>
  <c r="N523" i="16"/>
  <c r="N522" i="16"/>
  <c r="N538" i="16"/>
  <c r="N539" i="16"/>
  <c r="N540" i="16"/>
  <c r="N545" i="16"/>
  <c r="N541" i="16"/>
  <c r="N544" i="16"/>
  <c r="N542" i="16"/>
  <c r="N543" i="16"/>
  <c r="N546" i="16"/>
  <c r="N552" i="16"/>
  <c r="N547" i="16"/>
  <c r="N548" i="16"/>
  <c r="N549" i="16"/>
  <c r="N553" i="16"/>
  <c r="N550" i="16"/>
  <c r="N551" i="16"/>
  <c r="N554" i="16"/>
  <c r="N555" i="16"/>
  <c r="N556" i="16"/>
  <c r="N557" i="16"/>
  <c r="N558" i="16"/>
  <c r="N559" i="16"/>
  <c r="N560" i="16"/>
  <c r="N561" i="16"/>
  <c r="N563" i="16"/>
  <c r="N562" i="16"/>
  <c r="N564" i="16"/>
  <c r="N565" i="16"/>
  <c r="N566" i="16"/>
  <c r="N567" i="16"/>
  <c r="N568" i="16"/>
  <c r="N570" i="16"/>
  <c r="N571" i="16"/>
  <c r="N581" i="16"/>
  <c r="N580" i="16"/>
  <c r="N572" i="16"/>
  <c r="N573" i="16"/>
  <c r="N574" i="16"/>
  <c r="N582" i="16"/>
  <c r="N575" i="16"/>
  <c r="N576" i="16"/>
  <c r="N577" i="16"/>
  <c r="N583" i="16"/>
  <c r="N578" i="16"/>
  <c r="N579" i="16"/>
  <c r="N584" i="16"/>
  <c r="N569" i="16"/>
  <c r="N586" i="16"/>
  <c r="N587" i="16"/>
  <c r="N588" i="16"/>
  <c r="N599" i="16"/>
  <c r="N589" i="16"/>
  <c r="N590" i="16"/>
  <c r="N600" i="16"/>
  <c r="N585" i="16"/>
  <c r="N591" i="16"/>
  <c r="N592" i="16"/>
  <c r="N593" i="16"/>
  <c r="N594" i="16"/>
  <c r="N595" i="16"/>
  <c r="N596" i="16"/>
  <c r="N597" i="16"/>
  <c r="N598" i="16"/>
  <c r="N602" i="16"/>
  <c r="N603" i="16"/>
  <c r="N604" i="16"/>
  <c r="N601" i="16"/>
  <c r="N605" i="16"/>
  <c r="N606" i="16"/>
  <c r="N607" i="16"/>
  <c r="N608" i="16"/>
  <c r="N616" i="16"/>
  <c r="N609" i="16"/>
  <c r="N611" i="16"/>
  <c r="N610" i="16"/>
  <c r="N612" i="16"/>
  <c r="N615" i="16"/>
  <c r="N613" i="16"/>
  <c r="N614" i="16"/>
  <c r="N617" i="16"/>
  <c r="N618" i="16"/>
  <c r="N619" i="16"/>
  <c r="N620" i="16"/>
  <c r="N624" i="16"/>
  <c r="N623" i="16"/>
  <c r="N621" i="16"/>
  <c r="N622" i="16"/>
  <c r="N625" i="16"/>
  <c r="N626" i="16"/>
  <c r="N627" i="16"/>
  <c r="N628" i="16"/>
  <c r="N629" i="16"/>
  <c r="N630" i="16"/>
  <c r="N631" i="16"/>
  <c r="N634" i="16"/>
  <c r="N635" i="16"/>
  <c r="N636" i="16"/>
  <c r="N646" i="16"/>
  <c r="N637" i="16"/>
  <c r="N638" i="16"/>
  <c r="N639" i="16"/>
  <c r="N633" i="16"/>
  <c r="N640" i="16"/>
  <c r="N641" i="16"/>
  <c r="N647" i="16"/>
  <c r="N632" i="16"/>
  <c r="N642" i="16"/>
  <c r="N643" i="16"/>
  <c r="N644" i="16"/>
  <c r="N645" i="16"/>
  <c r="N650" i="16"/>
  <c r="N651" i="16"/>
  <c r="N663" i="16"/>
  <c r="N648" i="16"/>
  <c r="N652" i="16"/>
  <c r="N653" i="16"/>
  <c r="N654" i="16"/>
  <c r="N655" i="16"/>
  <c r="N656" i="16"/>
  <c r="N657" i="16"/>
  <c r="N658" i="16"/>
  <c r="N649" i="16"/>
  <c r="N659" i="16"/>
  <c r="N660" i="16"/>
  <c r="N661" i="16"/>
  <c r="N662" i="16"/>
  <c r="N664" i="16"/>
  <c r="N665" i="16"/>
  <c r="N666" i="16"/>
  <c r="N667" i="16"/>
  <c r="N668" i="16"/>
  <c r="N669" i="16"/>
  <c r="N670" i="16"/>
  <c r="N671" i="16"/>
  <c r="N672" i="16"/>
  <c r="N673" i="16"/>
  <c r="N674" i="16"/>
  <c r="N678" i="16"/>
  <c r="N675" i="16"/>
  <c r="N676" i="16"/>
  <c r="N677" i="16"/>
  <c r="N679" i="16"/>
  <c r="N680" i="16"/>
  <c r="N681" i="16"/>
  <c r="N682" i="16"/>
  <c r="N683" i="16"/>
  <c r="N684" i="16"/>
  <c r="N686" i="16"/>
  <c r="N685" i="16"/>
  <c r="N687" i="16"/>
  <c r="N689" i="16"/>
  <c r="N688" i="16"/>
  <c r="N691" i="16"/>
  <c r="N690" i="16"/>
  <c r="N692" i="16"/>
  <c r="N693" i="16"/>
  <c r="N694" i="16"/>
  <c r="N698" i="16"/>
  <c r="N699" i="16"/>
  <c r="N708" i="16"/>
  <c r="N696" i="16"/>
  <c r="N700" i="16"/>
  <c r="N701" i="16"/>
  <c r="N702" i="16"/>
  <c r="N709" i="16"/>
  <c r="N703" i="16"/>
  <c r="N704" i="16"/>
  <c r="N710" i="16"/>
  <c r="N695" i="16"/>
  <c r="N705" i="16"/>
  <c r="N706" i="16"/>
  <c r="N707" i="16"/>
  <c r="N697" i="16"/>
  <c r="N711" i="16"/>
  <c r="N712" i="16"/>
  <c r="N713" i="16"/>
  <c r="N714" i="16"/>
  <c r="N715" i="16"/>
  <c r="N716" i="16"/>
  <c r="N717" i="16"/>
  <c r="N725" i="16"/>
  <c r="N718" i="16"/>
  <c r="N719" i="16"/>
  <c r="N720" i="16"/>
  <c r="N724" i="16"/>
  <c r="N721" i="16"/>
  <c r="N722" i="16"/>
  <c r="N723" i="16"/>
  <c r="N726" i="16"/>
  <c r="N729" i="16"/>
  <c r="N727" i="16"/>
  <c r="N730" i="16"/>
  <c r="N731" i="16"/>
  <c r="N732" i="16"/>
  <c r="N733" i="16"/>
  <c r="N734" i="16"/>
  <c r="N728" i="16"/>
  <c r="N735" i="16"/>
  <c r="N736" i="16"/>
  <c r="N737" i="16"/>
  <c r="N742" i="16"/>
  <c r="N738" i="16"/>
  <c r="N739" i="16"/>
  <c r="N740" i="16"/>
  <c r="N741" i="16"/>
  <c r="N743" i="16"/>
  <c r="N744" i="16"/>
  <c r="N745" i="16"/>
  <c r="N746" i="16"/>
  <c r="N747" i="16"/>
  <c r="N750" i="16"/>
  <c r="N748" i="16"/>
  <c r="N749" i="16"/>
  <c r="N751" i="16"/>
  <c r="N752" i="16"/>
  <c r="N753" i="16"/>
  <c r="N754" i="16"/>
  <c r="N755" i="16"/>
  <c r="N756" i="16"/>
  <c r="N757" i="16"/>
  <c r="N759" i="16"/>
  <c r="N760" i="16"/>
  <c r="N761" i="16"/>
  <c r="N773" i="16"/>
  <c r="N762" i="16"/>
  <c r="N763" i="16"/>
  <c r="N764" i="16"/>
  <c r="N765" i="16"/>
  <c r="N766" i="16"/>
  <c r="N767" i="16"/>
  <c r="N768" i="16"/>
  <c r="N758" i="16"/>
  <c r="N769" i="16"/>
  <c r="N770" i="16"/>
  <c r="N771" i="16"/>
  <c r="N772" i="16"/>
  <c r="N776" i="16"/>
  <c r="N777" i="16"/>
  <c r="N787" i="16"/>
  <c r="N774" i="16"/>
  <c r="N778" i="16"/>
  <c r="N779" i="16"/>
  <c r="N780" i="16"/>
  <c r="N789" i="16"/>
  <c r="N781" i="16"/>
  <c r="N782" i="16"/>
  <c r="N788" i="16"/>
  <c r="N775" i="16"/>
  <c r="N783" i="16"/>
  <c r="N784" i="16"/>
  <c r="N785" i="16"/>
  <c r="N786" i="16"/>
  <c r="N790" i="16"/>
  <c r="N797" i="16"/>
  <c r="N791" i="16"/>
  <c r="N796" i="16"/>
  <c r="N792" i="16"/>
  <c r="N793" i="16"/>
  <c r="N794" i="16"/>
  <c r="N795" i="16"/>
  <c r="N804" i="16"/>
  <c r="N800" i="16"/>
  <c r="N801" i="16"/>
  <c r="N802" i="16"/>
  <c r="N798" i="16"/>
  <c r="N799" i="16"/>
  <c r="N803" i="16"/>
  <c r="N805" i="16"/>
  <c r="N806" i="16"/>
  <c r="N807" i="16"/>
  <c r="N808" i="16"/>
  <c r="N809" i="16"/>
  <c r="N810" i="16"/>
  <c r="N811" i="16"/>
  <c r="N813" i="16"/>
  <c r="N812" i="16"/>
  <c r="N814" i="16"/>
  <c r="N815" i="16"/>
  <c r="N816" i="16"/>
  <c r="N817" i="16"/>
  <c r="N818" i="16"/>
  <c r="N819" i="16"/>
  <c r="N820" i="16"/>
  <c r="N823" i="16"/>
  <c r="N824" i="16"/>
  <c r="N825" i="16"/>
  <c r="N826" i="16"/>
  <c r="N827" i="16"/>
  <c r="N828" i="16"/>
  <c r="N822" i="16"/>
  <c r="N821" i="16"/>
  <c r="N829" i="16"/>
  <c r="N830" i="16"/>
  <c r="N831" i="16"/>
  <c r="N832" i="16"/>
  <c r="N833" i="16"/>
  <c r="N834" i="16"/>
  <c r="N836" i="16"/>
  <c r="N835" i="16"/>
  <c r="N840" i="16"/>
  <c r="N841" i="16"/>
  <c r="N842" i="16"/>
  <c r="N843" i="16"/>
  <c r="N851" i="16"/>
  <c r="N839" i="16"/>
  <c r="N838" i="16"/>
  <c r="N837" i="16"/>
  <c r="N844" i="16"/>
  <c r="N845" i="16"/>
  <c r="N846" i="16"/>
  <c r="N847" i="16"/>
  <c r="N848" i="16"/>
  <c r="N849" i="16"/>
  <c r="N850" i="16"/>
  <c r="N852" i="16"/>
  <c r="N854" i="16"/>
  <c r="N855" i="16"/>
  <c r="N856" i="16"/>
  <c r="N857" i="16"/>
  <c r="N858" i="16"/>
  <c r="N859" i="16"/>
  <c r="N860" i="16"/>
  <c r="N853" i="16"/>
  <c r="N862" i="16"/>
  <c r="N863" i="16"/>
  <c r="N861" i="16"/>
  <c r="N867" i="16"/>
  <c r="N864" i="16"/>
  <c r="N865" i="16"/>
  <c r="N868" i="16"/>
  <c r="N866" i="16"/>
  <c r="N869" i="16"/>
  <c r="N870" i="16"/>
  <c r="N871" i="16"/>
  <c r="N872" i="16"/>
  <c r="N876" i="16"/>
  <c r="N873" i="16"/>
  <c r="N874" i="16"/>
  <c r="N875" i="16"/>
  <c r="N877" i="16"/>
  <c r="N878" i="16"/>
  <c r="N879" i="16"/>
  <c r="N880" i="16"/>
  <c r="N881" i="16"/>
  <c r="N882" i="16"/>
  <c r="N883" i="16"/>
  <c r="N886" i="16"/>
  <c r="N887" i="16"/>
  <c r="N888" i="16"/>
  <c r="N889" i="16"/>
  <c r="N890" i="16"/>
  <c r="N898" i="16"/>
  <c r="N896" i="16"/>
  <c r="N885" i="16"/>
  <c r="N891" i="16"/>
  <c r="N892" i="16"/>
  <c r="N893" i="16"/>
  <c r="N894" i="16"/>
  <c r="N895" i="16"/>
  <c r="N899" i="16"/>
  <c r="N897" i="16"/>
  <c r="N884" i="16"/>
  <c r="N902" i="16"/>
  <c r="N903" i="16"/>
  <c r="N904" i="16"/>
  <c r="N905" i="16"/>
  <c r="N906" i="16"/>
  <c r="N914" i="16"/>
  <c r="N912" i="16"/>
  <c r="N901" i="16"/>
  <c r="N907" i="16"/>
  <c r="N908" i="16"/>
  <c r="N909" i="16"/>
  <c r="N910" i="16"/>
  <c r="N911" i="16"/>
  <c r="N915" i="16"/>
  <c r="N913" i="16"/>
  <c r="N900" i="16"/>
  <c r="N917" i="16"/>
  <c r="N918" i="16"/>
  <c r="N919" i="16"/>
  <c r="N920" i="16"/>
  <c r="N921" i="16"/>
  <c r="N923" i="16"/>
  <c r="N922" i="16"/>
  <c r="N916" i="16"/>
  <c r="N928" i="16"/>
  <c r="N931" i="16"/>
  <c r="N924" i="16"/>
  <c r="N925" i="16"/>
  <c r="N929" i="16"/>
  <c r="N930" i="16"/>
  <c r="N926" i="16"/>
  <c r="N927" i="16"/>
  <c r="N935" i="16"/>
  <c r="N934" i="16"/>
  <c r="N932" i="16"/>
  <c r="N933" i="16"/>
  <c r="N936" i="16"/>
  <c r="N937" i="16"/>
  <c r="N938" i="16"/>
  <c r="N939" i="16"/>
  <c r="N941" i="16"/>
  <c r="N940" i="16"/>
  <c r="N942" i="16"/>
  <c r="N943" i="16"/>
  <c r="N944" i="16"/>
  <c r="N945" i="16"/>
  <c r="N946" i="16"/>
  <c r="N947" i="16"/>
  <c r="N948" i="16"/>
  <c r="N949" i="16"/>
  <c r="N950" i="16"/>
  <c r="N951" i="16"/>
  <c r="N952" i="16"/>
  <c r="N953" i="16"/>
  <c r="N954" i="16"/>
  <c r="N955" i="16"/>
  <c r="N956" i="16"/>
  <c r="N957" i="16"/>
  <c r="N958" i="16"/>
  <c r="N959" i="16"/>
  <c r="N960" i="16"/>
  <c r="N961" i="16"/>
  <c r="N962" i="16"/>
  <c r="N964" i="16"/>
  <c r="N965" i="16"/>
  <c r="N966" i="16"/>
  <c r="N967" i="16"/>
  <c r="N968" i="16"/>
  <c r="N969" i="16"/>
  <c r="N978" i="16"/>
  <c r="N963" i="16"/>
  <c r="N970" i="16"/>
  <c r="N971" i="16"/>
  <c r="N972" i="16"/>
  <c r="N973" i="16"/>
  <c r="N974" i="16"/>
  <c r="N975" i="16"/>
  <c r="N976" i="16"/>
  <c r="N977" i="16"/>
  <c r="N981" i="16"/>
  <c r="N982" i="16"/>
  <c r="N983" i="16"/>
  <c r="N985" i="16"/>
  <c r="N984" i="16"/>
  <c r="N986" i="16"/>
  <c r="N980" i="16"/>
  <c r="N979" i="16"/>
  <c r="N990" i="16"/>
  <c r="N991" i="16"/>
  <c r="N994" i="16"/>
  <c r="N987" i="16"/>
  <c r="N992" i="16"/>
  <c r="N993" i="16"/>
  <c r="N989" i="16"/>
  <c r="N988" i="16"/>
  <c r="N995" i="16"/>
  <c r="N996" i="16"/>
  <c r="N997" i="16"/>
  <c r="N998" i="16"/>
  <c r="N999" i="16"/>
  <c r="N1000" i="16"/>
  <c r="N1002" i="16"/>
  <c r="N1001" i="16"/>
  <c r="N1003" i="16"/>
  <c r="N1004" i="16"/>
  <c r="N1005" i="16"/>
  <c r="N1006" i="16"/>
  <c r="N1007" i="16"/>
  <c r="N1008" i="16"/>
  <c r="N1009" i="16"/>
  <c r="N1010" i="16"/>
  <c r="N1015" i="16"/>
  <c r="N1016" i="16"/>
  <c r="N1017" i="16"/>
  <c r="N1018" i="16"/>
  <c r="N1019" i="16"/>
  <c r="N1020" i="16"/>
  <c r="N1025" i="16"/>
  <c r="N1013" i="16"/>
  <c r="N1021" i="16"/>
  <c r="N1022" i="16"/>
  <c r="N1023" i="16"/>
  <c r="N1026" i="16"/>
  <c r="N1024" i="16"/>
  <c r="N1014" i="16"/>
  <c r="N1012" i="16"/>
  <c r="N1011" i="16"/>
  <c r="N1030" i="16"/>
  <c r="N1031" i="16"/>
  <c r="N1032" i="16"/>
  <c r="N1033" i="16"/>
  <c r="N1034" i="16"/>
  <c r="N1035" i="16"/>
  <c r="N1041" i="16"/>
  <c r="N1040" i="16"/>
  <c r="N1036" i="16"/>
  <c r="N1037" i="16"/>
  <c r="N1038" i="16"/>
  <c r="N1039" i="16"/>
  <c r="N1042" i="16"/>
  <c r="N1029" i="16"/>
  <c r="N1028" i="16"/>
  <c r="N1027" i="16"/>
  <c r="N1043" i="16"/>
  <c r="N1044" i="16"/>
  <c r="N1045" i="16"/>
  <c r="N1050" i="16"/>
  <c r="N1046" i="16"/>
  <c r="N1047" i="16"/>
  <c r="N1048" i="16"/>
  <c r="N1049" i="16"/>
  <c r="N1053" i="16"/>
  <c r="N1054" i="16"/>
  <c r="N1055" i="16"/>
  <c r="N1056" i="16"/>
  <c r="N1057" i="16"/>
  <c r="N1052" i="16"/>
  <c r="N1051" i="16"/>
  <c r="N1058" i="16"/>
  <c r="N1060" i="16"/>
  <c r="N1059" i="16"/>
  <c r="N1061" i="16"/>
  <c r="N1062" i="16"/>
  <c r="N1064" i="16"/>
  <c r="N1065" i="16"/>
  <c r="N1066" i="16"/>
  <c r="N1063" i="16"/>
  <c r="N1067" i="16"/>
  <c r="N1068" i="16"/>
  <c r="N1070" i="16"/>
  <c r="N1069" i="16"/>
  <c r="N1071" i="16"/>
  <c r="N1072" i="16"/>
  <c r="N1073" i="16"/>
  <c r="N1074" i="16"/>
  <c r="N1079" i="16"/>
  <c r="N1076" i="16"/>
  <c r="N1080" i="16"/>
  <c r="N1081" i="16"/>
  <c r="N1082" i="16"/>
  <c r="N1083" i="16"/>
  <c r="N1084" i="16"/>
  <c r="N1085" i="16"/>
  <c r="N1086" i="16"/>
  <c r="N1087" i="16"/>
  <c r="N1090" i="16"/>
  <c r="N1075" i="16"/>
  <c r="N1088" i="16"/>
  <c r="N1089" i="16"/>
  <c r="N1078" i="16"/>
  <c r="N1077" i="16"/>
  <c r="N1093" i="16"/>
  <c r="N1094" i="16"/>
  <c r="N1095" i="16"/>
  <c r="N1096" i="16"/>
  <c r="N1097" i="16"/>
  <c r="N1092" i="16"/>
  <c r="N1098" i="16"/>
  <c r="N1099" i="16"/>
  <c r="N1100" i="16"/>
  <c r="N1091" i="16"/>
  <c r="N1101" i="16"/>
  <c r="N1102" i="16"/>
  <c r="N1103" i="16"/>
  <c r="N1104" i="16"/>
  <c r="N1105" i="16"/>
  <c r="N1106" i="16"/>
  <c r="N1109" i="16"/>
  <c r="N1110" i="16"/>
  <c r="N1111" i="16"/>
  <c r="N1112" i="16"/>
  <c r="N1113" i="16"/>
  <c r="N1107" i="16"/>
  <c r="N1114" i="16"/>
  <c r="N1108" i="16"/>
  <c r="N1117" i="16"/>
  <c r="N1118" i="16"/>
  <c r="N1115" i="16"/>
  <c r="N1119" i="16"/>
  <c r="N1122" i="16"/>
  <c r="N1120" i="16"/>
  <c r="N1121" i="16"/>
  <c r="N1116" i="16"/>
  <c r="N1124" i="16"/>
  <c r="N1123" i="16"/>
  <c r="N1126" i="16"/>
  <c r="N1125" i="16"/>
  <c r="N1127" i="16"/>
  <c r="N1128" i="16"/>
  <c r="N1129" i="16"/>
  <c r="N1130" i="16"/>
  <c r="N1131" i="16"/>
  <c r="N1132" i="16"/>
  <c r="N1133" i="16"/>
  <c r="N1134" i="16"/>
  <c r="N1135" i="16"/>
  <c r="N1136" i="16"/>
  <c r="N1137" i="16"/>
  <c r="N1138" i="16"/>
  <c r="N1141" i="16"/>
  <c r="N1142" i="16"/>
  <c r="N1143" i="16"/>
  <c r="N1144" i="16"/>
  <c r="N1145" i="16"/>
  <c r="N1139" i="16"/>
  <c r="N1146" i="16"/>
  <c r="N1147" i="16"/>
  <c r="N1148" i="16"/>
  <c r="N1149" i="16"/>
  <c r="N1150" i="16"/>
  <c r="N1151" i="16"/>
  <c r="N1152" i="16"/>
  <c r="N1154" i="16"/>
  <c r="N1153" i="16"/>
  <c r="N1140" i="16"/>
  <c r="N1156" i="16"/>
  <c r="N1157" i="16"/>
  <c r="N1158" i="16"/>
  <c r="N1159" i="16"/>
  <c r="N1168" i="16"/>
  <c r="N1155" i="16"/>
  <c r="N1160" i="16"/>
  <c r="N1161" i="16"/>
  <c r="N1162" i="16"/>
  <c r="N1169" i="16"/>
  <c r="N1163" i="16"/>
  <c r="N1164" i="16"/>
  <c r="N1165" i="16"/>
  <c r="N1166" i="16"/>
  <c r="N1167" i="16"/>
  <c r="N1170" i="16"/>
  <c r="N1171" i="16"/>
  <c r="N1172" i="16"/>
  <c r="N1173" i="16"/>
  <c r="N1177" i="16"/>
  <c r="N1174" i="16"/>
  <c r="N1175" i="16"/>
  <c r="N1176" i="16"/>
  <c r="N1178" i="16"/>
  <c r="N1182" i="16"/>
  <c r="N1179" i="16"/>
  <c r="N1180" i="16"/>
  <c r="N1183" i="16"/>
  <c r="N1184" i="16"/>
  <c r="N1185" i="16"/>
  <c r="N1186" i="16"/>
  <c r="N1181" i="16"/>
  <c r="N1187" i="16"/>
  <c r="N1190" i="16"/>
  <c r="N1188" i="16"/>
  <c r="N1189" i="16"/>
  <c r="N1191" i="16"/>
  <c r="N1192" i="16"/>
  <c r="N1193" i="16"/>
  <c r="N1194" i="16"/>
  <c r="N1195" i="16"/>
  <c r="N1196" i="16"/>
  <c r="N1198" i="16"/>
  <c r="N1197" i="16"/>
  <c r="N1199" i="16"/>
  <c r="N1200" i="16"/>
  <c r="N1201" i="16"/>
  <c r="N1202" i="16"/>
  <c r="N1204" i="16"/>
  <c r="N1205" i="16"/>
  <c r="N1206" i="16"/>
  <c r="N1203" i="16"/>
  <c r="N1207" i="16"/>
  <c r="N1218" i="16"/>
  <c r="N1208" i="16"/>
  <c r="N1209" i="16"/>
  <c r="N1210" i="16"/>
  <c r="N1211" i="16"/>
  <c r="N1212" i="16"/>
  <c r="N1213" i="16"/>
  <c r="N1214" i="16"/>
  <c r="N1215" i="16"/>
  <c r="N1216" i="16"/>
  <c r="N1217" i="16"/>
  <c r="N1220" i="16"/>
  <c r="N1221" i="16"/>
  <c r="N1222" i="16"/>
  <c r="N1223" i="16"/>
  <c r="N1224" i="16"/>
  <c r="N1225" i="16"/>
  <c r="N1226" i="16"/>
  <c r="N1227" i="16"/>
  <c r="N1234" i="16"/>
  <c r="N1219" i="16"/>
  <c r="N1228" i="16"/>
  <c r="N1229" i="16"/>
  <c r="N1230" i="16"/>
  <c r="N1231" i="16"/>
  <c r="N1232" i="16"/>
  <c r="N1233" i="16"/>
  <c r="N1237" i="16"/>
  <c r="N1238" i="16"/>
  <c r="N1235" i="16"/>
  <c r="N1239" i="16"/>
  <c r="N1240" i="16"/>
  <c r="N1241" i="16"/>
  <c r="N1242" i="16"/>
  <c r="N1236" i="16"/>
  <c r="N1245" i="16"/>
  <c r="N1246" i="16"/>
  <c r="N1247" i="16"/>
  <c r="N1248" i="16"/>
  <c r="N1243" i="16"/>
  <c r="N1250" i="16"/>
  <c r="N1244" i="16"/>
  <c r="N1249" i="16"/>
  <c r="N1251" i="16"/>
  <c r="N1252" i="16"/>
  <c r="N1253" i="16"/>
  <c r="N1254" i="16"/>
  <c r="N1256" i="16"/>
  <c r="N1257" i="16"/>
  <c r="N1258" i="16"/>
  <c r="N1255" i="16"/>
  <c r="N1260" i="16"/>
  <c r="N1259" i="16"/>
  <c r="N1261" i="16"/>
  <c r="N1262" i="16"/>
  <c r="N1263" i="16"/>
  <c r="N1264" i="16"/>
  <c r="N1265" i="16"/>
  <c r="N1266" i="16"/>
  <c r="N1269" i="16"/>
  <c r="N1270" i="16"/>
  <c r="N1271" i="16"/>
  <c r="N1282" i="16"/>
  <c r="N1268" i="16"/>
  <c r="N1267" i="16"/>
  <c r="N1272" i="16"/>
  <c r="N1273" i="16"/>
  <c r="N1274" i="16"/>
  <c r="N1275" i="16"/>
  <c r="N1276" i="16"/>
  <c r="N1277" i="16"/>
  <c r="N1278" i="16"/>
  <c r="N1279" i="16"/>
  <c r="N1280" i="16"/>
  <c r="N1281" i="16"/>
  <c r="N1285" i="16"/>
  <c r="N1286" i="16"/>
  <c r="N1287" i="16"/>
  <c r="N1288" i="16"/>
  <c r="N1289" i="16"/>
  <c r="N1297" i="16"/>
  <c r="N1296" i="16"/>
  <c r="N1283" i="16"/>
  <c r="N1290" i="16"/>
  <c r="N1291" i="16"/>
  <c r="N1292" i="16"/>
  <c r="N1293" i="16"/>
  <c r="N1298" i="16"/>
  <c r="N1284" i="16"/>
  <c r="N1294" i="16"/>
  <c r="N1295" i="16"/>
  <c r="N1301" i="16"/>
  <c r="N1302" i="16"/>
  <c r="N1299" i="16"/>
  <c r="N1303" i="16"/>
  <c r="N1305" i="16"/>
  <c r="N1304" i="16"/>
  <c r="N1306" i="16"/>
  <c r="N1300" i="16"/>
  <c r="N1308" i="16"/>
  <c r="N1314" i="16"/>
  <c r="N1309" i="16"/>
  <c r="N1307" i="16"/>
  <c r="N1310" i="16"/>
  <c r="N1311" i="16"/>
  <c r="N1312" i="16"/>
  <c r="N1313" i="16"/>
  <c r="N1315" i="16"/>
  <c r="N1317" i="16"/>
  <c r="N1316" i="16"/>
  <c r="N1318" i="16"/>
  <c r="N1320" i="16"/>
  <c r="N1321" i="16"/>
  <c r="N1322" i="16"/>
  <c r="N1319" i="16"/>
  <c r="N1323" i="16"/>
  <c r="N1324" i="16"/>
  <c r="N1326" i="16"/>
  <c r="N1325" i="16"/>
  <c r="N1327" i="16"/>
  <c r="N1328" i="16"/>
  <c r="N1329" i="16"/>
  <c r="N1330" i="16"/>
  <c r="N1335" i="16"/>
  <c r="N1336" i="16"/>
  <c r="N1337" i="16"/>
  <c r="N1338" i="16"/>
  <c r="N1339" i="16"/>
  <c r="N1340" i="16"/>
  <c r="N1333" i="16"/>
  <c r="N1331" i="16"/>
  <c r="N1341" i="16"/>
  <c r="N1342" i="16"/>
  <c r="N1343" i="16"/>
  <c r="N1332" i="16"/>
  <c r="N1344" i="16"/>
  <c r="N1345" i="16"/>
  <c r="N1346" i="16"/>
  <c r="N1334" i="16"/>
  <c r="N1351" i="16"/>
  <c r="N1352" i="16"/>
  <c r="N1353" i="16"/>
  <c r="N1349" i="16"/>
  <c r="N1354" i="16"/>
  <c r="N1355" i="16"/>
  <c r="N1356" i="16"/>
  <c r="N1357" i="16"/>
  <c r="N1358" i="16"/>
  <c r="N1359" i="16"/>
  <c r="N1350" i="16"/>
  <c r="N1347" i="16"/>
  <c r="N1360" i="16"/>
  <c r="N1361" i="16"/>
  <c r="N1362" i="16"/>
  <c r="N1348" i="16"/>
  <c r="N1370" i="16"/>
  <c r="N1363" i="16"/>
  <c r="N1364" i="16"/>
  <c r="N1365" i="16"/>
  <c r="N1366" i="16"/>
  <c r="N1367" i="16"/>
  <c r="N1368" i="16"/>
  <c r="N1369" i="16"/>
  <c r="N1374" i="16"/>
  <c r="N1371" i="16"/>
  <c r="N1375" i="16"/>
  <c r="N1373" i="16"/>
  <c r="N1376" i="16"/>
  <c r="N1377" i="16"/>
  <c r="N1378" i="16"/>
  <c r="N1372" i="16"/>
  <c r="N1380" i="16"/>
  <c r="N1379" i="16"/>
  <c r="N1381" i="16"/>
  <c r="N1382" i="16"/>
  <c r="N1384" i="16"/>
  <c r="N1383" i="16"/>
  <c r="N1385" i="16"/>
  <c r="N1386" i="16"/>
  <c r="N1387" i="16"/>
  <c r="N1388" i="16"/>
  <c r="N1389" i="16"/>
  <c r="N1390" i="16"/>
  <c r="N1391" i="16"/>
  <c r="N1392" i="16"/>
  <c r="N1393" i="16"/>
  <c r="N1394" i="16"/>
  <c r="N1396" i="16"/>
  <c r="N1397" i="16"/>
  <c r="N1398" i="16"/>
  <c r="N1399" i="16"/>
  <c r="N1400" i="16"/>
  <c r="N1409" i="16"/>
  <c r="N1401" i="16"/>
  <c r="N1402" i="16"/>
  <c r="N1403" i="16"/>
  <c r="N1404" i="16"/>
  <c r="N1405" i="16"/>
  <c r="N1410" i="16"/>
  <c r="N1406" i="16"/>
  <c r="N1407" i="16"/>
  <c r="N1408" i="16"/>
  <c r="N1395" i="16"/>
  <c r="N1412" i="16"/>
  <c r="N1413" i="16"/>
  <c r="N1414" i="16"/>
  <c r="N1415" i="16"/>
  <c r="N1416" i="16"/>
  <c r="N1417" i="16"/>
  <c r="N1426" i="16"/>
  <c r="N1411" i="16"/>
  <c r="N1418" i="16"/>
  <c r="N1419" i="16"/>
  <c r="N1420" i="16"/>
  <c r="N1421" i="16"/>
  <c r="N1422" i="16"/>
  <c r="N1423" i="16"/>
  <c r="N1424" i="16"/>
  <c r="N1425" i="16"/>
  <c r="N1428" i="16"/>
  <c r="N1429" i="16"/>
  <c r="N1427" i="16"/>
  <c r="N1434" i="16"/>
  <c r="N1430" i="16"/>
  <c r="N1431" i="16"/>
  <c r="N1432" i="16"/>
  <c r="N1433" i="16"/>
  <c r="N1441" i="16"/>
  <c r="N1436" i="16"/>
  <c r="N1437" i="16"/>
  <c r="N1435" i="16"/>
  <c r="N1438" i="16"/>
  <c r="N1442" i="16"/>
  <c r="N1439" i="16"/>
  <c r="N1440" i="16"/>
  <c r="N1443" i="16"/>
  <c r="N1444" i="16"/>
  <c r="N1445" i="16"/>
  <c r="N1446" i="16"/>
  <c r="N1447" i="16"/>
  <c r="N1448" i="16"/>
  <c r="N1449" i="16"/>
  <c r="N1450" i="16"/>
  <c r="N1451" i="16"/>
  <c r="N1452" i="16"/>
  <c r="N1454" i="16"/>
  <c r="N1453" i="16"/>
  <c r="N1455" i="16"/>
  <c r="N1456" i="16"/>
  <c r="N1457" i="16"/>
  <c r="N1458" i="16"/>
  <c r="N1460" i="16"/>
  <c r="N1461" i="16"/>
  <c r="N1462" i="16"/>
  <c r="N1463" i="16"/>
  <c r="N1464" i="16"/>
  <c r="N1459" i="16"/>
  <c r="N1465" i="16"/>
  <c r="N1466" i="16"/>
  <c r="N1467" i="16"/>
  <c r="N1468" i="16"/>
  <c r="N1469" i="16"/>
  <c r="N1470" i="16"/>
  <c r="N1471" i="16"/>
  <c r="N1472" i="16"/>
  <c r="N1473" i="16"/>
  <c r="N1474" i="16"/>
  <c r="N1480" i="16"/>
  <c r="N1481" i="16"/>
  <c r="N1482" i="16"/>
  <c r="N1483" i="16"/>
  <c r="N1484" i="16"/>
  <c r="N1490" i="16"/>
  <c r="N1485" i="16"/>
  <c r="N1479" i="16"/>
  <c r="N1477" i="16"/>
  <c r="N1475" i="16"/>
  <c r="N1486" i="16"/>
  <c r="N1487" i="16"/>
  <c r="N1488" i="16"/>
  <c r="N1489" i="16"/>
  <c r="N1478" i="16"/>
  <c r="N1476" i="16"/>
  <c r="N1492" i="16"/>
  <c r="N1493" i="16"/>
  <c r="N1494" i="16"/>
  <c r="N1495" i="16"/>
  <c r="N1498" i="16"/>
  <c r="N1496" i="16"/>
  <c r="N1497" i="16"/>
  <c r="N1491" i="16"/>
  <c r="N1500" i="16"/>
  <c r="N1501" i="16"/>
  <c r="N1502" i="16"/>
  <c r="N1499" i="16"/>
  <c r="N1503" i="16"/>
  <c r="N1504" i="16"/>
  <c r="N1505" i="16"/>
  <c r="N1506" i="16"/>
  <c r="N1507" i="16"/>
  <c r="N1510" i="16"/>
  <c r="N1508" i="16"/>
  <c r="N1509" i="16"/>
  <c r="N1512" i="16"/>
  <c r="N1511" i="16"/>
  <c r="N1513" i="16"/>
  <c r="N1514" i="16"/>
  <c r="N1515" i="16"/>
  <c r="N1516" i="16"/>
  <c r="N1517" i="16"/>
  <c r="N1518" i="16"/>
  <c r="N1519" i="16"/>
  <c r="N1520" i="16"/>
  <c r="N1521" i="16"/>
  <c r="N1522" i="16"/>
  <c r="N1526" i="16"/>
  <c r="N1527" i="16"/>
  <c r="N1528" i="16"/>
  <c r="N1529" i="16"/>
  <c r="N1530" i="16"/>
  <c r="N1531" i="16"/>
  <c r="N1532" i="16"/>
  <c r="N1533" i="16"/>
  <c r="N1524" i="16"/>
  <c r="N1523" i="16"/>
  <c r="N1534" i="16"/>
  <c r="N1535" i="16"/>
  <c r="N1536" i="16"/>
  <c r="N1537" i="16"/>
  <c r="N1538" i="16"/>
  <c r="N1525" i="16"/>
  <c r="N1544" i="16"/>
  <c r="N1545" i="16"/>
  <c r="N1546" i="16"/>
  <c r="N1540" i="16"/>
  <c r="N1547" i="16"/>
  <c r="N1548" i="16"/>
  <c r="N1549" i="16"/>
  <c r="N1554" i="16"/>
  <c r="N1543" i="16"/>
  <c r="N1542" i="16"/>
  <c r="N1541" i="16"/>
  <c r="N1539" i="16"/>
  <c r="N1550" i="16"/>
  <c r="N1551" i="16"/>
  <c r="N1552" i="16"/>
  <c r="N1553" i="16"/>
  <c r="N1555" i="16"/>
  <c r="N1556" i="16"/>
  <c r="N1557" i="16"/>
  <c r="N1558" i="16"/>
  <c r="N1559" i="16"/>
  <c r="N1560" i="16"/>
  <c r="N1561" i="16"/>
  <c r="N1562" i="16"/>
  <c r="N1563" i="16"/>
  <c r="N1564" i="16"/>
  <c r="N1565" i="16"/>
  <c r="N1566" i="16"/>
  <c r="N1567" i="16"/>
  <c r="N1568" i="16"/>
  <c r="N1569" i="16"/>
  <c r="N1570" i="16"/>
  <c r="N1571" i="16"/>
  <c r="N1573" i="16"/>
  <c r="N1572" i="16"/>
  <c r="N1574" i="16"/>
  <c r="N1575" i="16"/>
  <c r="N1576" i="16"/>
  <c r="N1577" i="16"/>
  <c r="N1578" i="16"/>
  <c r="N1579" i="16"/>
  <c r="N1580" i="16"/>
  <c r="N1582" i="16"/>
  <c r="N1581" i="16"/>
  <c r="N1583" i="16"/>
  <c r="N1584" i="16"/>
  <c r="N1585" i="16"/>
  <c r="N1586" i="16"/>
  <c r="N1592" i="16"/>
  <c r="N1593" i="16"/>
  <c r="N1601" i="16"/>
  <c r="N1589" i="16"/>
  <c r="N1594" i="16"/>
  <c r="N1595" i="16"/>
  <c r="N1602" i="16"/>
  <c r="N1587" i="16"/>
  <c r="N1596" i="16"/>
  <c r="N1597" i="16"/>
  <c r="N1591" i="16"/>
  <c r="N1590" i="16"/>
  <c r="N1598" i="16"/>
  <c r="N1599" i="16"/>
  <c r="N1600" i="16"/>
  <c r="N1588" i="16"/>
  <c r="N1606" i="16"/>
  <c r="N1607" i="16"/>
  <c r="N1604" i="16"/>
  <c r="N1603" i="16"/>
  <c r="N1608" i="16"/>
  <c r="N1609" i="16"/>
  <c r="N1610" i="16"/>
  <c r="N1605" i="16"/>
  <c r="N1611" i="16"/>
  <c r="N1612" i="16"/>
  <c r="N1613" i="16"/>
  <c r="N1614" i="16"/>
  <c r="N1615" i="16"/>
  <c r="N1616" i="16"/>
  <c r="N1617" i="16"/>
  <c r="N1618" i="16"/>
  <c r="N1622" i="16"/>
  <c r="N1619" i="16"/>
  <c r="N1623" i="16"/>
  <c r="N1620" i="16"/>
  <c r="N1624" i="16"/>
  <c r="N1621" i="16"/>
  <c r="N1625" i="16"/>
  <c r="N1626" i="16"/>
  <c r="N1629" i="16"/>
  <c r="N1627" i="16"/>
  <c r="N1630" i="16"/>
  <c r="N1634" i="16"/>
  <c r="N1631" i="16"/>
  <c r="N1632" i="16"/>
  <c r="N1633" i="16"/>
  <c r="N1628" i="16"/>
  <c r="N1636" i="16"/>
  <c r="N1637" i="16"/>
  <c r="N1638" i="16"/>
  <c r="N1635" i="16"/>
  <c r="N1640" i="16"/>
  <c r="N1639" i="16"/>
  <c r="N1641" i="16"/>
  <c r="N1642" i="16"/>
  <c r="N1644" i="16"/>
  <c r="N1643" i="16"/>
  <c r="N1645" i="16"/>
  <c r="N1646" i="16"/>
  <c r="N1647" i="16"/>
  <c r="N1648" i="16"/>
  <c r="N1649" i="16"/>
  <c r="N1650" i="16"/>
  <c r="N1651" i="16"/>
  <c r="N1652" i="16"/>
  <c r="N1653" i="16"/>
  <c r="N1657" i="16"/>
  <c r="N1658" i="16"/>
  <c r="N1659" i="16"/>
  <c r="N1660" i="16"/>
  <c r="N1661" i="16"/>
  <c r="N1662" i="16"/>
  <c r="N1663" i="16"/>
  <c r="N1664" i="16"/>
  <c r="N1665" i="16"/>
  <c r="N1656" i="16"/>
  <c r="N1655" i="16"/>
  <c r="N1654" i="16"/>
  <c r="N1666" i="16"/>
  <c r="N1667" i="16"/>
  <c r="N1668" i="16"/>
  <c r="N1669" i="16"/>
  <c r="N1674" i="16"/>
  <c r="N1675" i="16"/>
  <c r="N1676" i="16"/>
  <c r="N1677" i="16"/>
  <c r="N1678" i="16"/>
  <c r="N1670" i="16"/>
  <c r="N1679" i="16"/>
  <c r="N1680" i="16"/>
  <c r="N1681" i="16"/>
  <c r="N1685" i="16"/>
  <c r="N1673" i="16"/>
  <c r="N1671" i="16"/>
  <c r="N1682" i="16"/>
  <c r="N1683" i="16"/>
  <c r="N1672" i="16"/>
  <c r="N1684" i="16"/>
  <c r="N1687" i="16"/>
  <c r="N1688" i="16"/>
  <c r="N1689" i="16"/>
  <c r="N1690" i="16"/>
  <c r="N1686" i="16"/>
  <c r="N1691" i="16"/>
  <c r="N1692" i="16"/>
  <c r="N1693" i="16"/>
  <c r="N1698" i="16"/>
  <c r="N1699" i="16"/>
  <c r="N1694" i="16"/>
  <c r="N1700" i="16"/>
  <c r="N1695" i="16"/>
  <c r="N1696" i="16"/>
  <c r="N1701" i="16"/>
  <c r="N1697" i="16"/>
  <c r="N1703" i="16"/>
  <c r="N1702" i="16"/>
  <c r="N1705" i="16"/>
  <c r="N1704" i="16"/>
  <c r="N1707" i="16"/>
  <c r="N1706" i="16"/>
  <c r="N1708" i="16"/>
  <c r="N1709" i="16"/>
  <c r="N1710" i="16"/>
  <c r="N1711" i="16"/>
  <c r="N1713" i="16"/>
  <c r="N1712" i="16"/>
  <c r="N1714" i="16"/>
  <c r="N1715" i="16"/>
  <c r="N1716" i="16"/>
  <c r="N1717" i="16"/>
  <c r="N1718" i="16"/>
  <c r="N1719" i="16"/>
  <c r="N1720" i="16"/>
  <c r="N1723" i="16"/>
  <c r="N1724" i="16"/>
  <c r="N1725" i="16"/>
  <c r="N1726" i="16"/>
  <c r="N1727" i="16"/>
  <c r="N1728" i="16"/>
  <c r="N1729" i="16"/>
  <c r="N1730" i="16"/>
  <c r="N1731" i="16"/>
  <c r="N1732" i="16"/>
  <c r="N1722" i="16"/>
  <c r="N1721" i="16"/>
  <c r="N1733" i="16"/>
  <c r="N1734" i="16"/>
  <c r="N1735" i="16"/>
  <c r="N1736" i="16"/>
  <c r="N1744" i="16"/>
  <c r="N1745" i="16"/>
  <c r="N1746" i="16"/>
  <c r="N1747" i="16"/>
  <c r="N1748" i="16"/>
  <c r="N1749" i="16"/>
  <c r="N1742" i="16"/>
  <c r="N1741" i="16"/>
  <c r="N1740" i="16"/>
  <c r="N1739" i="16"/>
  <c r="N1743" i="16"/>
  <c r="N1737" i="16"/>
  <c r="N1750" i="16"/>
  <c r="N1751" i="16"/>
  <c r="N1752" i="16"/>
  <c r="N1738" i="16"/>
  <c r="N1753" i="16"/>
  <c r="N1754" i="16"/>
  <c r="N1755" i="16"/>
  <c r="N1756" i="16"/>
  <c r="N1757" i="16"/>
  <c r="N1758" i="16"/>
  <c r="N1759" i="16"/>
  <c r="N1760" i="16"/>
  <c r="N1762" i="16"/>
  <c r="N1763" i="16"/>
  <c r="N1764" i="16"/>
  <c r="N1761" i="16"/>
  <c r="N1768" i="16"/>
  <c r="N1765" i="16"/>
  <c r="N1766" i="16"/>
  <c r="N1767" i="16"/>
  <c r="N1771" i="16"/>
  <c r="N1772" i="16"/>
  <c r="N1770" i="16"/>
  <c r="N1769" i="16"/>
  <c r="N1773" i="16"/>
  <c r="N1774" i="16"/>
  <c r="N1775" i="16"/>
  <c r="N1776" i="16"/>
  <c r="N1778" i="16"/>
  <c r="N1777" i="16"/>
  <c r="N1780" i="16"/>
  <c r="N1779" i="16"/>
  <c r="N1781" i="16"/>
  <c r="N1782" i="16"/>
  <c r="N1783" i="16"/>
  <c r="N1784" i="16"/>
  <c r="N1785" i="16"/>
  <c r="N1786" i="16"/>
  <c r="N1787" i="16"/>
  <c r="N1791" i="16"/>
  <c r="N1792" i="16"/>
  <c r="N1793" i="16"/>
  <c r="N1789" i="16"/>
  <c r="N1794" i="16"/>
  <c r="N1795" i="16"/>
  <c r="N1796" i="16"/>
  <c r="N1797" i="16"/>
  <c r="N1798" i="16"/>
  <c r="N1790" i="16"/>
  <c r="N1799" i="16"/>
  <c r="N1800" i="16"/>
  <c r="N1801" i="16"/>
  <c r="N1802" i="16"/>
  <c r="N1803" i="16"/>
  <c r="N1788" i="16"/>
  <c r="N1809" i="16"/>
  <c r="N1810" i="16"/>
  <c r="N1811" i="16"/>
  <c r="N1819" i="16"/>
  <c r="N1812" i="16"/>
  <c r="N1813" i="16"/>
  <c r="N1814" i="16"/>
  <c r="N1815" i="16"/>
  <c r="N1816" i="16"/>
  <c r="N1817" i="16"/>
  <c r="N1807" i="16"/>
  <c r="N1804" i="16"/>
  <c r="N1818" i="16"/>
  <c r="N1808" i="16"/>
  <c r="N1806" i="16"/>
  <c r="N1805" i="16"/>
  <c r="N1822" i="16"/>
  <c r="N1823" i="16"/>
  <c r="N1824" i="16"/>
  <c r="N1825" i="16"/>
  <c r="N1820" i="16"/>
  <c r="N1826" i="16"/>
  <c r="N1827" i="16"/>
  <c r="N1821" i="16"/>
  <c r="N1829" i="16"/>
  <c r="N1830" i="16"/>
  <c r="N1831" i="16"/>
  <c r="N1832" i="16"/>
  <c r="N1833" i="16"/>
  <c r="N1828" i="16"/>
  <c r="N1834" i="16"/>
  <c r="N1835" i="16"/>
  <c r="N1839" i="16"/>
  <c r="N1836" i="16"/>
  <c r="N1837" i="16"/>
  <c r="N1838" i="16"/>
  <c r="N1841" i="16"/>
  <c r="N1842" i="16"/>
  <c r="N1843" i="16"/>
  <c r="N1840" i="16"/>
  <c r="N1845" i="16"/>
  <c r="N1844" i="16"/>
  <c r="N1846" i="16"/>
  <c r="N1847" i="16"/>
  <c r="N1848" i="16"/>
  <c r="N1849" i="16"/>
  <c r="N1850" i="16"/>
  <c r="N1851" i="16"/>
  <c r="N1852" i="16"/>
  <c r="N1853" i="16"/>
  <c r="N1854" i="16"/>
  <c r="N1858" i="16"/>
  <c r="N1859" i="16"/>
  <c r="N1860" i="16"/>
  <c r="N1855" i="16"/>
  <c r="N1861" i="16"/>
  <c r="N1862" i="16"/>
  <c r="N1863" i="16"/>
  <c r="N1864" i="16"/>
  <c r="N1865" i="16"/>
  <c r="N1866" i="16"/>
  <c r="N1870" i="16"/>
  <c r="N1857" i="16"/>
  <c r="N1867" i="16"/>
  <c r="N1868" i="16"/>
  <c r="N1869" i="16"/>
  <c r="N1856" i="16"/>
  <c r="N1875" i="16"/>
  <c r="N1876" i="16"/>
  <c r="N1877" i="16"/>
  <c r="N1878" i="16"/>
  <c r="N1879" i="16"/>
  <c r="N1880" i="16"/>
  <c r="N1873" i="16"/>
  <c r="N1871" i="16"/>
  <c r="N1881" i="16"/>
  <c r="N1882" i="16"/>
  <c r="N1874" i="16"/>
  <c r="N1872" i="16"/>
  <c r="N1883" i="16"/>
  <c r="N1884" i="16"/>
  <c r="N1885" i="16"/>
  <c r="N1886" i="16"/>
  <c r="N1889" i="16"/>
  <c r="N1888" i="16"/>
  <c r="N1890" i="16"/>
  <c r="N1891" i="16"/>
  <c r="N1892" i="16"/>
  <c r="N1887" i="16"/>
  <c r="N1893" i="16"/>
  <c r="N1894" i="16"/>
  <c r="N1898" i="16"/>
  <c r="N1899" i="16"/>
  <c r="N1896" i="16"/>
  <c r="N1900" i="16"/>
  <c r="N1901" i="16"/>
  <c r="N1895" i="16"/>
  <c r="N1902" i="16"/>
  <c r="N1897" i="16"/>
  <c r="N1903" i="16"/>
  <c r="N1906" i="16"/>
  <c r="N1904" i="16"/>
  <c r="N1905" i="16"/>
  <c r="N1909" i="16"/>
  <c r="N1907" i="16"/>
  <c r="N1910" i="16"/>
  <c r="N1908" i="16"/>
  <c r="N1911" i="16"/>
  <c r="N1912" i="16"/>
  <c r="N1914" i="16"/>
  <c r="N1913" i="16"/>
  <c r="N1915" i="16"/>
  <c r="N1916" i="16"/>
  <c r="N1917" i="16"/>
  <c r="N1918" i="16"/>
  <c r="N1919" i="16"/>
  <c r="N1920" i="16"/>
  <c r="N1921" i="16"/>
  <c r="N1926" i="16"/>
  <c r="N1927" i="16"/>
  <c r="N1928" i="16"/>
  <c r="N1929" i="16"/>
  <c r="N1930" i="16"/>
  <c r="N1931" i="16"/>
  <c r="N1932" i="16"/>
  <c r="N1933" i="16"/>
  <c r="N1924" i="16"/>
  <c r="N1922" i="16"/>
  <c r="N1934" i="16"/>
  <c r="N1935" i="16"/>
  <c r="N1936" i="16"/>
  <c r="N1937" i="16"/>
  <c r="N1925" i="16"/>
  <c r="N1923" i="16"/>
  <c r="N1939" i="16"/>
  <c r="N1940" i="16"/>
  <c r="N1941" i="16"/>
  <c r="N1942" i="16"/>
  <c r="N1943" i="16"/>
  <c r="N1938" i="16"/>
  <c r="N1944" i="16"/>
  <c r="N1945" i="16"/>
  <c r="N1946" i="16"/>
  <c r="N1947" i="16"/>
  <c r="N1948" i="16"/>
  <c r="N1949" i="16"/>
  <c r="N1950" i="16"/>
  <c r="N1951" i="16"/>
  <c r="N1952" i="16"/>
  <c r="N1953" i="16"/>
  <c r="N1954" i="16"/>
  <c r="N1955" i="16"/>
  <c r="N1956" i="16"/>
  <c r="N1961" i="16"/>
  <c r="N1957" i="16"/>
  <c r="N1958" i="16"/>
  <c r="N1959" i="16"/>
  <c r="N1960" i="16"/>
  <c r="N1964" i="16"/>
  <c r="N1965" i="16"/>
  <c r="N1962" i="16"/>
  <c r="N1969" i="16"/>
  <c r="N1963" i="16"/>
  <c r="N1966" i="16"/>
  <c r="N1967" i="16"/>
  <c r="N1968" i="16"/>
  <c r="N1970" i="16"/>
  <c r="N1971" i="16"/>
  <c r="N1972" i="16"/>
  <c r="N1973" i="16"/>
  <c r="N1975" i="16"/>
  <c r="N1974" i="16"/>
  <c r="N1976" i="16"/>
  <c r="N1977" i="16"/>
  <c r="N1978" i="16"/>
  <c r="N1979" i="16"/>
  <c r="N1980" i="16"/>
  <c r="N1981" i="16"/>
  <c r="N1982" i="16"/>
  <c r="N1983" i="16"/>
  <c r="N1984" i="16"/>
  <c r="N1985" i="16"/>
  <c r="N1986" i="16"/>
  <c r="N1987" i="16"/>
  <c r="N1988" i="16"/>
  <c r="N1993" i="16"/>
  <c r="N1994" i="16"/>
  <c r="N1995" i="16"/>
  <c r="N2002" i="16"/>
  <c r="N1996" i="16"/>
  <c r="N1997" i="16"/>
  <c r="N1998" i="16"/>
  <c r="N2003" i="16"/>
  <c r="N1991" i="16"/>
  <c r="N1989" i="16"/>
  <c r="N1999" i="16"/>
  <c r="N2000" i="16"/>
  <c r="N2004" i="16"/>
  <c r="N1992" i="16"/>
  <c r="N2001" i="16"/>
  <c r="N1990" i="16"/>
  <c r="N2011" i="16"/>
  <c r="N2012" i="16"/>
  <c r="N2013" i="16"/>
  <c r="N2006" i="16"/>
  <c r="N2009" i="16"/>
  <c r="N2005" i="16"/>
  <c r="N2014" i="16"/>
  <c r="N2015" i="16"/>
  <c r="N2016" i="16"/>
  <c r="N2007" i="16"/>
  <c r="N2017" i="16"/>
  <c r="N2018" i="16"/>
  <c r="N2019" i="16"/>
  <c r="N2020" i="16"/>
  <c r="N2010" i="16"/>
  <c r="N2008" i="16"/>
  <c r="N2022" i="16"/>
  <c r="N2028" i="16"/>
  <c r="N2023" i="16"/>
  <c r="N2024" i="16"/>
  <c r="N2021" i="16"/>
  <c r="N2025" i="16"/>
  <c r="N2026" i="16"/>
  <c r="N2027" i="16"/>
  <c r="N2030" i="16"/>
  <c r="N2029" i="16"/>
  <c r="N2031" i="16"/>
  <c r="N2032" i="16"/>
  <c r="N2033" i="16"/>
  <c r="N2034" i="16"/>
  <c r="N2035" i="16"/>
  <c r="N2036" i="16"/>
  <c r="N2037" i="16"/>
  <c r="N2038" i="16"/>
  <c r="N2039" i="16"/>
  <c r="N2040" i="16"/>
  <c r="N2041" i="16"/>
  <c r="N2042" i="16"/>
  <c r="N2043" i="16"/>
  <c r="N2044" i="16"/>
  <c r="N2045" i="16"/>
  <c r="N2046" i="16"/>
  <c r="N2048" i="16"/>
  <c r="N2047" i="16"/>
  <c r="N2049" i="16"/>
  <c r="N2050" i="16"/>
  <c r="N2051" i="16"/>
  <c r="N2052" i="16"/>
  <c r="N2053" i="16"/>
  <c r="N2054" i="16"/>
  <c r="N2055" i="16"/>
  <c r="N2058" i="16"/>
  <c r="N2059" i="16"/>
  <c r="N2060" i="16"/>
  <c r="N2061" i="16"/>
  <c r="N2062" i="16"/>
  <c r="N2063" i="16"/>
  <c r="N2056" i="16"/>
  <c r="N2064" i="16"/>
  <c r="N2057" i="16"/>
  <c r="N2065" i="16"/>
  <c r="N2066" i="16"/>
  <c r="N2067" i="16"/>
  <c r="N2068" i="16"/>
  <c r="N2069" i="16"/>
  <c r="N2070" i="16"/>
  <c r="N2071" i="16"/>
  <c r="N2075" i="16"/>
  <c r="N2076" i="16"/>
  <c r="N2077" i="16"/>
  <c r="N2078" i="16"/>
  <c r="N2079" i="16"/>
  <c r="N2072" i="16"/>
  <c r="N2080" i="16"/>
  <c r="N2073" i="16"/>
  <c r="N2081" i="16"/>
  <c r="N2074" i="16"/>
  <c r="N2082" i="16"/>
  <c r="N2083" i="16"/>
  <c r="N2087" i="16"/>
  <c r="N2084" i="16"/>
  <c r="N2085" i="16"/>
  <c r="N2086" i="16"/>
  <c r="N2090" i="16"/>
  <c r="N2089" i="16"/>
  <c r="N2091" i="16"/>
  <c r="N2088" i="16"/>
  <c r="N2092" i="16"/>
  <c r="N2093" i="16"/>
  <c r="N2094" i="16"/>
  <c r="N2095" i="16"/>
  <c r="N2096" i="16"/>
  <c r="N2098" i="16"/>
  <c r="N2099" i="16"/>
  <c r="N2100" i="16"/>
  <c r="N2101" i="16"/>
  <c r="N2102" i="16"/>
  <c r="N2097" i="16"/>
  <c r="N2103" i="16"/>
  <c r="N2105" i="16"/>
  <c r="N2106" i="16"/>
  <c r="N2107" i="16"/>
  <c r="N2104" i="16"/>
  <c r="N2109" i="16"/>
  <c r="N2108" i="16"/>
  <c r="N2110" i="16"/>
  <c r="N2111" i="16"/>
  <c r="N2113" i="16"/>
  <c r="N2112" i="16"/>
  <c r="N2114" i="16"/>
  <c r="N2115" i="16"/>
  <c r="N2116" i="16"/>
  <c r="N2117" i="16"/>
  <c r="N2118" i="16"/>
  <c r="O5" i="1" l="1"/>
  <c r="Q2308" i="16" s="1"/>
  <c r="S2308" i="16" s="1"/>
  <c r="D6" i="17" s="1"/>
  <c r="O9" i="1"/>
  <c r="O13" i="1"/>
  <c r="Q2304" i="16" s="1"/>
  <c r="S2304" i="16" s="1"/>
  <c r="O17" i="1"/>
  <c r="O10" i="1"/>
  <c r="O14" i="1"/>
  <c r="Q2312" i="16" s="1"/>
  <c r="S2312" i="16" s="1"/>
  <c r="O18" i="1"/>
  <c r="O6" i="1"/>
  <c r="Q2303" i="16" s="1"/>
  <c r="S2303" i="16" s="1"/>
  <c r="O7" i="1"/>
  <c r="O11" i="1"/>
  <c r="O15" i="1"/>
  <c r="O19" i="1"/>
  <c r="Q2281" i="16" s="1"/>
  <c r="S2281" i="16" s="1"/>
  <c r="O8" i="1"/>
  <c r="Q2309" i="16" s="1"/>
  <c r="S2309" i="16" s="1"/>
  <c r="O12" i="1"/>
  <c r="O16" i="1"/>
  <c r="O4" i="1"/>
  <c r="Z356" i="3"/>
  <c r="C2" i="4"/>
  <c r="C1" i="4"/>
  <c r="B2" i="4"/>
  <c r="B1" i="4"/>
  <c r="Z368" i="3"/>
  <c r="Z417" i="3"/>
  <c r="C3" i="4"/>
  <c r="B3" i="4"/>
  <c r="Z360" i="3"/>
  <c r="C5" i="4"/>
  <c r="B5" i="4"/>
  <c r="C8" i="4"/>
  <c r="C7" i="4"/>
  <c r="B8" i="4"/>
  <c r="B7" i="4"/>
  <c r="C10" i="4"/>
  <c r="C9" i="4"/>
  <c r="B10" i="4"/>
  <c r="C12" i="4"/>
  <c r="C11" i="4"/>
  <c r="B12" i="4"/>
  <c r="B11" i="4"/>
  <c r="Z369" i="3"/>
  <c r="C13" i="4"/>
  <c r="C14" i="4"/>
  <c r="B13" i="4"/>
  <c r="B14" i="4"/>
  <c r="C15" i="4"/>
  <c r="B15" i="4"/>
  <c r="C17" i="4"/>
  <c r="B17" i="4"/>
  <c r="C19" i="4"/>
  <c r="C20" i="4"/>
  <c r="B19" i="4"/>
  <c r="B20" i="4"/>
  <c r="C21" i="4"/>
  <c r="B21" i="4"/>
  <c r="Z379" i="3"/>
  <c r="C24" i="4"/>
  <c r="C23" i="4"/>
  <c r="B24" i="4"/>
  <c r="B23" i="4"/>
  <c r="Z384" i="3"/>
  <c r="Z423" i="3"/>
  <c r="Z381" i="3"/>
  <c r="C26" i="4"/>
  <c r="C25" i="4"/>
  <c r="B26" i="4"/>
  <c r="B25" i="4"/>
  <c r="C27" i="4"/>
  <c r="C28" i="4"/>
  <c r="B27" i="4"/>
  <c r="B28" i="4"/>
  <c r="Z358" i="3"/>
  <c r="Z391" i="3"/>
  <c r="C29" i="4"/>
  <c r="B29" i="4"/>
  <c r="Z387" i="3"/>
  <c r="C32" i="4"/>
  <c r="C31" i="4"/>
  <c r="B32" i="4"/>
  <c r="B31" i="4"/>
  <c r="C33" i="4"/>
  <c r="AM1" i="4" s="1"/>
  <c r="B33" i="4"/>
  <c r="AL1" i="4" s="1"/>
  <c r="Z374" i="3"/>
  <c r="C36" i="4"/>
  <c r="AM4" i="4" s="1"/>
  <c r="C35" i="4"/>
  <c r="AM3" i="4" s="1"/>
  <c r="B36" i="4"/>
  <c r="AL4" i="4" s="1"/>
  <c r="B35" i="4"/>
  <c r="AL3" i="4" s="1"/>
  <c r="Z393" i="3"/>
  <c r="C37" i="4"/>
  <c r="AM5" i="4" s="1"/>
  <c r="C38" i="4"/>
  <c r="AM6" i="4" s="1"/>
  <c r="B37" i="4"/>
  <c r="AL5" i="4" s="1"/>
  <c r="B38" i="4"/>
  <c r="AL6" i="4" s="1"/>
  <c r="Z378" i="3"/>
  <c r="C40" i="4"/>
  <c r="AM8" i="4" s="1"/>
  <c r="C39" i="4"/>
  <c r="AM7" i="4" s="1"/>
  <c r="B40" i="4"/>
  <c r="AL8" i="4" s="1"/>
  <c r="B39" i="4"/>
  <c r="AL7" i="4" s="1"/>
  <c r="Z396" i="3"/>
  <c r="C42" i="4"/>
  <c r="AM10" i="4" s="1"/>
  <c r="C41" i="4"/>
  <c r="AM9" i="4" s="1"/>
  <c r="B42" i="4"/>
  <c r="AL10" i="4" s="1"/>
  <c r="B41" i="4"/>
  <c r="AL9" i="4" s="1"/>
  <c r="Z383" i="3"/>
  <c r="Z399" i="3"/>
  <c r="C43" i="4"/>
  <c r="AM11" i="4" s="1"/>
  <c r="C44" i="4"/>
  <c r="AM12" i="4" s="1"/>
  <c r="B43" i="4"/>
  <c r="AL11" i="4" s="1"/>
  <c r="B44" i="4"/>
  <c r="AL12" i="4" s="1"/>
  <c r="Z416" i="3"/>
  <c r="Z400" i="3"/>
  <c r="C45" i="4"/>
  <c r="AM13" i="4" s="1"/>
  <c r="C46" i="4"/>
  <c r="AM14" i="4" s="1"/>
  <c r="B45" i="4"/>
  <c r="AL13" i="4" s="1"/>
  <c r="B46" i="4"/>
  <c r="AL14" i="4" s="1"/>
  <c r="C47" i="4"/>
  <c r="AM15" i="4" s="1"/>
  <c r="C48" i="4"/>
  <c r="AM16" i="4" s="1"/>
  <c r="B47" i="4"/>
  <c r="AL15" i="4" s="1"/>
  <c r="B48" i="4"/>
  <c r="AL16" i="4" s="1"/>
  <c r="Z372" i="3"/>
  <c r="C50" i="4"/>
  <c r="AM18" i="4" s="1"/>
  <c r="C49" i="4"/>
  <c r="AM17" i="4" s="1"/>
  <c r="B50" i="4"/>
  <c r="AL18" i="4" s="1"/>
  <c r="B49" i="4"/>
  <c r="AL17" i="4" s="1"/>
  <c r="Z406" i="3"/>
  <c r="C51" i="4"/>
  <c r="AM19" i="4" s="1"/>
  <c r="C52" i="4"/>
  <c r="AM20" i="4" s="1"/>
  <c r="B51" i="4"/>
  <c r="AL19" i="4" s="1"/>
  <c r="B52" i="4"/>
  <c r="AL20" i="4" s="1"/>
  <c r="Z364" i="3"/>
  <c r="Z408" i="3"/>
  <c r="C53" i="4"/>
  <c r="AM21" i="4" s="1"/>
  <c r="B53" i="4"/>
  <c r="AL21" i="4" s="1"/>
  <c r="Z411" i="3"/>
  <c r="C55" i="4"/>
  <c r="AM23" i="4" s="1"/>
  <c r="C56" i="4"/>
  <c r="AM24" i="4" s="1"/>
  <c r="B55" i="4"/>
  <c r="AL23" i="4" s="1"/>
  <c r="B56" i="4"/>
  <c r="AL24" i="4" s="1"/>
  <c r="Z380" i="3"/>
  <c r="Z412" i="3"/>
  <c r="Z409" i="3"/>
  <c r="C57" i="4"/>
  <c r="AM25" i="4" s="1"/>
  <c r="C58" i="4"/>
  <c r="AM26" i="4" s="1"/>
  <c r="B57" i="4"/>
  <c r="AL25" i="4" s="1"/>
  <c r="B58" i="4"/>
  <c r="AL26" i="4" s="1"/>
  <c r="C59" i="4"/>
  <c r="AM27" i="4" s="1"/>
  <c r="B59" i="4"/>
  <c r="AL27" i="4" s="1"/>
  <c r="Z401" i="3"/>
  <c r="C62" i="4"/>
  <c r="AM30" i="4" s="1"/>
  <c r="C61" i="4"/>
  <c r="AM29" i="4" s="1"/>
  <c r="B62" i="4"/>
  <c r="AL30" i="4" s="1"/>
  <c r="B61" i="4"/>
  <c r="AL29" i="4" s="1"/>
  <c r="Z420" i="3"/>
  <c r="C63" i="4"/>
  <c r="AM31" i="4" s="1"/>
  <c r="B63" i="4"/>
  <c r="AL31" i="4" s="1"/>
  <c r="U357" i="3"/>
  <c r="AA356" i="3"/>
  <c r="AA360" i="3"/>
  <c r="AA410" i="3"/>
  <c r="AA381" i="3"/>
  <c r="AA369" i="3"/>
  <c r="AA375" i="3"/>
  <c r="AA386" i="3"/>
  <c r="AA358" i="3"/>
  <c r="AA384" i="3"/>
  <c r="AA419" i="3"/>
  <c r="AA398" i="3"/>
  <c r="AA390" i="3"/>
  <c r="AA393" i="3"/>
  <c r="AA395" i="3"/>
  <c r="AA365" i="3"/>
  <c r="AA392" i="3"/>
  <c r="AA382" i="3"/>
  <c r="AA366" i="3"/>
  <c r="U405" i="3"/>
  <c r="AA372" i="3"/>
  <c r="AA406" i="3"/>
  <c r="AA407" i="3"/>
  <c r="AA412" i="3"/>
  <c r="AA414" i="3"/>
  <c r="AA421" i="3"/>
  <c r="AA401" i="3"/>
  <c r="AA402" i="3"/>
  <c r="AA418" i="3"/>
  <c r="V357" i="3"/>
  <c r="AB356" i="3"/>
  <c r="AB395" i="3"/>
  <c r="AB360" i="3"/>
  <c r="AB410" i="3"/>
  <c r="AB379" i="3"/>
  <c r="AB418" i="3"/>
  <c r="AB388" i="3"/>
  <c r="AB370" i="3"/>
  <c r="AB419" i="3"/>
  <c r="AB398" i="3"/>
  <c r="AB358" i="3"/>
  <c r="AB384" i="3"/>
  <c r="AB393" i="3"/>
  <c r="AB378" i="3"/>
  <c r="AB366" i="3"/>
  <c r="AB400" i="3"/>
  <c r="V405" i="3"/>
  <c r="AB422" i="3"/>
  <c r="AB385" i="3"/>
  <c r="AB411" i="3"/>
  <c r="AB402" i="3"/>
  <c r="AC360" i="3"/>
  <c r="AC356" i="3"/>
  <c r="AC418" i="3"/>
  <c r="W367" i="3"/>
  <c r="W383" i="3"/>
  <c r="AC411" i="3"/>
  <c r="W405" i="3"/>
  <c r="AC385" i="3"/>
  <c r="AC409" i="3"/>
  <c r="AC402" i="3"/>
  <c r="AD368" i="3"/>
  <c r="X367" i="3"/>
  <c r="AD379" i="3"/>
  <c r="AD356" i="3"/>
  <c r="AD417" i="3"/>
  <c r="X383" i="3"/>
  <c r="AD374" i="3"/>
  <c r="AD409" i="3"/>
  <c r="AE368" i="3"/>
  <c r="Y367" i="3"/>
  <c r="AE417" i="3"/>
  <c r="Y391" i="3"/>
  <c r="AE404" i="3"/>
  <c r="AE372" i="3"/>
  <c r="AE386" i="3"/>
  <c r="AB406" i="3"/>
  <c r="AC406" i="3"/>
  <c r="AE412" i="3"/>
  <c r="AC416" i="3"/>
  <c r="AD416" i="3"/>
  <c r="Z363" i="3"/>
  <c r="AA363" i="3"/>
  <c r="AB363" i="3"/>
  <c r="AD383" i="3"/>
  <c r="AB399" i="3"/>
  <c r="AE399" i="3"/>
  <c r="AA403" i="3"/>
  <c r="AC403" i="3"/>
  <c r="Z413" i="3"/>
  <c r="AA415" i="3"/>
  <c r="AB415" i="3"/>
  <c r="AC415" i="3"/>
  <c r="AE370" i="3"/>
  <c r="AB369" i="3"/>
  <c r="AE369" i="3"/>
  <c r="AE390" i="3"/>
  <c r="AD400" i="3"/>
  <c r="AE400" i="3"/>
  <c r="AA357" i="3"/>
  <c r="AD357" i="3"/>
  <c r="AE357" i="3"/>
  <c r="AC393" i="3"/>
  <c r="AB367" i="3"/>
  <c r="AC420" i="3"/>
  <c r="AD420" i="3"/>
  <c r="AB387" i="3"/>
  <c r="AD387" i="3"/>
  <c r="AE387" i="3"/>
  <c r="AC419" i="3"/>
  <c r="AE401" i="3"/>
  <c r="AC386" i="3"/>
  <c r="AB377" i="3"/>
  <c r="AC377" i="3"/>
  <c r="AC421" i="3"/>
  <c r="AD421" i="3"/>
  <c r="Z397" i="3"/>
  <c r="AA397" i="3"/>
  <c r="AC397" i="3"/>
  <c r="AC380" i="3"/>
  <c r="AE384" i="3"/>
  <c r="AD407" i="3"/>
  <c r="AE407" i="3"/>
  <c r="AD408" i="3"/>
  <c r="AE408" i="3"/>
  <c r="Z373" i="3"/>
  <c r="AA373" i="3"/>
  <c r="AB373" i="3"/>
  <c r="AC373" i="3"/>
  <c r="AE373" i="3"/>
  <c r="AC405" i="3"/>
  <c r="AD405" i="3"/>
  <c r="AE405" i="3"/>
  <c r="Z371" i="3"/>
  <c r="AB371" i="3"/>
  <c r="AC371" i="3"/>
  <c r="AD371" i="3"/>
  <c r="AE371" i="3"/>
  <c r="AB389" i="3"/>
  <c r="AC422" i="3"/>
  <c r="AD422" i="3"/>
  <c r="AD366" i="3"/>
  <c r="AE366" i="3"/>
  <c r="AD361" i="3"/>
  <c r="AE361" i="3"/>
  <c r="AD365" i="3"/>
  <c r="AE365" i="3"/>
  <c r="AB375" i="3"/>
  <c r="AC375" i="3"/>
  <c r="AD385" i="3"/>
  <c r="AE385" i="3"/>
  <c r="AD395" i="3"/>
  <c r="AE395" i="3"/>
  <c r="AE356" i="3"/>
  <c r="AD360" i="3"/>
  <c r="AE360" i="3"/>
  <c r="AB390" i="3"/>
  <c r="AC359" i="3"/>
  <c r="AB413" i="3"/>
  <c r="AC413" i="3"/>
  <c r="AE423" i="3"/>
  <c r="AE411" i="3"/>
  <c r="M4" i="1"/>
  <c r="W4" i="1" s="1"/>
  <c r="W29" i="1" s="1"/>
  <c r="M5" i="1"/>
  <c r="W5" i="1" s="1"/>
  <c r="W30" i="1" s="1"/>
  <c r="M6" i="1"/>
  <c r="W6" i="1" s="1"/>
  <c r="W31" i="1" s="1"/>
  <c r="M7" i="1"/>
  <c r="W7" i="1" s="1"/>
  <c r="W32" i="1" s="1"/>
  <c r="M8" i="1"/>
  <c r="W8" i="1" s="1"/>
  <c r="M9" i="1"/>
  <c r="W9" i="1" s="1"/>
  <c r="W34" i="1" s="1"/>
  <c r="M10" i="1"/>
  <c r="AE10" i="1" s="1"/>
  <c r="Y368" i="3" s="1"/>
  <c r="M11" i="1"/>
  <c r="W11" i="1" s="1"/>
  <c r="W36" i="1" s="1"/>
  <c r="W37" i="1"/>
  <c r="W38" i="1"/>
  <c r="W39" i="1"/>
  <c r="W40" i="1"/>
  <c r="W41" i="1"/>
  <c r="W42" i="1"/>
  <c r="W43" i="1"/>
  <c r="W44" i="1"/>
  <c r="K4" i="1"/>
  <c r="V4" i="1" s="1"/>
  <c r="K5" i="1"/>
  <c r="V5" i="1" s="1"/>
  <c r="K6" i="1"/>
  <c r="AD6" i="1" s="1"/>
  <c r="X366" i="3" s="1"/>
  <c r="K7" i="1"/>
  <c r="V7" i="1" s="1"/>
  <c r="V32" i="1" s="1"/>
  <c r="K8" i="1"/>
  <c r="AD8" i="1" s="1"/>
  <c r="X376" i="3" s="1"/>
  <c r="K9" i="1"/>
  <c r="V9" i="1" s="1"/>
  <c r="V34" i="1" s="1"/>
  <c r="K10" i="1"/>
  <c r="V10" i="1" s="1"/>
  <c r="V35" i="1" s="1"/>
  <c r="K11" i="1"/>
  <c r="V11" i="1" s="1"/>
  <c r="V36" i="1" s="1"/>
  <c r="K12" i="1"/>
  <c r="V12" i="1" s="1"/>
  <c r="V37" i="1" s="1"/>
  <c r="K13" i="1"/>
  <c r="V13" i="1" s="1"/>
  <c r="V38" i="1" s="1"/>
  <c r="K14" i="1"/>
  <c r="AD14" i="1" s="1"/>
  <c r="X423" i="3" s="1"/>
  <c r="V40" i="1"/>
  <c r="V41" i="1"/>
  <c r="V42" i="1"/>
  <c r="V43" i="1"/>
  <c r="V44" i="1"/>
  <c r="I4" i="1"/>
  <c r="U4" i="1" s="1"/>
  <c r="U29" i="1" s="1"/>
  <c r="I5" i="1"/>
  <c r="U5" i="1" s="1"/>
  <c r="U30" i="1" s="1"/>
  <c r="I6" i="1"/>
  <c r="U6" i="1" s="1"/>
  <c r="U31" i="1" s="1"/>
  <c r="I7" i="1"/>
  <c r="U7" i="1" s="1"/>
  <c r="U32" i="1" s="1"/>
  <c r="I8" i="1"/>
  <c r="U8" i="1" s="1"/>
  <c r="U33" i="1" s="1"/>
  <c r="I9" i="1"/>
  <c r="AC9" i="1" s="1"/>
  <c r="I10" i="1"/>
  <c r="U10" i="1" s="1"/>
  <c r="U35" i="1" s="1"/>
  <c r="I11" i="1"/>
  <c r="AC11" i="1" s="1"/>
  <c r="W358" i="3" s="1"/>
  <c r="I12" i="1"/>
  <c r="U12" i="1" s="1"/>
  <c r="U37" i="1" s="1"/>
  <c r="I13" i="1"/>
  <c r="U13" i="1" s="1"/>
  <c r="U38" i="1" s="1"/>
  <c r="I14" i="1"/>
  <c r="AC14" i="1" s="1"/>
  <c r="I15" i="1"/>
  <c r="U15" i="1" s="1"/>
  <c r="U40" i="1" s="1"/>
  <c r="U41" i="1"/>
  <c r="U42" i="1"/>
  <c r="U43" i="1"/>
  <c r="U44" i="1"/>
  <c r="G4" i="1"/>
  <c r="AB4" i="1" s="1"/>
  <c r="G5" i="1"/>
  <c r="T5" i="1" s="1"/>
  <c r="T30" i="1" s="1"/>
  <c r="G6" i="1"/>
  <c r="T6" i="1" s="1"/>
  <c r="G7" i="1"/>
  <c r="T7" i="1" s="1"/>
  <c r="T32" i="1" s="1"/>
  <c r="G8" i="1"/>
  <c r="T8" i="1" s="1"/>
  <c r="T33" i="1" s="1"/>
  <c r="G9" i="1"/>
  <c r="T9" i="1" s="1"/>
  <c r="T34" i="1" s="1"/>
  <c r="G10" i="1"/>
  <c r="AB10" i="1" s="1"/>
  <c r="V368" i="3" s="1"/>
  <c r="G11" i="1"/>
  <c r="T11" i="1" s="1"/>
  <c r="T36" i="1" s="1"/>
  <c r="G12" i="1"/>
  <c r="T12" i="1" s="1"/>
  <c r="T37" i="1" s="1"/>
  <c r="G13" i="1"/>
  <c r="T13" i="1" s="1"/>
  <c r="T38" i="1" s="1"/>
  <c r="G14" i="1"/>
  <c r="T14" i="1" s="1"/>
  <c r="T39" i="1" s="1"/>
  <c r="G15" i="1"/>
  <c r="T15" i="1" s="1"/>
  <c r="T40" i="1" s="1"/>
  <c r="G16" i="1"/>
  <c r="AB16" i="1" s="1"/>
  <c r="V363" i="3" s="1"/>
  <c r="G17" i="1"/>
  <c r="T17" i="1" s="1"/>
  <c r="T42" i="1" s="1"/>
  <c r="G18" i="1"/>
  <c r="T18" i="1" s="1"/>
  <c r="T43" i="1" s="1"/>
  <c r="T44" i="1"/>
  <c r="E4" i="1"/>
  <c r="AA4" i="1" s="1"/>
  <c r="E5" i="1"/>
  <c r="S5" i="1" s="1"/>
  <c r="E6" i="1"/>
  <c r="AA6" i="1" s="1"/>
  <c r="E7" i="1"/>
  <c r="AA7" i="1" s="1"/>
  <c r="E8" i="1"/>
  <c r="S8" i="1" s="1"/>
  <c r="E9" i="1"/>
  <c r="S9" i="1" s="1"/>
  <c r="S34" i="1" s="1"/>
  <c r="E10" i="1"/>
  <c r="AA10" i="1" s="1"/>
  <c r="E11" i="1"/>
  <c r="S11" i="1" s="1"/>
  <c r="S36" i="1" s="1"/>
  <c r="E12" i="1"/>
  <c r="S12" i="1" s="1"/>
  <c r="S37" i="1" s="1"/>
  <c r="E13" i="1"/>
  <c r="S13" i="1" s="1"/>
  <c r="S38" i="1" s="1"/>
  <c r="E14" i="1"/>
  <c r="AA14" i="1" s="1"/>
  <c r="U421" i="3" s="1"/>
  <c r="E15" i="1"/>
  <c r="S15" i="1" s="1"/>
  <c r="S40" i="1" s="1"/>
  <c r="E16" i="1"/>
  <c r="S16" i="1" s="1"/>
  <c r="S41" i="1" s="1"/>
  <c r="E17" i="1"/>
  <c r="S17" i="1" s="1"/>
  <c r="S42" i="1" s="1"/>
  <c r="E18" i="1"/>
  <c r="S18" i="1" s="1"/>
  <c r="S43" i="1" s="1"/>
  <c r="S44" i="1"/>
  <c r="C5" i="1"/>
  <c r="R5" i="1" s="1"/>
  <c r="R30" i="1" s="1"/>
  <c r="C15" i="1"/>
  <c r="W363" i="3"/>
  <c r="X363" i="3"/>
  <c r="Y363" i="3"/>
  <c r="AE9" i="1"/>
  <c r="Y364" i="3" s="1"/>
  <c r="Y365" i="3"/>
  <c r="X369" i="3"/>
  <c r="Y369" i="3"/>
  <c r="AD5" i="1"/>
  <c r="X370" i="3" s="1"/>
  <c r="W371" i="3"/>
  <c r="X371" i="3"/>
  <c r="Y371" i="3"/>
  <c r="U373" i="3"/>
  <c r="V373" i="3"/>
  <c r="W373" i="3"/>
  <c r="X373" i="3"/>
  <c r="Y373" i="3"/>
  <c r="Y375" i="3"/>
  <c r="X377" i="3"/>
  <c r="Y377" i="3"/>
  <c r="W379" i="3"/>
  <c r="X379" i="3"/>
  <c r="Y379" i="3"/>
  <c r="Y381" i="3"/>
  <c r="Y383" i="3"/>
  <c r="X385" i="3"/>
  <c r="Y385" i="3"/>
  <c r="W387" i="3"/>
  <c r="X387" i="3"/>
  <c r="Y387" i="3"/>
  <c r="U389" i="3"/>
  <c r="V389" i="3"/>
  <c r="W389" i="3"/>
  <c r="X389" i="3"/>
  <c r="Y389" i="3"/>
  <c r="X393" i="3"/>
  <c r="Y393" i="3"/>
  <c r="W395" i="3"/>
  <c r="X395" i="3"/>
  <c r="Y395" i="3"/>
  <c r="Y397" i="3"/>
  <c r="W399" i="3"/>
  <c r="X399" i="3"/>
  <c r="Y399" i="3"/>
  <c r="X401" i="3"/>
  <c r="Y401" i="3"/>
  <c r="W403" i="3"/>
  <c r="X403" i="3"/>
  <c r="Y403" i="3"/>
  <c r="X405" i="3"/>
  <c r="Y405" i="3"/>
  <c r="Y407" i="3"/>
  <c r="X409" i="3"/>
  <c r="Y409" i="3"/>
  <c r="W411" i="3"/>
  <c r="X411" i="3"/>
  <c r="Y411" i="3"/>
  <c r="Y413" i="3"/>
  <c r="W415" i="3"/>
  <c r="X415" i="3"/>
  <c r="Y415" i="3"/>
  <c r="X417" i="3"/>
  <c r="Y417" i="3"/>
  <c r="W419" i="3"/>
  <c r="X419" i="3"/>
  <c r="Y419" i="3"/>
  <c r="U420" i="3"/>
  <c r="V420" i="3"/>
  <c r="W420" i="3"/>
  <c r="X420" i="3"/>
  <c r="Y420" i="3"/>
  <c r="Y421" i="3"/>
  <c r="U422" i="3"/>
  <c r="V422" i="3"/>
  <c r="W422" i="3"/>
  <c r="X422" i="3"/>
  <c r="Y422" i="3"/>
  <c r="Y423" i="3"/>
  <c r="W357" i="3"/>
  <c r="X357" i="3"/>
  <c r="Y357" i="3"/>
  <c r="Y359" i="3"/>
  <c r="X361" i="3"/>
  <c r="Y361" i="3"/>
  <c r="A33" i="7"/>
  <c r="C33" i="7"/>
  <c r="C34" i="7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49" i="7"/>
  <c r="A17" i="7"/>
  <c r="A1" i="7"/>
  <c r="AD419" i="3"/>
  <c r="AE419" i="3"/>
  <c r="AA423" i="3"/>
  <c r="AD423" i="3"/>
  <c r="AC357" i="3"/>
  <c r="AE422" i="3"/>
  <c r="AA422" i="3"/>
  <c r="AC387" i="3"/>
  <c r="AD403" i="3"/>
  <c r="AE415" i="3"/>
  <c r="AD415" i="3"/>
  <c r="AD373" i="3"/>
  <c r="AE403" i="3"/>
  <c r="AA389" i="3"/>
  <c r="AE389" i="3"/>
  <c r="AE383" i="3"/>
  <c r="AE406" i="3"/>
  <c r="AC399" i="3"/>
  <c r="AD399" i="3"/>
  <c r="AD375" i="3"/>
  <c r="AE396" i="3"/>
  <c r="AB409" i="3"/>
  <c r="AD396" i="3"/>
  <c r="AD406" i="3"/>
  <c r="AE409" i="3"/>
  <c r="AC400" i="3"/>
  <c r="Z421" i="3"/>
  <c r="AE416" i="3"/>
  <c r="AD363" i="3"/>
  <c r="AC379" i="3"/>
  <c r="AA420" i="3"/>
  <c r="AC395" i="3"/>
  <c r="AE380" i="3"/>
  <c r="AE379" i="3"/>
  <c r="AB420" i="3"/>
  <c r="AE420" i="3"/>
  <c r="AC417" i="3"/>
  <c r="AE363" i="3"/>
  <c r="AE375" i="3"/>
  <c r="AC363" i="3"/>
  <c r="AE364" i="3"/>
  <c r="AD390" i="3"/>
  <c r="AD369" i="3"/>
  <c r="AD401" i="3"/>
  <c r="AE377" i="3"/>
  <c r="AD377" i="3"/>
  <c r="AD393" i="3"/>
  <c r="AD411" i="3"/>
  <c r="AD381" i="3"/>
  <c r="AB361" i="3"/>
  <c r="AB401" i="3"/>
  <c r="AE413" i="3"/>
  <c r="AE397" i="3"/>
  <c r="AE421" i="3"/>
  <c r="AE393" i="3"/>
  <c r="AE381" i="3"/>
  <c r="AC390" i="3"/>
  <c r="AE392" i="3"/>
  <c r="AC369" i="3"/>
  <c r="AC361" i="3"/>
  <c r="AC401" i="3"/>
  <c r="AC374" i="3"/>
  <c r="AD397" i="3"/>
  <c r="B64" i="8"/>
  <c r="H63" i="8" s="1"/>
  <c r="K61" i="8" s="1"/>
  <c r="B62" i="8"/>
  <c r="B52" i="8"/>
  <c r="B50" i="8"/>
  <c r="H51" i="8" s="1"/>
  <c r="K53" i="8" s="1"/>
  <c r="N57" i="8" s="1"/>
  <c r="B44" i="8"/>
  <c r="H43" i="8" s="1"/>
  <c r="K45" i="8" s="1"/>
  <c r="B43" i="8"/>
  <c r="B20" i="8"/>
  <c r="B18" i="8"/>
  <c r="B8" i="8"/>
  <c r="B40" i="8"/>
  <c r="B56" i="8"/>
  <c r="B54" i="8"/>
  <c r="B48" i="8"/>
  <c r="H47" i="8" s="1"/>
  <c r="B46" i="8"/>
  <c r="B38" i="8"/>
  <c r="H39" i="8" s="1"/>
  <c r="B36" i="8"/>
  <c r="U36" i="8" s="1"/>
  <c r="B22" i="8"/>
  <c r="B16" i="8"/>
  <c r="B14" i="8"/>
  <c r="B6" i="8"/>
  <c r="H7" i="8" s="1"/>
  <c r="B2" i="8"/>
  <c r="U2" i="8" s="1"/>
  <c r="B4" i="8"/>
  <c r="B24" i="8"/>
  <c r="H23" i="8" s="1"/>
  <c r="B34" i="8"/>
  <c r="H35" i="8" s="1"/>
  <c r="K37" i="8" s="1"/>
  <c r="N41" i="8" s="1"/>
  <c r="B31" i="8"/>
  <c r="B26" i="8"/>
  <c r="B59" i="8"/>
  <c r="B10" i="8"/>
  <c r="U10" i="8" s="1"/>
  <c r="B32" i="8"/>
  <c r="B29" i="8"/>
  <c r="U29" i="8" s="1"/>
  <c r="B61" i="8"/>
  <c r="U61" i="8" s="1"/>
  <c r="B12" i="8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G22" i="9"/>
  <c r="B22" i="9"/>
  <c r="B21" i="9"/>
  <c r="G20" i="9"/>
  <c r="G19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65" i="8"/>
  <c r="U65" i="8" s="1"/>
  <c r="A65" i="8"/>
  <c r="A64" i="8"/>
  <c r="B63" i="8"/>
  <c r="A63" i="8"/>
  <c r="A62" i="8"/>
  <c r="A61" i="8"/>
  <c r="B60" i="8"/>
  <c r="A60" i="8"/>
  <c r="A59" i="8"/>
  <c r="B58" i="8"/>
  <c r="A58" i="8"/>
  <c r="B57" i="8"/>
  <c r="U57" i="8" s="1"/>
  <c r="A57" i="8"/>
  <c r="A56" i="8"/>
  <c r="B55" i="8"/>
  <c r="U55" i="8" s="1"/>
  <c r="A55" i="8"/>
  <c r="A54" i="8"/>
  <c r="B53" i="8"/>
  <c r="U53" i="8" s="1"/>
  <c r="A53" i="8"/>
  <c r="A52" i="8"/>
  <c r="B51" i="8"/>
  <c r="U51" i="8" s="1"/>
  <c r="A51" i="8"/>
  <c r="A50" i="8"/>
  <c r="B49" i="8"/>
  <c r="U49" i="8" s="1"/>
  <c r="A49" i="8"/>
  <c r="A48" i="8"/>
  <c r="B47" i="8"/>
  <c r="A47" i="8"/>
  <c r="A46" i="8"/>
  <c r="B45" i="8"/>
  <c r="U45" i="8" s="1"/>
  <c r="A45" i="8"/>
  <c r="A44" i="8"/>
  <c r="A43" i="8"/>
  <c r="B42" i="8"/>
  <c r="A42" i="8"/>
  <c r="B41" i="8"/>
  <c r="A41" i="8"/>
  <c r="A40" i="8"/>
  <c r="B39" i="8"/>
  <c r="U39" i="8" s="1"/>
  <c r="A39" i="8"/>
  <c r="A38" i="8"/>
  <c r="B37" i="8"/>
  <c r="A37" i="8"/>
  <c r="A36" i="8"/>
  <c r="B35" i="8"/>
  <c r="U35" i="8" s="1"/>
  <c r="A35" i="8"/>
  <c r="A34" i="8"/>
  <c r="B33" i="8"/>
  <c r="U33" i="8" s="1"/>
  <c r="A33" i="8"/>
  <c r="A32" i="8"/>
  <c r="A31" i="8"/>
  <c r="B30" i="8"/>
  <c r="H31" i="8" s="1"/>
  <c r="A30" i="8"/>
  <c r="A29" i="8"/>
  <c r="B28" i="8"/>
  <c r="H27" i="8" s="1"/>
  <c r="K29" i="8" s="1"/>
  <c r="N25" i="8" s="1"/>
  <c r="A28" i="8"/>
  <c r="B27" i="8"/>
  <c r="A27" i="8"/>
  <c r="A26" i="8"/>
  <c r="B25" i="8"/>
  <c r="U25" i="8" s="1"/>
  <c r="A25" i="8"/>
  <c r="A24" i="8"/>
  <c r="B23" i="8"/>
  <c r="U23" i="8" s="1"/>
  <c r="A23" i="8"/>
  <c r="A22" i="8"/>
  <c r="B21" i="8"/>
  <c r="A21" i="8"/>
  <c r="A20" i="8"/>
  <c r="B19" i="8"/>
  <c r="U19" i="8" s="1"/>
  <c r="A19" i="8"/>
  <c r="A18" i="8"/>
  <c r="B17" i="8"/>
  <c r="U17" i="8" s="1"/>
  <c r="A17" i="8"/>
  <c r="A16" i="8"/>
  <c r="B15" i="8"/>
  <c r="U15" i="8" s="1"/>
  <c r="A15" i="8"/>
  <c r="A14" i="8"/>
  <c r="B13" i="8"/>
  <c r="U13" i="8" s="1"/>
  <c r="A13" i="8"/>
  <c r="A12" i="8"/>
  <c r="B11" i="8"/>
  <c r="H11" i="8" s="1"/>
  <c r="K13" i="8" s="1"/>
  <c r="N9" i="8" s="1"/>
  <c r="A11" i="8"/>
  <c r="A10" i="8"/>
  <c r="B9" i="8"/>
  <c r="A9" i="8"/>
  <c r="A8" i="8"/>
  <c r="B7" i="8"/>
  <c r="U7" i="8" s="1"/>
  <c r="A7" i="8"/>
  <c r="A6" i="8"/>
  <c r="B5" i="8"/>
  <c r="A5" i="8"/>
  <c r="A4" i="8"/>
  <c r="B3" i="8"/>
  <c r="A3" i="8"/>
  <c r="A2" i="8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B34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C1" i="7"/>
  <c r="B1" i="7"/>
  <c r="C64" i="4"/>
  <c r="AM32" i="4" s="1"/>
  <c r="B64" i="4"/>
  <c r="AL32" i="4" s="1"/>
  <c r="C60" i="4"/>
  <c r="AM28" i="4" s="1"/>
  <c r="B60" i="4"/>
  <c r="AL28" i="4" s="1"/>
  <c r="C54" i="4"/>
  <c r="AM22" i="4" s="1"/>
  <c r="B54" i="4"/>
  <c r="AL22" i="4" s="1"/>
  <c r="A49" i="4"/>
  <c r="AN17" i="4" s="1"/>
  <c r="C34" i="4"/>
  <c r="AM2" i="4" s="1"/>
  <c r="B34" i="4"/>
  <c r="AL2" i="4" s="1"/>
  <c r="A33" i="4"/>
  <c r="AN1" i="4" s="1"/>
  <c r="C30" i="4"/>
  <c r="B30" i="4"/>
  <c r="C22" i="4"/>
  <c r="B22" i="4"/>
  <c r="C18" i="4"/>
  <c r="B18" i="4"/>
  <c r="A17" i="4"/>
  <c r="C16" i="4"/>
  <c r="B16" i="4"/>
  <c r="B9" i="4"/>
  <c r="C6" i="4"/>
  <c r="B6" i="4"/>
  <c r="C4" i="4"/>
  <c r="B4" i="4"/>
  <c r="A1" i="4"/>
  <c r="L20" i="1"/>
  <c r="J20" i="1"/>
  <c r="H20" i="1"/>
  <c r="F20" i="1"/>
  <c r="D20" i="1"/>
  <c r="B20" i="1"/>
  <c r="M19" i="1"/>
  <c r="K19" i="1"/>
  <c r="I19" i="1"/>
  <c r="G19" i="1"/>
  <c r="E19" i="1"/>
  <c r="M18" i="1"/>
  <c r="K18" i="1"/>
  <c r="I18" i="1"/>
  <c r="M17" i="1"/>
  <c r="K17" i="1"/>
  <c r="I17" i="1"/>
  <c r="M16" i="1"/>
  <c r="K16" i="1"/>
  <c r="I16" i="1"/>
  <c r="M15" i="1"/>
  <c r="K15" i="1"/>
  <c r="M14" i="1"/>
  <c r="M12" i="1"/>
  <c r="M13" i="1"/>
  <c r="B21" i="1"/>
  <c r="D21" i="1" s="1"/>
  <c r="F21" i="1" s="1"/>
  <c r="H21" i="1" s="1"/>
  <c r="J21" i="1" s="1"/>
  <c r="L21" i="1" s="1"/>
  <c r="C21" i="1"/>
  <c r="E21" i="1" s="1"/>
  <c r="G21" i="1" s="1"/>
  <c r="I21" i="1" s="1"/>
  <c r="K21" i="1" s="1"/>
  <c r="M21" i="1" s="1"/>
  <c r="Q2293" i="16" l="1"/>
  <c r="S2293" i="16" s="1"/>
  <c r="Q2311" i="16"/>
  <c r="S2311" i="16" s="1"/>
  <c r="Q2288" i="16"/>
  <c r="S2288" i="16" s="1"/>
  <c r="Q2310" i="16"/>
  <c r="S2310" i="16" s="1"/>
  <c r="Q2302" i="16"/>
  <c r="S2302" i="16" s="1"/>
  <c r="Q2307" i="16"/>
  <c r="S2307" i="16" s="1"/>
  <c r="Q2283" i="16"/>
  <c r="S2283" i="16" s="1"/>
  <c r="Q2305" i="16"/>
  <c r="S2305" i="16" s="1"/>
  <c r="Q2247" i="16"/>
  <c r="S2247" i="16" s="1"/>
  <c r="Q2301" i="16"/>
  <c r="S2301" i="16" s="1"/>
  <c r="Q2294" i="16"/>
  <c r="S2294" i="16" s="1"/>
  <c r="Q2298" i="16"/>
  <c r="S2298" i="16" s="1"/>
  <c r="Q2299" i="16"/>
  <c r="S2299" i="16" s="1"/>
  <c r="Q2300" i="16"/>
  <c r="S2300" i="16" s="1"/>
  <c r="Q2290" i="16"/>
  <c r="S2290" i="16" s="1"/>
  <c r="Q2297" i="16"/>
  <c r="S2297" i="16" s="1"/>
  <c r="Q2282" i="16"/>
  <c r="S2282" i="16" s="1"/>
  <c r="Q2296" i="16"/>
  <c r="S2296" i="16" s="1"/>
  <c r="Q2279" i="16"/>
  <c r="S2279" i="16" s="1"/>
  <c r="Q2295" i="16"/>
  <c r="S2295" i="16" s="1"/>
  <c r="D3" i="17" s="1"/>
  <c r="Q2270" i="16"/>
  <c r="S2270" i="16" s="1"/>
  <c r="Q2291" i="16"/>
  <c r="S2291" i="16" s="1"/>
  <c r="Q2280" i="16"/>
  <c r="S2280" i="16" s="1"/>
  <c r="Q2292" i="16"/>
  <c r="S2292" i="16" s="1"/>
  <c r="Q2274" i="16"/>
  <c r="S2274" i="16" s="1"/>
  <c r="Q2289" i="16"/>
  <c r="S2289" i="16" s="1"/>
  <c r="Q2271" i="16"/>
  <c r="S2271" i="16" s="1"/>
  <c r="Q2287" i="16"/>
  <c r="S2287" i="16" s="1"/>
  <c r="Q2278" i="16"/>
  <c r="S2278" i="16" s="1"/>
  <c r="Q2286" i="16"/>
  <c r="S2286" i="16" s="1"/>
  <c r="Q2269" i="16"/>
  <c r="S2269" i="16" s="1"/>
  <c r="Q2285" i="16"/>
  <c r="S2285" i="16" s="1"/>
  <c r="Q2268" i="16"/>
  <c r="S2268" i="16" s="1"/>
  <c r="Q2284" i="16"/>
  <c r="S2284" i="16" s="1"/>
  <c r="Q2261" i="16"/>
  <c r="S2261" i="16" s="1"/>
  <c r="Q2277" i="16"/>
  <c r="S2277" i="16" s="1"/>
  <c r="Q2260" i="16"/>
  <c r="S2260" i="16" s="1"/>
  <c r="Q2276" i="16"/>
  <c r="S2276" i="16" s="1"/>
  <c r="Q2267" i="16"/>
  <c r="S2267" i="16" s="1"/>
  <c r="Q2275" i="16"/>
  <c r="S2275" i="16" s="1"/>
  <c r="Q2265" i="16"/>
  <c r="S2265" i="16" s="1"/>
  <c r="Q2273" i="16"/>
  <c r="S2273" i="16" s="1"/>
  <c r="Q2264" i="16"/>
  <c r="S2264" i="16" s="1"/>
  <c r="Q2272" i="16"/>
  <c r="S2272" i="16" s="1"/>
  <c r="Q2258" i="16"/>
  <c r="S2258" i="16" s="1"/>
  <c r="Q2266" i="16"/>
  <c r="S2266" i="16" s="1"/>
  <c r="Q2257" i="16"/>
  <c r="S2257" i="16" s="1"/>
  <c r="Q2263" i="16"/>
  <c r="S2263" i="16" s="1"/>
  <c r="Q2219" i="16"/>
  <c r="S2219" i="16" s="1"/>
  <c r="Q2262" i="16"/>
  <c r="S2262" i="16" s="1"/>
  <c r="Q2242" i="16"/>
  <c r="S2242" i="16" s="1"/>
  <c r="Q2259" i="16"/>
  <c r="S2259" i="16" s="1"/>
  <c r="Q2254" i="16"/>
  <c r="S2254" i="16" s="1"/>
  <c r="Q2256" i="16"/>
  <c r="S2256" i="16" s="1"/>
  <c r="Q2253" i="16"/>
  <c r="S2253" i="16" s="1"/>
  <c r="Q2255" i="16"/>
  <c r="S2255" i="16" s="1"/>
  <c r="D12" i="17" s="1"/>
  <c r="Q2248" i="16"/>
  <c r="S2248" i="16" s="1"/>
  <c r="Q2252" i="16"/>
  <c r="S2252" i="16" s="1"/>
  <c r="Q2208" i="16"/>
  <c r="S2208" i="16" s="1"/>
  <c r="Q2251" i="16"/>
  <c r="S2251" i="16" s="1"/>
  <c r="Q2249" i="16"/>
  <c r="S2249" i="16" s="1"/>
  <c r="Q2250" i="16"/>
  <c r="S2250" i="16" s="1"/>
  <c r="Q2244" i="16"/>
  <c r="S2244" i="16" s="1"/>
  <c r="Q2246" i="16"/>
  <c r="S2246" i="16" s="1"/>
  <c r="Q2239" i="16"/>
  <c r="S2239" i="16" s="1"/>
  <c r="Q2245" i="16"/>
  <c r="S2245" i="16" s="1"/>
  <c r="Q2241" i="16"/>
  <c r="S2241" i="16" s="1"/>
  <c r="Q2243" i="16"/>
  <c r="S2243" i="16" s="1"/>
  <c r="Q2238" i="16"/>
  <c r="S2238" i="16" s="1"/>
  <c r="Q2240" i="16"/>
  <c r="S2240" i="16" s="1"/>
  <c r="Q2212" i="16"/>
  <c r="S2212" i="16" s="1"/>
  <c r="Q2237" i="16"/>
  <c r="S2237" i="16" s="1"/>
  <c r="Q2210" i="16"/>
  <c r="S2210" i="16" s="1"/>
  <c r="Q2236" i="16"/>
  <c r="S2236" i="16" s="1"/>
  <c r="Q2209" i="16"/>
  <c r="S2209" i="16" s="1"/>
  <c r="Q2235" i="16"/>
  <c r="S2235" i="16" s="1"/>
  <c r="Q2230" i="16"/>
  <c r="S2230" i="16" s="1"/>
  <c r="Q2234" i="16"/>
  <c r="S2234" i="16" s="1"/>
  <c r="Q2229" i="16"/>
  <c r="S2229" i="16" s="1"/>
  <c r="Q2233" i="16"/>
  <c r="S2233" i="16" s="1"/>
  <c r="Q2228" i="16"/>
  <c r="S2228" i="16" s="1"/>
  <c r="Q2232" i="16"/>
  <c r="S2232" i="16" s="1"/>
  <c r="Q2217" i="16"/>
  <c r="S2217" i="16" s="1"/>
  <c r="Q2231" i="16"/>
  <c r="S2231" i="16" s="1"/>
  <c r="Q2216" i="16"/>
  <c r="S2216" i="16" s="1"/>
  <c r="Q2227" i="16"/>
  <c r="S2227" i="16" s="1"/>
  <c r="Q2222" i="16"/>
  <c r="S2222" i="16" s="1"/>
  <c r="Q2226" i="16"/>
  <c r="S2226" i="16" s="1"/>
  <c r="Q2220" i="16"/>
  <c r="S2220" i="16" s="1"/>
  <c r="Q2225" i="16"/>
  <c r="S2225" i="16" s="1"/>
  <c r="Q2218" i="16"/>
  <c r="S2218" i="16" s="1"/>
  <c r="Q2224" i="16"/>
  <c r="S2224" i="16" s="1"/>
  <c r="Q2221" i="16"/>
  <c r="S2221" i="16" s="1"/>
  <c r="Q2223" i="16"/>
  <c r="S2223" i="16" s="1"/>
  <c r="Q2202" i="16"/>
  <c r="S2202" i="16" s="1"/>
  <c r="Q2207" i="16"/>
  <c r="S2207" i="16" s="1"/>
  <c r="Q2215" i="16"/>
  <c r="S2215" i="16" s="1"/>
  <c r="Q2206" i="16"/>
  <c r="S2206" i="16" s="1"/>
  <c r="Q2214" i="16"/>
  <c r="S2214" i="16" s="1"/>
  <c r="Q2204" i="16"/>
  <c r="S2204" i="16" s="1"/>
  <c r="Q2213" i="16"/>
  <c r="S2213" i="16" s="1"/>
  <c r="Q2203" i="16"/>
  <c r="S2203" i="16" s="1"/>
  <c r="Q2211" i="16"/>
  <c r="S2211" i="16" s="1"/>
  <c r="Q2205" i="16"/>
  <c r="S2205" i="16" s="1"/>
  <c r="Q2201" i="16"/>
  <c r="S2201" i="16" s="1"/>
  <c r="Q2197" i="16"/>
  <c r="S2197" i="16" s="1"/>
  <c r="Q2192" i="16"/>
  <c r="S2192" i="16" s="1"/>
  <c r="J23" i="1"/>
  <c r="D23" i="1"/>
  <c r="L23" i="1"/>
  <c r="F23" i="1"/>
  <c r="H23" i="1"/>
  <c r="B23" i="1"/>
  <c r="Q2194" i="16"/>
  <c r="S2194" i="16" s="1"/>
  <c r="Q2200" i="16"/>
  <c r="S2200" i="16" s="1"/>
  <c r="Q2190" i="16"/>
  <c r="S2190" i="16" s="1"/>
  <c r="Q2199" i="16"/>
  <c r="S2199" i="16" s="1"/>
  <c r="Q2195" i="16"/>
  <c r="S2195" i="16" s="1"/>
  <c r="Q2198" i="16"/>
  <c r="S2198" i="16" s="1"/>
  <c r="Q2193" i="16"/>
  <c r="S2193" i="16" s="1"/>
  <c r="Q2196" i="16"/>
  <c r="S2196" i="16" s="1"/>
  <c r="Q2191" i="16"/>
  <c r="S2191" i="16" s="1"/>
  <c r="Q2186" i="16"/>
  <c r="S2186" i="16" s="1"/>
  <c r="Q2189" i="16"/>
  <c r="S2189" i="16" s="1"/>
  <c r="Q2188" i="16"/>
  <c r="S2188" i="16" s="1"/>
  <c r="Q2187" i="16"/>
  <c r="S2187" i="16" s="1"/>
  <c r="W16" i="8"/>
  <c r="W32" i="8"/>
  <c r="W48" i="8"/>
  <c r="Q2184" i="16"/>
  <c r="S2184" i="16" s="1"/>
  <c r="A2" i="11"/>
  <c r="Q2181" i="16"/>
  <c r="S2181" i="16" s="1"/>
  <c r="Q2185" i="16"/>
  <c r="S2185" i="16" s="1"/>
  <c r="Q2177" i="16"/>
  <c r="S2177" i="16" s="1"/>
  <c r="Q2183" i="16"/>
  <c r="S2183" i="16" s="1"/>
  <c r="Q2178" i="16"/>
  <c r="S2178" i="16" s="1"/>
  <c r="Q2182" i="16"/>
  <c r="S2182" i="16" s="1"/>
  <c r="Q2179" i="16"/>
  <c r="S2179" i="16" s="1"/>
  <c r="Q2180" i="16"/>
  <c r="S2180" i="16" s="1"/>
  <c r="AB7" i="1"/>
  <c r="V394" i="3" s="1"/>
  <c r="AE11" i="1"/>
  <c r="Y358" i="3" s="1"/>
  <c r="W64" i="8"/>
  <c r="Q2175" i="16"/>
  <c r="S2175" i="16" s="1"/>
  <c r="Q2176" i="16"/>
  <c r="S2176" i="16" s="1"/>
  <c r="Q2163" i="16"/>
  <c r="S2163" i="16" s="1"/>
  <c r="Q2174" i="16"/>
  <c r="S2174" i="16" s="1"/>
  <c r="Q2157" i="16"/>
  <c r="S2157" i="16" s="1"/>
  <c r="Q2173" i="16"/>
  <c r="S2173" i="16" s="1"/>
  <c r="Q2171" i="16"/>
  <c r="S2171" i="16" s="1"/>
  <c r="Q2172" i="16"/>
  <c r="S2172" i="16" s="1"/>
  <c r="Q2158" i="16"/>
  <c r="S2158" i="16" s="1"/>
  <c r="Q2170" i="16"/>
  <c r="S2170" i="16" s="1"/>
  <c r="Q2152" i="16"/>
  <c r="S2152" i="16" s="1"/>
  <c r="Q2169" i="16"/>
  <c r="S2169" i="16" s="1"/>
  <c r="Q2147" i="16"/>
  <c r="S2147" i="16" s="1"/>
  <c r="Q2168" i="16"/>
  <c r="S2168" i="16" s="1"/>
  <c r="Q2159" i="16"/>
  <c r="S2159" i="16" s="1"/>
  <c r="Q2167" i="16"/>
  <c r="S2167" i="16" s="1"/>
  <c r="Q2145" i="16"/>
  <c r="S2145" i="16" s="1"/>
  <c r="Q2166" i="16"/>
  <c r="S2166" i="16" s="1"/>
  <c r="Q2164" i="16"/>
  <c r="S2164" i="16" s="1"/>
  <c r="Q2165" i="16"/>
  <c r="S2165" i="16" s="1"/>
  <c r="Q2161" i="16"/>
  <c r="S2161" i="16" s="1"/>
  <c r="Q2162" i="16"/>
  <c r="S2162" i="16" s="1"/>
  <c r="Q2154" i="16"/>
  <c r="S2154" i="16" s="1"/>
  <c r="Q2160" i="16"/>
  <c r="S2160" i="16" s="1"/>
  <c r="Q2144" i="16"/>
  <c r="S2144" i="16" s="1"/>
  <c r="Q2156" i="16"/>
  <c r="S2156" i="16" s="1"/>
  <c r="Q2130" i="16"/>
  <c r="S2130" i="16" s="1"/>
  <c r="Q2155" i="16"/>
  <c r="S2155" i="16" s="1"/>
  <c r="U3" i="8"/>
  <c r="D2" i="8"/>
  <c r="U41" i="8"/>
  <c r="D40" i="8"/>
  <c r="G21" i="9"/>
  <c r="U54" i="8"/>
  <c r="H55" i="8"/>
  <c r="D18" i="8"/>
  <c r="U47" i="8"/>
  <c r="U60" i="8"/>
  <c r="U59" i="8"/>
  <c r="H59" i="8"/>
  <c r="H15" i="8"/>
  <c r="U5" i="8"/>
  <c r="H3" i="8"/>
  <c r="K5" i="8" s="1"/>
  <c r="U21" i="8"/>
  <c r="H19" i="8"/>
  <c r="K21" i="8" s="1"/>
  <c r="AD11" i="1"/>
  <c r="X406" i="3" s="1"/>
  <c r="W406" i="3"/>
  <c r="W390" i="3"/>
  <c r="AE7" i="1"/>
  <c r="Y378" i="3" s="1"/>
  <c r="Q2129" i="16"/>
  <c r="S2129" i="16" s="1"/>
  <c r="Q2153" i="16"/>
  <c r="S2153" i="16" s="1"/>
  <c r="Q2146" i="16"/>
  <c r="S2146" i="16" s="1"/>
  <c r="Q2151" i="16"/>
  <c r="S2151" i="16" s="1"/>
  <c r="Q2135" i="16"/>
  <c r="S2135" i="16" s="1"/>
  <c r="Q2150" i="16"/>
  <c r="S2150" i="16" s="1"/>
  <c r="Q2124" i="16"/>
  <c r="S2124" i="16" s="1"/>
  <c r="Q2149" i="16"/>
  <c r="S2149" i="16" s="1"/>
  <c r="Q2138" i="16"/>
  <c r="S2138" i="16" s="1"/>
  <c r="Q2148" i="16"/>
  <c r="S2148" i="16" s="1"/>
  <c r="Q2140" i="16"/>
  <c r="S2140" i="16" s="1"/>
  <c r="Q2143" i="16"/>
  <c r="S2143" i="16" s="1"/>
  <c r="Q2125" i="16"/>
  <c r="S2125" i="16" s="1"/>
  <c r="Q2142" i="16"/>
  <c r="S2142" i="16" s="1"/>
  <c r="Q2136" i="16"/>
  <c r="S2136" i="16" s="1"/>
  <c r="Q2141" i="16"/>
  <c r="S2141" i="16" s="1"/>
  <c r="Q2127" i="16"/>
  <c r="S2127" i="16" s="1"/>
  <c r="Q2139" i="16"/>
  <c r="S2139" i="16" s="1"/>
  <c r="U9" i="8"/>
  <c r="U42" i="8"/>
  <c r="U26" i="8"/>
  <c r="U62" i="8"/>
  <c r="D62" i="8"/>
  <c r="Q2134" i="16"/>
  <c r="S2134" i="16" s="1"/>
  <c r="Q2137" i="16"/>
  <c r="S2137" i="16" s="1"/>
  <c r="Q2123" i="16"/>
  <c r="S2123" i="16" s="1"/>
  <c r="Q2133" i="16"/>
  <c r="S2133" i="16" s="1"/>
  <c r="AA15" i="1"/>
  <c r="U393" i="3" s="1"/>
  <c r="AE8" i="1"/>
  <c r="Y376" i="3" s="1"/>
  <c r="Q2128" i="16"/>
  <c r="S2128" i="16" s="1"/>
  <c r="Q2132" i="16"/>
  <c r="S2132" i="16" s="1"/>
  <c r="Q2126" i="16"/>
  <c r="S2126" i="16" s="1"/>
  <c r="Q2131" i="16"/>
  <c r="S2131" i="16" s="1"/>
  <c r="AE4" i="1"/>
  <c r="Y356" i="3" s="1"/>
  <c r="Q2120" i="16"/>
  <c r="S2120" i="16" s="1"/>
  <c r="Q2122" i="16"/>
  <c r="S2122" i="16" s="1"/>
  <c r="Q2119" i="16"/>
  <c r="S2119" i="16" s="1"/>
  <c r="Q2121" i="16"/>
  <c r="S2121" i="16" s="1"/>
  <c r="X397" i="3"/>
  <c r="Q12" i="16"/>
  <c r="S12" i="16" s="1"/>
  <c r="Q68" i="16"/>
  <c r="S68" i="16" s="1"/>
  <c r="Q219" i="16"/>
  <c r="S219" i="16" s="1"/>
  <c r="Q263" i="16"/>
  <c r="S263" i="16" s="1"/>
  <c r="Q25" i="16"/>
  <c r="S25" i="16" s="1"/>
  <c r="Q65" i="16"/>
  <c r="S65" i="16" s="1"/>
  <c r="Q89" i="16"/>
  <c r="S89" i="16" s="1"/>
  <c r="Q93" i="16"/>
  <c r="S93" i="16" s="1"/>
  <c r="Q133" i="16"/>
  <c r="S133" i="16" s="1"/>
  <c r="Q2" i="16"/>
  <c r="S2" i="16" s="1"/>
  <c r="Q6" i="16"/>
  <c r="S6" i="16" s="1"/>
  <c r="Q130" i="16"/>
  <c r="S130" i="16" s="1"/>
  <c r="Q197" i="16"/>
  <c r="S197" i="16" s="1"/>
  <c r="Q209" i="16"/>
  <c r="S209" i="16" s="1"/>
  <c r="Q261" i="16"/>
  <c r="S261" i="16" s="1"/>
  <c r="Q317" i="16"/>
  <c r="S317" i="16" s="1"/>
  <c r="Q139" i="16"/>
  <c r="S139" i="16" s="1"/>
  <c r="Q151" i="16"/>
  <c r="S151" i="16" s="1"/>
  <c r="Q194" i="16"/>
  <c r="S194" i="16" s="1"/>
  <c r="Q258" i="16"/>
  <c r="S258" i="16" s="1"/>
  <c r="Q270" i="16"/>
  <c r="S270" i="16" s="1"/>
  <c r="Q326" i="16"/>
  <c r="S326" i="16" s="1"/>
  <c r="Q398" i="16"/>
  <c r="S398" i="16" s="1"/>
  <c r="Q402" i="16"/>
  <c r="S402" i="16" s="1"/>
  <c r="Q406" i="16"/>
  <c r="S406" i="16" s="1"/>
  <c r="Q450" i="16"/>
  <c r="S450" i="16" s="1"/>
  <c r="Q470" i="16"/>
  <c r="S470" i="16" s="1"/>
  <c r="Q659" i="16"/>
  <c r="S659" i="16" s="1"/>
  <c r="Q443" i="16"/>
  <c r="S443" i="16" s="1"/>
  <c r="Q589" i="16"/>
  <c r="S589" i="16" s="1"/>
  <c r="Q320" i="16"/>
  <c r="S320" i="16" s="1"/>
  <c r="Q464" i="16"/>
  <c r="S464" i="16" s="1"/>
  <c r="Q507" i="16"/>
  <c r="S507" i="16" s="1"/>
  <c r="Q531" i="16"/>
  <c r="S531" i="16" s="1"/>
  <c r="Q535" i="16"/>
  <c r="S535" i="16" s="1"/>
  <c r="Q578" i="16"/>
  <c r="S578" i="16" s="1"/>
  <c r="Q586" i="16"/>
  <c r="S586" i="16" s="1"/>
  <c r="Q637" i="16"/>
  <c r="S637" i="16" s="1"/>
  <c r="Q323" i="16"/>
  <c r="S323" i="16" s="1"/>
  <c r="Q397" i="16"/>
  <c r="S397" i="16" s="1"/>
  <c r="Q528" i="16"/>
  <c r="S528" i="16" s="1"/>
  <c r="Q575" i="16"/>
  <c r="S575" i="16" s="1"/>
  <c r="Q634" i="16"/>
  <c r="S634" i="16" s="1"/>
  <c r="Q703" i="16"/>
  <c r="S703" i="16" s="1"/>
  <c r="Q766" i="16"/>
  <c r="S766" i="16" s="1"/>
  <c r="Q778" i="16"/>
  <c r="S778" i="16" s="1"/>
  <c r="Q886" i="16"/>
  <c r="S886" i="16" s="1"/>
  <c r="Q902" i="16"/>
  <c r="S902" i="16" s="1"/>
  <c r="Q700" i="16"/>
  <c r="S700" i="16" s="1"/>
  <c r="Q759" i="16"/>
  <c r="S759" i="16" s="1"/>
  <c r="Q823" i="16"/>
  <c r="S823" i="16" s="1"/>
  <c r="Q891" i="16"/>
  <c r="S891" i="16" s="1"/>
  <c r="Q907" i="16"/>
  <c r="S907" i="16" s="1"/>
  <c r="Q970" i="16"/>
  <c r="S970" i="16" s="1"/>
  <c r="Q705" i="16"/>
  <c r="S705" i="16" s="1"/>
  <c r="Q840" i="16"/>
  <c r="S840" i="16" s="1"/>
  <c r="Q844" i="16"/>
  <c r="S844" i="16" s="1"/>
  <c r="Q947" i="16"/>
  <c r="S947" i="16" s="1"/>
  <c r="Q955" i="16"/>
  <c r="S955" i="16" s="1"/>
  <c r="Q640" i="16"/>
  <c r="S640" i="16" s="1"/>
  <c r="Q698" i="16"/>
  <c r="S698" i="16" s="1"/>
  <c r="Q769" i="16"/>
  <c r="S769" i="16" s="1"/>
  <c r="Q829" i="16"/>
  <c r="S829" i="16" s="1"/>
  <c r="Q964" i="16"/>
  <c r="S964" i="16" s="1"/>
  <c r="Q1036" i="16"/>
  <c r="S1036" i="16" s="1"/>
  <c r="Q1103" i="16"/>
  <c r="S1103" i="16" s="1"/>
  <c r="Q1138" i="16"/>
  <c r="S1138" i="16" s="1"/>
  <c r="Q1202" i="16"/>
  <c r="S1202" i="16" s="1"/>
  <c r="Q1266" i="16"/>
  <c r="S1266" i="16" s="1"/>
  <c r="Q1341" i="16"/>
  <c r="S1341" i="16" s="1"/>
  <c r="Q1010" i="16"/>
  <c r="S1010" i="16" s="1"/>
  <c r="Q1015" i="16"/>
  <c r="S1015" i="16" s="1"/>
  <c r="Q1021" i="16"/>
  <c r="S1021" i="16" s="1"/>
  <c r="Q1080" i="16"/>
  <c r="S1080" i="16" s="1"/>
  <c r="Q1084" i="16"/>
  <c r="S1084" i="16" s="1"/>
  <c r="Q1163" i="16"/>
  <c r="S1163" i="16" s="1"/>
  <c r="Q1330" i="16"/>
  <c r="S1330" i="16" s="1"/>
  <c r="Q1030" i="16"/>
  <c r="S1030" i="16" s="1"/>
  <c r="Q1093" i="16"/>
  <c r="S1093" i="16" s="1"/>
  <c r="Q1148" i="16"/>
  <c r="S1148" i="16" s="1"/>
  <c r="Q1160" i="16"/>
  <c r="S1160" i="16" s="1"/>
  <c r="Q1204" i="16"/>
  <c r="S1204" i="16" s="1"/>
  <c r="Q1208" i="16"/>
  <c r="S1208" i="16" s="1"/>
  <c r="Q1212" i="16"/>
  <c r="S1212" i="16" s="1"/>
  <c r="Q1224" i="16"/>
  <c r="S1224" i="16" s="1"/>
  <c r="Q1276" i="16"/>
  <c r="S1276" i="16" s="1"/>
  <c r="Q1292" i="16"/>
  <c r="S1292" i="16" s="1"/>
  <c r="Q1074" i="16"/>
  <c r="S1074" i="16" s="1"/>
  <c r="Q1141" i="16"/>
  <c r="S1141" i="16" s="1"/>
  <c r="Q1269" i="16"/>
  <c r="S1269" i="16" s="1"/>
  <c r="Q1285" i="16"/>
  <c r="S1285" i="16" s="1"/>
  <c r="Q1360" i="16"/>
  <c r="S1360" i="16" s="1"/>
  <c r="Q1403" i="16"/>
  <c r="S1403" i="16" s="1"/>
  <c r="Q1458" i="16"/>
  <c r="S1458" i="16" s="1"/>
  <c r="Q1462" i="16"/>
  <c r="S1462" i="16" s="1"/>
  <c r="Q1486" i="16"/>
  <c r="S1486" i="16" s="1"/>
  <c r="Q1592" i="16"/>
  <c r="S1592" i="16" s="1"/>
  <c r="Q1651" i="16"/>
  <c r="S1651" i="16" s="1"/>
  <c r="Q1659" i="16"/>
  <c r="S1659" i="16" s="1"/>
  <c r="Q1679" i="16"/>
  <c r="S1679" i="16" s="1"/>
  <c r="Q1723" i="16"/>
  <c r="S1723" i="16" s="1"/>
  <c r="Q1786" i="16"/>
  <c r="S1786" i="16" s="1"/>
  <c r="Q1794" i="16"/>
  <c r="S1794" i="16" s="1"/>
  <c r="Q1814" i="16"/>
  <c r="S1814" i="16" s="1"/>
  <c r="Q1865" i="16"/>
  <c r="S1865" i="16" s="1"/>
  <c r="Q1921" i="16"/>
  <c r="S1921" i="16" s="1"/>
  <c r="Q1988" i="16"/>
  <c r="S1988" i="16" s="1"/>
  <c r="Q1996" i="16"/>
  <c r="S1996" i="16" s="1"/>
  <c r="Q1396" i="16"/>
  <c r="S1396" i="16" s="1"/>
  <c r="Q1522" i="16"/>
  <c r="S1522" i="16" s="1"/>
  <c r="Q1530" i="16"/>
  <c r="S1530" i="16" s="1"/>
  <c r="Q1534" i="16"/>
  <c r="S1534" i="16" s="1"/>
  <c r="Q1652" i="16"/>
  <c r="S1652" i="16" s="1"/>
  <c r="Q1720" i="16"/>
  <c r="S1720" i="16" s="1"/>
  <c r="Q1854" i="16"/>
  <c r="S1854" i="16" s="1"/>
  <c r="Q1918" i="16"/>
  <c r="S1918" i="16" s="1"/>
  <c r="Q1926" i="16"/>
  <c r="S1926" i="16" s="1"/>
  <c r="Q1985" i="16"/>
  <c r="S1985" i="16" s="1"/>
  <c r="Q1351" i="16"/>
  <c r="S1351" i="16" s="1"/>
  <c r="Q1480" i="16"/>
  <c r="S1480" i="16" s="1"/>
  <c r="Q1547" i="16"/>
  <c r="S1547" i="16" s="1"/>
  <c r="Q1586" i="16"/>
  <c r="S1586" i="16" s="1"/>
  <c r="Q1594" i="16"/>
  <c r="S1594" i="16" s="1"/>
  <c r="Q1717" i="16"/>
  <c r="S1717" i="16" s="1"/>
  <c r="Q1729" i="16"/>
  <c r="S1729" i="16" s="1"/>
  <c r="Q1875" i="16"/>
  <c r="S1875" i="16" s="1"/>
  <c r="Q1879" i="16"/>
  <c r="S1879" i="16" s="1"/>
  <c r="Q1883" i="16"/>
  <c r="S1883" i="16" s="1"/>
  <c r="Q1354" i="16"/>
  <c r="S1354" i="16" s="1"/>
  <c r="Q1394" i="16"/>
  <c r="S1394" i="16" s="1"/>
  <c r="Q1414" i="16"/>
  <c r="S1414" i="16" s="1"/>
  <c r="Q1422" i="16"/>
  <c r="S1422" i="16" s="1"/>
  <c r="Q1469" i="16"/>
  <c r="S1469" i="16" s="1"/>
  <c r="Q1544" i="16"/>
  <c r="S1544" i="16" s="1"/>
  <c r="Q1611" i="16"/>
  <c r="S1611" i="16" s="1"/>
  <c r="Q1615" i="16"/>
  <c r="S1615" i="16" s="1"/>
  <c r="Q1674" i="16"/>
  <c r="S1674" i="16" s="1"/>
  <c r="Q1682" i="16"/>
  <c r="S1682" i="16" s="1"/>
  <c r="Q1746" i="16"/>
  <c r="S1746" i="16" s="1"/>
  <c r="Q1750" i="16"/>
  <c r="S1750" i="16" s="1"/>
  <c r="Q1785" i="16"/>
  <c r="S1785" i="16" s="1"/>
  <c r="Q1801" i="16"/>
  <c r="S1801" i="16" s="1"/>
  <c r="Q1809" i="16"/>
  <c r="S1809" i="16" s="1"/>
  <c r="Q1852" i="16"/>
  <c r="S1852" i="16" s="1"/>
  <c r="Q1928" i="16"/>
  <c r="S1928" i="16" s="1"/>
  <c r="Q1948" i="16"/>
  <c r="S1948" i="16" s="1"/>
  <c r="Q1952" i="16"/>
  <c r="S1952" i="16" s="1"/>
  <c r="Q1999" i="16"/>
  <c r="S1999" i="16" s="1"/>
  <c r="Q2054" i="16"/>
  <c r="S2054" i="16" s="1"/>
  <c r="Q2065" i="16"/>
  <c r="S2065" i="16" s="1"/>
  <c r="Q2080" i="16"/>
  <c r="S2080" i="16" s="1"/>
  <c r="Q1993" i="16"/>
  <c r="S1993" i="16" s="1"/>
  <c r="Q2017" i="16"/>
  <c r="S2017" i="16" s="1"/>
  <c r="Q2053" i="16"/>
  <c r="S2053" i="16" s="1"/>
  <c r="Q2061" i="16"/>
  <c r="S2061" i="16" s="1"/>
  <c r="Q2081" i="16"/>
  <c r="S2081" i="16" s="1"/>
  <c r="Q128" i="16"/>
  <c r="S128" i="16" s="1"/>
  <c r="Q207" i="16"/>
  <c r="S207" i="16" s="1"/>
  <c r="Q81" i="16"/>
  <c r="S81" i="16" s="1"/>
  <c r="Q114" i="16"/>
  <c r="S114" i="16" s="1"/>
  <c r="Q51" i="16"/>
  <c r="S51" i="16" s="1"/>
  <c r="Q60" i="16"/>
  <c r="S60" i="16" s="1"/>
  <c r="Q82" i="16"/>
  <c r="S82" i="16" s="1"/>
  <c r="Q174" i="16"/>
  <c r="S174" i="16" s="1"/>
  <c r="Q229" i="16"/>
  <c r="S229" i="16" s="1"/>
  <c r="Q237" i="16"/>
  <c r="S237" i="16" s="1"/>
  <c r="Q245" i="16"/>
  <c r="S245" i="16" s="1"/>
  <c r="Q333" i="16"/>
  <c r="S333" i="16" s="1"/>
  <c r="Q39" i="16"/>
  <c r="S39" i="16" s="1"/>
  <c r="Q47" i="16"/>
  <c r="S47" i="16" s="1"/>
  <c r="Q103" i="16"/>
  <c r="S103" i="16" s="1"/>
  <c r="Q175" i="16"/>
  <c r="S175" i="16" s="1"/>
  <c r="Q183" i="16"/>
  <c r="S183" i="16" s="1"/>
  <c r="Q254" i="16"/>
  <c r="S254" i="16" s="1"/>
  <c r="Q316" i="16"/>
  <c r="S316" i="16" s="1"/>
  <c r="Q364" i="16"/>
  <c r="S364" i="16" s="1"/>
  <c r="Q434" i="16"/>
  <c r="S434" i="16" s="1"/>
  <c r="Q442" i="16"/>
  <c r="S442" i="16" s="1"/>
  <c r="Q482" i="16"/>
  <c r="S482" i="16" s="1"/>
  <c r="Q545" i="16"/>
  <c r="S545" i="16" s="1"/>
  <c r="Q561" i="16"/>
  <c r="S561" i="16" s="1"/>
  <c r="Q309" i="16"/>
  <c r="S309" i="16" s="1"/>
  <c r="Q379" i="16"/>
  <c r="S379" i="16" s="1"/>
  <c r="Q436" i="16"/>
  <c r="S436" i="16" s="1"/>
  <c r="Q459" i="16"/>
  <c r="S459" i="16" s="1"/>
  <c r="Q492" i="16"/>
  <c r="S492" i="16" s="1"/>
  <c r="Q562" i="16"/>
  <c r="S562" i="16" s="1"/>
  <c r="Q358" i="16"/>
  <c r="S358" i="16" s="1"/>
  <c r="Q615" i="16"/>
  <c r="S615" i="16" s="1"/>
  <c r="Q381" i="16"/>
  <c r="S381" i="16" s="1"/>
  <c r="Q494" i="16"/>
  <c r="S494" i="16" s="1"/>
  <c r="Q552" i="16"/>
  <c r="S552" i="16" s="1"/>
  <c r="Q620" i="16"/>
  <c r="S620" i="16" s="1"/>
  <c r="Q630" i="16"/>
  <c r="S630" i="16" s="1"/>
  <c r="Q628" i="16"/>
  <c r="S628" i="16" s="1"/>
  <c r="Q744" i="16"/>
  <c r="S744" i="16" s="1"/>
  <c r="Q748" i="16"/>
  <c r="S748" i="16" s="1"/>
  <c r="Q881" i="16"/>
  <c r="S881" i="16" s="1"/>
  <c r="Q943" i="16"/>
  <c r="S943" i="16" s="1"/>
  <c r="Q986" i="16"/>
  <c r="S986" i="16" s="1"/>
  <c r="Q775" i="16"/>
  <c r="S775" i="16" s="1"/>
  <c r="Q883" i="16"/>
  <c r="S883" i="16" s="1"/>
  <c r="Q931" i="16"/>
  <c r="S931" i="16" s="1"/>
  <c r="Q648" i="16"/>
  <c r="S648" i="16" s="1"/>
  <c r="Q678" i="16"/>
  <c r="S678" i="16" s="1"/>
  <c r="Q742" i="16"/>
  <c r="S742" i="16" s="1"/>
  <c r="Q796" i="16"/>
  <c r="S796" i="16" s="1"/>
  <c r="Q804" i="16"/>
  <c r="S804" i="16" s="1"/>
  <c r="Q884" i="16"/>
  <c r="S884" i="16" s="1"/>
  <c r="Q941" i="16"/>
  <c r="S941" i="16" s="1"/>
  <c r="Q649" i="16"/>
  <c r="S649" i="16" s="1"/>
  <c r="Q683" i="16"/>
  <c r="S683" i="16" s="1"/>
  <c r="Q747" i="16"/>
  <c r="S747" i="16" s="1"/>
  <c r="Q805" i="16"/>
  <c r="S805" i="16" s="1"/>
  <c r="Q821" i="16"/>
  <c r="S821" i="16" s="1"/>
  <c r="Q866" i="16"/>
  <c r="S866" i="16" s="1"/>
  <c r="Q985" i="16"/>
  <c r="S985" i="16" s="1"/>
  <c r="Q1115" i="16"/>
  <c r="S1115" i="16" s="1"/>
  <c r="Q1186" i="16"/>
  <c r="S1186" i="16" s="1"/>
  <c r="Q1252" i="16"/>
  <c r="S1252" i="16" s="1"/>
  <c r="Q1306" i="16"/>
  <c r="S1306" i="16" s="1"/>
  <c r="Q1005" i="16"/>
  <c r="S1005" i="16" s="1"/>
  <c r="Q1065" i="16"/>
  <c r="S1065" i="16" s="1"/>
  <c r="Q1071" i="16"/>
  <c r="S1071" i="16" s="1"/>
  <c r="Q1126" i="16"/>
  <c r="S1126" i="16" s="1"/>
  <c r="Q1249" i="16"/>
  <c r="S1249" i="16" s="1"/>
  <c r="Q1283" i="16"/>
  <c r="S1283" i="16" s="1"/>
  <c r="Q993" i="16"/>
  <c r="S993" i="16" s="1"/>
  <c r="Q1050" i="16"/>
  <c r="S1050" i="16" s="1"/>
  <c r="Q1122" i="16"/>
  <c r="S1122" i="16" s="1"/>
  <c r="Q1199" i="16"/>
  <c r="S1199" i="16" s="1"/>
  <c r="Q1051" i="16"/>
  <c r="S1051" i="16" s="1"/>
  <c r="Q1123" i="16"/>
  <c r="S1123" i="16" s="1"/>
  <c r="Q1189" i="16"/>
  <c r="S1189" i="16" s="1"/>
  <c r="Q1255" i="16"/>
  <c r="S1255" i="16" s="1"/>
  <c r="Q1265" i="16"/>
  <c r="S1265" i="16" s="1"/>
  <c r="Q1305" i="16"/>
  <c r="S1305" i="16" s="1"/>
  <c r="Q1323" i="16"/>
  <c r="S1323" i="16" s="1"/>
  <c r="Q1347" i="16"/>
  <c r="S1347" i="16" s="1"/>
  <c r="Q1371" i="16"/>
  <c r="S1371" i="16" s="1"/>
  <c r="Q1427" i="16"/>
  <c r="S1427" i="16" s="1"/>
  <c r="Q1514" i="16"/>
  <c r="S1514" i="16" s="1"/>
  <c r="Q1583" i="16"/>
  <c r="S1583" i="16" s="1"/>
  <c r="Q1696" i="16"/>
  <c r="S1696" i="16" s="1"/>
  <c r="Q1845" i="16"/>
  <c r="S1845" i="16" s="1"/>
  <c r="Q1974" i="16"/>
  <c r="S1974" i="16" s="1"/>
  <c r="Q1978" i="16"/>
  <c r="S1978" i="16" s="1"/>
  <c r="Q2040" i="16"/>
  <c r="S2040" i="16" s="1"/>
  <c r="Q1444" i="16"/>
  <c r="S1444" i="16" s="1"/>
  <c r="Q1453" i="16"/>
  <c r="S1453" i="16" s="1"/>
  <c r="Q1511" i="16"/>
  <c r="S1511" i="16" s="1"/>
  <c r="Q1515" i="16"/>
  <c r="S1515" i="16" s="1"/>
  <c r="Q1578" i="16"/>
  <c r="S1578" i="16" s="1"/>
  <c r="Q1842" i="16"/>
  <c r="S1842" i="16" s="1"/>
  <c r="Q1907" i="16"/>
  <c r="S1907" i="16" s="1"/>
  <c r="Q1922" i="16"/>
  <c r="S1922" i="16" s="1"/>
  <c r="Q1382" i="16"/>
  <c r="S1382" i="16" s="1"/>
  <c r="Q1516" i="16"/>
  <c r="S1516" i="16" s="1"/>
  <c r="Q1580" i="16"/>
  <c r="S1580" i="16" s="1"/>
  <c r="Q1694" i="16"/>
  <c r="S1694" i="16" s="1"/>
  <c r="Q1761" i="16"/>
  <c r="S1761" i="16" s="1"/>
  <c r="Q1769" i="16"/>
  <c r="S1769" i="16" s="1"/>
  <c r="Q1779" i="16"/>
  <c r="S1779" i="16" s="1"/>
  <c r="Q1788" i="16"/>
  <c r="S1788" i="16" s="1"/>
  <c r="Q1847" i="16"/>
  <c r="S1847" i="16" s="1"/>
  <c r="Q1871" i="16"/>
  <c r="S1871" i="16" s="1"/>
  <c r="Q1887" i="16"/>
  <c r="S1887" i="16" s="1"/>
  <c r="Q1923" i="16"/>
  <c r="S1923" i="16" s="1"/>
  <c r="Q1446" i="16"/>
  <c r="S1446" i="16" s="1"/>
  <c r="Q1576" i="16"/>
  <c r="S1576" i="16" s="1"/>
  <c r="Q1587" i="16"/>
  <c r="S1587" i="16" s="1"/>
  <c r="Q1619" i="16"/>
  <c r="S1619" i="16" s="1"/>
  <c r="Q1628" i="16"/>
  <c r="S1628" i="16" s="1"/>
  <c r="Q1646" i="16"/>
  <c r="S1646" i="16" s="1"/>
  <c r="Q1703" i="16"/>
  <c r="S1703" i="16" s="1"/>
  <c r="Q1762" i="16"/>
  <c r="S1762" i="16" s="1"/>
  <c r="Q1897" i="16"/>
  <c r="S1897" i="16" s="1"/>
  <c r="Q2108" i="16"/>
  <c r="S2108" i="16" s="1"/>
  <c r="Q2021" i="16"/>
  <c r="S2021" i="16" s="1"/>
  <c r="Q2006" i="16"/>
  <c r="S2006" i="16" s="1"/>
  <c r="Q2038" i="16"/>
  <c r="S2038" i="16" s="1"/>
  <c r="Q2088" i="16"/>
  <c r="S2088" i="16" s="1"/>
  <c r="Q2110" i="16"/>
  <c r="S2110" i="16" s="1"/>
  <c r="Q2117" i="16"/>
  <c r="S2117" i="16" s="1"/>
  <c r="Q72" i="16"/>
  <c r="S72" i="16" s="1"/>
  <c r="Q164" i="16"/>
  <c r="S164" i="16" s="1"/>
  <c r="Q279" i="16"/>
  <c r="S279" i="16" s="1"/>
  <c r="Q287" i="16"/>
  <c r="S287" i="16" s="1"/>
  <c r="Q29" i="16"/>
  <c r="S29" i="16" s="1"/>
  <c r="Q105" i="16"/>
  <c r="S105" i="16" s="1"/>
  <c r="Q118" i="16"/>
  <c r="S118" i="16" s="1"/>
  <c r="Q149" i="16"/>
  <c r="S149" i="16" s="1"/>
  <c r="Q192" i="16"/>
  <c r="S192" i="16" s="1"/>
  <c r="Q216" i="16"/>
  <c r="S216" i="16" s="1"/>
  <c r="Q232" i="16"/>
  <c r="S232" i="16" s="1"/>
  <c r="Q276" i="16"/>
  <c r="S276" i="16" s="1"/>
  <c r="Q10" i="16"/>
  <c r="S10" i="16" s="1"/>
  <c r="Q74" i="16"/>
  <c r="S74" i="16" s="1"/>
  <c r="Q146" i="16"/>
  <c r="S146" i="16" s="1"/>
  <c r="Q154" i="16"/>
  <c r="S154" i="16" s="1"/>
  <c r="Q19" i="16"/>
  <c r="S19" i="16" s="1"/>
  <c r="Q23" i="16"/>
  <c r="S23" i="16" s="1"/>
  <c r="Q202" i="16"/>
  <c r="S202" i="16" s="1"/>
  <c r="Q274" i="16"/>
  <c r="S274" i="16" s="1"/>
  <c r="Q339" i="16"/>
  <c r="S339" i="16" s="1"/>
  <c r="Q382" i="16"/>
  <c r="S382" i="16" s="1"/>
  <c r="Q454" i="16"/>
  <c r="S454" i="16" s="1"/>
  <c r="Q462" i="16"/>
  <c r="S462" i="16" s="1"/>
  <c r="Q525" i="16"/>
  <c r="S525" i="16" s="1"/>
  <c r="Q592" i="16"/>
  <c r="S592" i="16" s="1"/>
  <c r="Q596" i="16"/>
  <c r="S596" i="16" s="1"/>
  <c r="Q643" i="16"/>
  <c r="S643" i="16" s="1"/>
  <c r="Q335" i="16"/>
  <c r="S335" i="16" s="1"/>
  <c r="Q361" i="16"/>
  <c r="S361" i="16" s="1"/>
  <c r="Q387" i="16"/>
  <c r="S387" i="16" s="1"/>
  <c r="Q391" i="16"/>
  <c r="S391" i="16" s="1"/>
  <c r="Q415" i="16"/>
  <c r="S415" i="16" s="1"/>
  <c r="Q447" i="16"/>
  <c r="S447" i="16" s="1"/>
  <c r="Q488" i="16"/>
  <c r="S488" i="16" s="1"/>
  <c r="Q518" i="16"/>
  <c r="S518" i="16" s="1"/>
  <c r="Q573" i="16"/>
  <c r="S573" i="16" s="1"/>
  <c r="Q345" i="16"/>
  <c r="S345" i="16" s="1"/>
  <c r="Q512" i="16"/>
  <c r="S512" i="16" s="1"/>
  <c r="Q516" i="16"/>
  <c r="S516" i="16" s="1"/>
  <c r="Q571" i="16"/>
  <c r="S571" i="16" s="1"/>
  <c r="Q676" i="16"/>
  <c r="S676" i="16" s="1"/>
  <c r="Q719" i="16"/>
  <c r="S719" i="16" s="1"/>
  <c r="Q842" i="16"/>
  <c r="S842" i="16" s="1"/>
  <c r="Q846" i="16"/>
  <c r="S846" i="16" s="1"/>
  <c r="Q922" i="16"/>
  <c r="S922" i="16" s="1"/>
  <c r="Q949" i="16"/>
  <c r="S949" i="16" s="1"/>
  <c r="Q957" i="16"/>
  <c r="S957" i="16" s="1"/>
  <c r="Q653" i="16"/>
  <c r="S653" i="16" s="1"/>
  <c r="Q712" i="16"/>
  <c r="S712" i="16" s="1"/>
  <c r="Q716" i="16"/>
  <c r="S716" i="16" s="1"/>
  <c r="Q763" i="16"/>
  <c r="S763" i="16" s="1"/>
  <c r="Q831" i="16"/>
  <c r="S831" i="16" s="1"/>
  <c r="Q966" i="16"/>
  <c r="S966" i="16" s="1"/>
  <c r="Q673" i="16"/>
  <c r="S673" i="16" s="1"/>
  <c r="Q776" i="16"/>
  <c r="S776" i="16" s="1"/>
  <c r="Q784" i="16"/>
  <c r="S784" i="16" s="1"/>
  <c r="Q812" i="16"/>
  <c r="S812" i="16" s="1"/>
  <c r="Q888" i="16"/>
  <c r="S888" i="16" s="1"/>
  <c r="Q904" i="16"/>
  <c r="S904" i="16" s="1"/>
  <c r="Q722" i="16"/>
  <c r="S722" i="16" s="1"/>
  <c r="Q857" i="16"/>
  <c r="S857" i="16" s="1"/>
  <c r="Q909" i="16"/>
  <c r="S909" i="16" s="1"/>
  <c r="Q972" i="16"/>
  <c r="S972" i="16" s="1"/>
  <c r="Q1032" i="16"/>
  <c r="S1032" i="16" s="1"/>
  <c r="Q1095" i="16"/>
  <c r="S1095" i="16" s="1"/>
  <c r="Q1150" i="16"/>
  <c r="S1150" i="16" s="1"/>
  <c r="Q1270" i="16"/>
  <c r="S1270" i="16" s="1"/>
  <c r="Q1278" i="16"/>
  <c r="S1278" i="16" s="1"/>
  <c r="Q1345" i="16"/>
  <c r="S1345" i="16" s="1"/>
  <c r="Q1088" i="16"/>
  <c r="S1088" i="16" s="1"/>
  <c r="Q1143" i="16"/>
  <c r="S1143" i="16" s="1"/>
  <c r="Q1017" i="16"/>
  <c r="S1017" i="16" s="1"/>
  <c r="Q1022" i="16"/>
  <c r="S1022" i="16" s="1"/>
  <c r="Q1038" i="16"/>
  <c r="S1038" i="16" s="1"/>
  <c r="Q1101" i="16"/>
  <c r="S1101" i="16" s="1"/>
  <c r="Q1232" i="16"/>
  <c r="S1232" i="16" s="1"/>
  <c r="Q1339" i="16"/>
  <c r="S1339" i="16" s="1"/>
  <c r="Q1098" i="16"/>
  <c r="S1098" i="16" s="1"/>
  <c r="Q1157" i="16"/>
  <c r="S1157" i="16" s="1"/>
  <c r="Q1165" i="16"/>
  <c r="S1165" i="16" s="1"/>
  <c r="Q1209" i="16"/>
  <c r="S1209" i="16" s="1"/>
  <c r="Q1221" i="16"/>
  <c r="S1221" i="16" s="1"/>
  <c r="Q1225" i="16"/>
  <c r="S1225" i="16" s="1"/>
  <c r="Q1273" i="16"/>
  <c r="S1273" i="16" s="1"/>
  <c r="Q1309" i="16"/>
  <c r="S1309" i="16" s="1"/>
  <c r="Q1352" i="16"/>
  <c r="S1352" i="16" s="1"/>
  <c r="Q1407" i="16"/>
  <c r="S1407" i="16" s="1"/>
  <c r="Q1482" i="16"/>
  <c r="S1482" i="16" s="1"/>
  <c r="Q1549" i="16"/>
  <c r="S1549" i="16" s="1"/>
  <c r="Q1616" i="16"/>
  <c r="S1616" i="16" s="1"/>
  <c r="Q1667" i="16"/>
  <c r="S1667" i="16" s="1"/>
  <c r="Q1827" i="16"/>
  <c r="S1827" i="16" s="1"/>
  <c r="Q1929" i="16"/>
  <c r="S1929" i="16" s="1"/>
  <c r="Q2000" i="16"/>
  <c r="S2000" i="16" s="1"/>
  <c r="Q2068" i="16"/>
  <c r="S2068" i="16" s="1"/>
  <c r="Q1404" i="16"/>
  <c r="S1404" i="16" s="1"/>
  <c r="Q1416" i="16"/>
  <c r="S1416" i="16" s="1"/>
  <c r="Q1463" i="16"/>
  <c r="S1463" i="16" s="1"/>
  <c r="Q1471" i="16"/>
  <c r="S1471" i="16" s="1"/>
  <c r="Q1550" i="16"/>
  <c r="S1550" i="16" s="1"/>
  <c r="Q1593" i="16"/>
  <c r="S1593" i="16" s="1"/>
  <c r="Q1597" i="16"/>
  <c r="S1597" i="16" s="1"/>
  <c r="Q1676" i="16"/>
  <c r="S1676" i="16" s="1"/>
  <c r="Q1744" i="16"/>
  <c r="S1744" i="16" s="1"/>
  <c r="Q1748" i="16"/>
  <c r="S1748" i="16" s="1"/>
  <c r="Q1791" i="16"/>
  <c r="S1791" i="16" s="1"/>
  <c r="Q1795" i="16"/>
  <c r="S1795" i="16" s="1"/>
  <c r="Q1815" i="16"/>
  <c r="S1815" i="16" s="1"/>
  <c r="Q1866" i="16"/>
  <c r="S1866" i="16" s="1"/>
  <c r="Q1377" i="16"/>
  <c r="S1377" i="16" s="1"/>
  <c r="Q1527" i="16"/>
  <c r="S1527" i="16" s="1"/>
  <c r="Q1623" i="16"/>
  <c r="S1623" i="16" s="1"/>
  <c r="Q1661" i="16"/>
  <c r="S1661" i="16" s="1"/>
  <c r="Q1681" i="16"/>
  <c r="S1681" i="16" s="1"/>
  <c r="Q1733" i="16"/>
  <c r="S1733" i="16" s="1"/>
  <c r="Q1900" i="16"/>
  <c r="S1900" i="16" s="1"/>
  <c r="Q1960" i="16"/>
  <c r="S1960" i="16" s="1"/>
  <c r="Q1398" i="16"/>
  <c r="S1398" i="16" s="1"/>
  <c r="Q1465" i="16"/>
  <c r="S1465" i="16" s="1"/>
  <c r="Q1552" i="16"/>
  <c r="S1552" i="16" s="1"/>
  <c r="Q1718" i="16"/>
  <c r="S1718" i="16" s="1"/>
  <c r="Q1730" i="16"/>
  <c r="S1730" i="16" s="1"/>
  <c r="Q1876" i="16"/>
  <c r="S1876" i="16" s="1"/>
  <c r="Q1884" i="16"/>
  <c r="S1884" i="16" s="1"/>
  <c r="Q1940" i="16"/>
  <c r="S1940" i="16" s="1"/>
  <c r="Q1957" i="16"/>
  <c r="S1957" i="16" s="1"/>
  <c r="Q2019" i="16"/>
  <c r="S2019" i="16" s="1"/>
  <c r="Q2078" i="16"/>
  <c r="S2078" i="16" s="1"/>
  <c r="Q1997" i="16"/>
  <c r="S1997" i="16" s="1"/>
  <c r="Q2030" i="16"/>
  <c r="S2030" i="16" s="1"/>
  <c r="Q2076" i="16"/>
  <c r="S2076" i="16" s="1"/>
  <c r="Q2085" i="16"/>
  <c r="S2085" i="16" s="1"/>
  <c r="Q140" i="16"/>
  <c r="S140" i="16" s="1"/>
  <c r="Q195" i="16"/>
  <c r="S195" i="16" s="1"/>
  <c r="Q239" i="16"/>
  <c r="S239" i="16" s="1"/>
  <c r="Q259" i="16"/>
  <c r="S259" i="16" s="1"/>
  <c r="Q271" i="16"/>
  <c r="S271" i="16" s="1"/>
  <c r="Q291" i="16"/>
  <c r="S291" i="16" s="1"/>
  <c r="Q13" i="16"/>
  <c r="S13" i="16" s="1"/>
  <c r="Q45" i="16"/>
  <c r="S45" i="16" s="1"/>
  <c r="Q69" i="16"/>
  <c r="S69" i="16" s="1"/>
  <c r="Q220" i="16"/>
  <c r="S220" i="16" s="1"/>
  <c r="Q264" i="16"/>
  <c r="S264" i="16" s="1"/>
  <c r="Q66" i="16"/>
  <c r="S66" i="16" s="1"/>
  <c r="Q90" i="16"/>
  <c r="S90" i="16" s="1"/>
  <c r="Q94" i="16"/>
  <c r="S94" i="16" s="1"/>
  <c r="Q162" i="16"/>
  <c r="S162" i="16" s="1"/>
  <c r="Q321" i="16"/>
  <c r="S321" i="16" s="1"/>
  <c r="Q3" i="16"/>
  <c r="S3" i="16" s="1"/>
  <c r="Q7" i="16"/>
  <c r="S7" i="16" s="1"/>
  <c r="Q131" i="16"/>
  <c r="S131" i="16" s="1"/>
  <c r="Q171" i="16"/>
  <c r="S171" i="16" s="1"/>
  <c r="Q198" i="16"/>
  <c r="S198" i="16" s="1"/>
  <c r="Q318" i="16"/>
  <c r="S318" i="16" s="1"/>
  <c r="Q324" i="16"/>
  <c r="S324" i="16" s="1"/>
  <c r="Q529" i="16"/>
  <c r="S529" i="16" s="1"/>
  <c r="Q576" i="16"/>
  <c r="S576" i="16" s="1"/>
  <c r="Q635" i="16"/>
  <c r="S635" i="16" s="1"/>
  <c r="Q327" i="16"/>
  <c r="S327" i="16" s="1"/>
  <c r="Q399" i="16"/>
  <c r="S399" i="16" s="1"/>
  <c r="Q403" i="16"/>
  <c r="S403" i="16" s="1"/>
  <c r="Q407" i="16"/>
  <c r="S407" i="16" s="1"/>
  <c r="Q451" i="16"/>
  <c r="S451" i="16" s="1"/>
  <c r="Q444" i="16"/>
  <c r="S444" i="16" s="1"/>
  <c r="Q551" i="16"/>
  <c r="S551" i="16" s="1"/>
  <c r="Q590" i="16"/>
  <c r="S590" i="16" s="1"/>
  <c r="Q421" i="16"/>
  <c r="S421" i="16" s="1"/>
  <c r="Q465" i="16"/>
  <c r="S465" i="16" s="1"/>
  <c r="Q490" i="16"/>
  <c r="S490" i="16" s="1"/>
  <c r="Q508" i="16"/>
  <c r="S508" i="16" s="1"/>
  <c r="Q532" i="16"/>
  <c r="S532" i="16" s="1"/>
  <c r="Q579" i="16"/>
  <c r="S579" i="16" s="1"/>
  <c r="Q587" i="16"/>
  <c r="S587" i="16" s="1"/>
  <c r="Q638" i="16"/>
  <c r="S638" i="16" s="1"/>
  <c r="Q660" i="16"/>
  <c r="S660" i="16" s="1"/>
  <c r="Q699" i="16"/>
  <c r="S699" i="16" s="1"/>
  <c r="Q770" i="16"/>
  <c r="S770" i="16" s="1"/>
  <c r="Q973" i="16"/>
  <c r="S973" i="16" s="1"/>
  <c r="Q733" i="16"/>
  <c r="S733" i="16" s="1"/>
  <c r="Q767" i="16"/>
  <c r="S767" i="16" s="1"/>
  <c r="Q779" i="16"/>
  <c r="S779" i="16" s="1"/>
  <c r="Q847" i="16"/>
  <c r="S847" i="16" s="1"/>
  <c r="Q950" i="16"/>
  <c r="S950" i="16" s="1"/>
  <c r="Q958" i="16"/>
  <c r="S958" i="16" s="1"/>
  <c r="Q701" i="16"/>
  <c r="S701" i="16" s="1"/>
  <c r="Q760" i="16"/>
  <c r="S760" i="16" s="1"/>
  <c r="Q832" i="16"/>
  <c r="S832" i="16" s="1"/>
  <c r="Q873" i="16"/>
  <c r="S873" i="16" s="1"/>
  <c r="Q967" i="16"/>
  <c r="S967" i="16" s="1"/>
  <c r="Q669" i="16"/>
  <c r="S669" i="16" s="1"/>
  <c r="Q706" i="16"/>
  <c r="S706" i="16" s="1"/>
  <c r="Q825" i="16"/>
  <c r="S825" i="16" s="1"/>
  <c r="Q889" i="16"/>
  <c r="S889" i="16" s="1"/>
  <c r="Q893" i="16"/>
  <c r="S893" i="16" s="1"/>
  <c r="Q905" i="16"/>
  <c r="S905" i="16" s="1"/>
  <c r="Q938" i="16"/>
  <c r="S938" i="16" s="1"/>
  <c r="Q1048" i="16"/>
  <c r="S1048" i="16" s="1"/>
  <c r="Q1079" i="16"/>
  <c r="S1079" i="16" s="1"/>
  <c r="Q1099" i="16"/>
  <c r="S1099" i="16" s="1"/>
  <c r="Q1146" i="16"/>
  <c r="S1146" i="16" s="1"/>
  <c r="Q1158" i="16"/>
  <c r="S1158" i="16" s="1"/>
  <c r="Q1214" i="16"/>
  <c r="S1214" i="16" s="1"/>
  <c r="Q1226" i="16"/>
  <c r="S1226" i="16" s="1"/>
  <c r="Q1294" i="16"/>
  <c r="S1294" i="16" s="1"/>
  <c r="Q1033" i="16"/>
  <c r="S1033" i="16" s="1"/>
  <c r="Q1151" i="16"/>
  <c r="S1151" i="16" s="1"/>
  <c r="Q1271" i="16"/>
  <c r="S1271" i="16" s="1"/>
  <c r="Q1287" i="16"/>
  <c r="S1287" i="16" s="1"/>
  <c r="Q1058" i="16"/>
  <c r="S1058" i="16" s="1"/>
  <c r="Q1089" i="16"/>
  <c r="S1089" i="16" s="1"/>
  <c r="Q1113" i="16"/>
  <c r="S1113" i="16" s="1"/>
  <c r="Q1312" i="16"/>
  <c r="S1312" i="16" s="1"/>
  <c r="Q1018" i="16"/>
  <c r="S1018" i="16" s="1"/>
  <c r="Q1173" i="16"/>
  <c r="S1173" i="16" s="1"/>
  <c r="Q1205" i="16"/>
  <c r="S1205" i="16" s="1"/>
  <c r="Q1229" i="16"/>
  <c r="S1229" i="16" s="1"/>
  <c r="Q1336" i="16"/>
  <c r="S1336" i="16" s="1"/>
  <c r="Q1340" i="16"/>
  <c r="S1340" i="16" s="1"/>
  <c r="Q1419" i="16"/>
  <c r="S1419" i="16" s="1"/>
  <c r="Q1423" i="16"/>
  <c r="S1423" i="16" s="1"/>
  <c r="Q1466" i="16"/>
  <c r="S1466" i="16" s="1"/>
  <c r="Q1506" i="16"/>
  <c r="S1506" i="16" s="1"/>
  <c r="Q1545" i="16"/>
  <c r="S1545" i="16" s="1"/>
  <c r="Q1612" i="16"/>
  <c r="S1612" i="16" s="1"/>
  <c r="Q1683" i="16"/>
  <c r="S1683" i="16" s="1"/>
  <c r="Q1731" i="16"/>
  <c r="S1731" i="16" s="1"/>
  <c r="Q1941" i="16"/>
  <c r="S1941" i="16" s="1"/>
  <c r="Q1945" i="16"/>
  <c r="S1945" i="16" s="1"/>
  <c r="Q2060" i="16"/>
  <c r="S2060" i="16" s="1"/>
  <c r="Q1342" i="16"/>
  <c r="S1342" i="16" s="1"/>
  <c r="Q1381" i="16"/>
  <c r="S1381" i="16" s="1"/>
  <c r="Q1412" i="16"/>
  <c r="S1412" i="16" s="1"/>
  <c r="Q1503" i="16"/>
  <c r="S1503" i="16" s="1"/>
  <c r="Q1609" i="16"/>
  <c r="S1609" i="16" s="1"/>
  <c r="Q1626" i="16"/>
  <c r="S1626" i="16" s="1"/>
  <c r="Q1773" i="16"/>
  <c r="S1773" i="16" s="1"/>
  <c r="Q1787" i="16"/>
  <c r="S1787" i="16" s="1"/>
  <c r="Q1799" i="16"/>
  <c r="S1799" i="16" s="1"/>
  <c r="Q1862" i="16"/>
  <c r="S1862" i="16" s="1"/>
  <c r="Q1882" i="16"/>
  <c r="S1882" i="16" s="1"/>
  <c r="Q1401" i="16"/>
  <c r="S1401" i="16" s="1"/>
  <c r="Q1460" i="16"/>
  <c r="S1460" i="16" s="1"/>
  <c r="Q1657" i="16"/>
  <c r="S1657" i="16" s="1"/>
  <c r="Q1725" i="16"/>
  <c r="S1725" i="16" s="1"/>
  <c r="Q1792" i="16"/>
  <c r="S1792" i="16" s="1"/>
  <c r="Q1796" i="16"/>
  <c r="S1796" i="16" s="1"/>
  <c r="Q1838" i="16"/>
  <c r="S1838" i="16" s="1"/>
  <c r="Q1859" i="16"/>
  <c r="S1859" i="16" s="1"/>
  <c r="Q1935" i="16"/>
  <c r="S1935" i="16" s="1"/>
  <c r="Q1532" i="16"/>
  <c r="S1532" i="16" s="1"/>
  <c r="Q1536" i="16"/>
  <c r="S1536" i="16" s="1"/>
  <c r="Q1568" i="16"/>
  <c r="S1568" i="16" s="1"/>
  <c r="Q1607" i="16"/>
  <c r="S1607" i="16" s="1"/>
  <c r="Q1662" i="16"/>
  <c r="S1662" i="16" s="1"/>
  <c r="Q1691" i="16"/>
  <c r="S1691" i="16" s="1"/>
  <c r="Q1734" i="16"/>
  <c r="S1734" i="16" s="1"/>
  <c r="Q1868" i="16"/>
  <c r="S1868" i="16" s="1"/>
  <c r="Q1932" i="16"/>
  <c r="S1932" i="16" s="1"/>
  <c r="Q2063" i="16"/>
  <c r="S2063" i="16" s="1"/>
  <c r="Q2067" i="16"/>
  <c r="S2067" i="16" s="1"/>
  <c r="Q1994" i="16"/>
  <c r="S1994" i="16" s="1"/>
  <c r="Q2062" i="16"/>
  <c r="S2062" i="16" s="1"/>
  <c r="Q1998" i="16"/>
  <c r="S1998" i="16" s="1"/>
  <c r="Q2001" i="16"/>
  <c r="S2001" i="16" s="1"/>
  <c r="Q2033" i="16"/>
  <c r="S2033" i="16" s="1"/>
  <c r="Q4" i="16"/>
  <c r="S4" i="16" s="1"/>
  <c r="Q8" i="16"/>
  <c r="S8" i="16" s="1"/>
  <c r="Q117" i="16"/>
  <c r="S117" i="16" s="1"/>
  <c r="Q132" i="16"/>
  <c r="S132" i="16" s="1"/>
  <c r="Q152" i="16"/>
  <c r="S152" i="16" s="1"/>
  <c r="Q199" i="16"/>
  <c r="S199" i="16" s="1"/>
  <c r="Q181" i="16"/>
  <c r="S181" i="16" s="1"/>
  <c r="Q196" i="16"/>
  <c r="S196" i="16" s="1"/>
  <c r="Q260" i="16"/>
  <c r="S260" i="16" s="1"/>
  <c r="Q272" i="16"/>
  <c r="S272" i="16" s="1"/>
  <c r="Q26" i="16"/>
  <c r="S26" i="16" s="1"/>
  <c r="Q55" i="16"/>
  <c r="S55" i="16" s="1"/>
  <c r="Q70" i="16"/>
  <c r="S70" i="16" s="1"/>
  <c r="Q134" i="16"/>
  <c r="S134" i="16" s="1"/>
  <c r="Q221" i="16"/>
  <c r="S221" i="16" s="1"/>
  <c r="Q293" i="16"/>
  <c r="S293" i="16" s="1"/>
  <c r="Q325" i="16"/>
  <c r="S325" i="16" s="1"/>
  <c r="Q91" i="16"/>
  <c r="S91" i="16" s="1"/>
  <c r="Q95" i="16"/>
  <c r="S95" i="16" s="1"/>
  <c r="Q210" i="16"/>
  <c r="S210" i="16" s="1"/>
  <c r="Q262" i="16"/>
  <c r="S262" i="16" s="1"/>
  <c r="Q351" i="16"/>
  <c r="S351" i="16" s="1"/>
  <c r="Q466" i="16"/>
  <c r="S466" i="16" s="1"/>
  <c r="Q509" i="16"/>
  <c r="S509" i="16" s="1"/>
  <c r="Q533" i="16"/>
  <c r="S533" i="16" s="1"/>
  <c r="Q588" i="16"/>
  <c r="S588" i="16" s="1"/>
  <c r="Q608" i="16"/>
  <c r="S608" i="16" s="1"/>
  <c r="Q621" i="16"/>
  <c r="S621" i="16" s="1"/>
  <c r="Q667" i="16"/>
  <c r="S667" i="16" s="1"/>
  <c r="Q319" i="16"/>
  <c r="S319" i="16" s="1"/>
  <c r="Q369" i="16"/>
  <c r="S369" i="16" s="1"/>
  <c r="Q530" i="16"/>
  <c r="S530" i="16" s="1"/>
  <c r="Q577" i="16"/>
  <c r="S577" i="16" s="1"/>
  <c r="Q400" i="16"/>
  <c r="S400" i="16" s="1"/>
  <c r="Q404" i="16"/>
  <c r="S404" i="16" s="1"/>
  <c r="Q408" i="16"/>
  <c r="S408" i="16" s="1"/>
  <c r="Q432" i="16"/>
  <c r="S432" i="16" s="1"/>
  <c r="Q452" i="16"/>
  <c r="S452" i="16" s="1"/>
  <c r="Q493" i="16"/>
  <c r="S493" i="16" s="1"/>
  <c r="Q641" i="16"/>
  <c r="S641" i="16" s="1"/>
  <c r="Q445" i="16"/>
  <c r="S445" i="16" s="1"/>
  <c r="Q560" i="16"/>
  <c r="S560" i="16" s="1"/>
  <c r="Q826" i="16"/>
  <c r="S826" i="16" s="1"/>
  <c r="Q867" i="16"/>
  <c r="S867" i="16" s="1"/>
  <c r="Q894" i="16"/>
  <c r="S894" i="16" s="1"/>
  <c r="Q910" i="16"/>
  <c r="S910" i="16" s="1"/>
  <c r="Q661" i="16"/>
  <c r="S661" i="16" s="1"/>
  <c r="Q704" i="16"/>
  <c r="S704" i="16" s="1"/>
  <c r="Q771" i="16"/>
  <c r="S771" i="16" s="1"/>
  <c r="Q936" i="16"/>
  <c r="S936" i="16" s="1"/>
  <c r="Q974" i="16"/>
  <c r="S974" i="16" s="1"/>
  <c r="Q636" i="16"/>
  <c r="S636" i="16" s="1"/>
  <c r="Q734" i="16"/>
  <c r="S734" i="16" s="1"/>
  <c r="Q780" i="16"/>
  <c r="S780" i="16" s="1"/>
  <c r="Q848" i="16"/>
  <c r="S848" i="16" s="1"/>
  <c r="Q920" i="16"/>
  <c r="S920" i="16" s="1"/>
  <c r="Q951" i="16"/>
  <c r="S951" i="16" s="1"/>
  <c r="Q959" i="16"/>
  <c r="S959" i="16" s="1"/>
  <c r="Q702" i="16"/>
  <c r="S702" i="16" s="1"/>
  <c r="Q743" i="16"/>
  <c r="S743" i="16" s="1"/>
  <c r="Q761" i="16"/>
  <c r="S761" i="16" s="1"/>
  <c r="Q793" i="16"/>
  <c r="S793" i="16" s="1"/>
  <c r="Q833" i="16"/>
  <c r="S833" i="16" s="1"/>
  <c r="Q968" i="16"/>
  <c r="S968" i="16" s="1"/>
  <c r="Q1230" i="16"/>
  <c r="S1230" i="16" s="1"/>
  <c r="Q1248" i="16"/>
  <c r="S1248" i="16" s="1"/>
  <c r="Q1337" i="16"/>
  <c r="S1337" i="16" s="1"/>
  <c r="Q1361" i="16"/>
  <c r="S1361" i="16" s="1"/>
  <c r="Q1045" i="16"/>
  <c r="S1045" i="16" s="1"/>
  <c r="Q1147" i="16"/>
  <c r="S1147" i="16" s="1"/>
  <c r="Q1191" i="16"/>
  <c r="S1191" i="16" s="1"/>
  <c r="Q1215" i="16"/>
  <c r="S1215" i="16" s="1"/>
  <c r="Q1295" i="16"/>
  <c r="S1295" i="16" s="1"/>
  <c r="Q1315" i="16"/>
  <c r="S1315" i="16" s="1"/>
  <c r="Q1034" i="16"/>
  <c r="S1034" i="16" s="1"/>
  <c r="Q1066" i="16"/>
  <c r="S1066" i="16" s="1"/>
  <c r="Q1109" i="16"/>
  <c r="S1109" i="16" s="1"/>
  <c r="Q1144" i="16"/>
  <c r="S1144" i="16" s="1"/>
  <c r="Q1152" i="16"/>
  <c r="S1152" i="16" s="1"/>
  <c r="Q1288" i="16"/>
  <c r="S1288" i="16" s="1"/>
  <c r="Q1023" i="16"/>
  <c r="S1023" i="16" s="1"/>
  <c r="Q1086" i="16"/>
  <c r="S1086" i="16" s="1"/>
  <c r="Q1119" i="16"/>
  <c r="S1119" i="16" s="1"/>
  <c r="Q1132" i="16"/>
  <c r="S1132" i="16" s="1"/>
  <c r="Q1238" i="16"/>
  <c r="S1238" i="16" s="1"/>
  <c r="Q1293" i="16"/>
  <c r="S1293" i="16" s="1"/>
  <c r="Q1367" i="16"/>
  <c r="S1367" i="16" s="1"/>
  <c r="Q1537" i="16"/>
  <c r="S1537" i="16" s="1"/>
  <c r="Q1663" i="16"/>
  <c r="S1663" i="16" s="1"/>
  <c r="Q1719" i="16"/>
  <c r="S1719" i="16" s="1"/>
  <c r="Q1735" i="16"/>
  <c r="S1735" i="16" s="1"/>
  <c r="Q1823" i="16"/>
  <c r="S1823" i="16" s="1"/>
  <c r="Q1835" i="16"/>
  <c r="S1835" i="16" s="1"/>
  <c r="Q1841" i="16"/>
  <c r="S1841" i="16" s="1"/>
  <c r="Q1889" i="16"/>
  <c r="S1889" i="16" s="1"/>
  <c r="Q1933" i="16"/>
  <c r="S1933" i="16" s="1"/>
  <c r="Q2024" i="16"/>
  <c r="S2024" i="16" s="1"/>
  <c r="Q1420" i="16"/>
  <c r="S1420" i="16" s="1"/>
  <c r="Q1424" i="16"/>
  <c r="S1424" i="16" s="1"/>
  <c r="Q1467" i="16"/>
  <c r="S1467" i="16" s="1"/>
  <c r="Q1613" i="16"/>
  <c r="S1613" i="16" s="1"/>
  <c r="Q1672" i="16"/>
  <c r="S1672" i="16" s="1"/>
  <c r="Q1768" i="16"/>
  <c r="S1768" i="16" s="1"/>
  <c r="Q1894" i="16"/>
  <c r="S1894" i="16" s="1"/>
  <c r="Q1942" i="16"/>
  <c r="S1942" i="16" s="1"/>
  <c r="Q1946" i="16"/>
  <c r="S1946" i="16" s="1"/>
  <c r="Q1365" i="16"/>
  <c r="S1365" i="16" s="1"/>
  <c r="Q1413" i="16"/>
  <c r="S1413" i="16" s="1"/>
  <c r="Q1508" i="16"/>
  <c r="S1508" i="16" s="1"/>
  <c r="Q1512" i="16"/>
  <c r="S1512" i="16" s="1"/>
  <c r="Q1559" i="16"/>
  <c r="S1559" i="16" s="1"/>
  <c r="Q1575" i="16"/>
  <c r="S1575" i="16" s="1"/>
  <c r="Q1610" i="16"/>
  <c r="S1610" i="16" s="1"/>
  <c r="Q1636" i="16"/>
  <c r="S1636" i="16" s="1"/>
  <c r="Q1708" i="16"/>
  <c r="S1708" i="16" s="1"/>
  <c r="Q1800" i="16"/>
  <c r="S1800" i="16" s="1"/>
  <c r="Q1851" i="16"/>
  <c r="S1851" i="16" s="1"/>
  <c r="Q1863" i="16"/>
  <c r="S1863" i="16" s="1"/>
  <c r="Q1402" i="16"/>
  <c r="S1402" i="16" s="1"/>
  <c r="Q1461" i="16"/>
  <c r="S1461" i="16" s="1"/>
  <c r="Q1564" i="16"/>
  <c r="S1564" i="16" s="1"/>
  <c r="Q1599" i="16"/>
  <c r="S1599" i="16" s="1"/>
  <c r="Q1650" i="16"/>
  <c r="S1650" i="16" s="1"/>
  <c r="Q1658" i="16"/>
  <c r="S1658" i="16" s="1"/>
  <c r="Q1726" i="16"/>
  <c r="S1726" i="16" s="1"/>
  <c r="Q1758" i="16"/>
  <c r="S1758" i="16" s="1"/>
  <c r="Q1901" i="16"/>
  <c r="S1901" i="16" s="1"/>
  <c r="Q1936" i="16"/>
  <c r="S1936" i="16" s="1"/>
  <c r="Q1995" i="16"/>
  <c r="S1995" i="16" s="1"/>
  <c r="Q2015" i="16"/>
  <c r="S2015" i="16" s="1"/>
  <c r="Q2027" i="16"/>
  <c r="S2027" i="16" s="1"/>
  <c r="Q2059" i="16"/>
  <c r="S2059" i="16" s="1"/>
  <c r="Q2070" i="16"/>
  <c r="S2070" i="16" s="1"/>
  <c r="Q2092" i="16"/>
  <c r="S2092" i="16" s="1"/>
  <c r="Q2058" i="16"/>
  <c r="S2058" i="16" s="1"/>
  <c r="Q28" i="16"/>
  <c r="S28" i="16" s="1"/>
  <c r="Q136" i="16"/>
  <c r="S136" i="16" s="1"/>
  <c r="Q148" i="16"/>
  <c r="S148" i="16" s="1"/>
  <c r="Q191" i="16"/>
  <c r="S191" i="16" s="1"/>
  <c r="Q215" i="16"/>
  <c r="S215" i="16" s="1"/>
  <c r="Q275" i="16"/>
  <c r="S275" i="16" s="1"/>
  <c r="Q9" i="16"/>
  <c r="S9" i="16" s="1"/>
  <c r="Q73" i="16"/>
  <c r="S73" i="16" s="1"/>
  <c r="Q145" i="16"/>
  <c r="S145" i="16" s="1"/>
  <c r="Q153" i="16"/>
  <c r="S153" i="16" s="1"/>
  <c r="Q212" i="16"/>
  <c r="S212" i="16" s="1"/>
  <c r="Q256" i="16"/>
  <c r="S256" i="16" s="1"/>
  <c r="Q18" i="16"/>
  <c r="S18" i="16" s="1"/>
  <c r="Q22" i="16"/>
  <c r="S22" i="16" s="1"/>
  <c r="Q86" i="16"/>
  <c r="S86" i="16" s="1"/>
  <c r="Q201" i="16"/>
  <c r="S201" i="16" s="1"/>
  <c r="Q273" i="16"/>
  <c r="S273" i="16" s="1"/>
  <c r="Q71" i="16"/>
  <c r="S71" i="16" s="1"/>
  <c r="Q83" i="16"/>
  <c r="S83" i="16" s="1"/>
  <c r="Q278" i="16"/>
  <c r="S278" i="16" s="1"/>
  <c r="Q334" i="16"/>
  <c r="S334" i="16" s="1"/>
  <c r="Q338" i="16"/>
  <c r="S338" i="16" s="1"/>
  <c r="Q386" i="16"/>
  <c r="S386" i="16" s="1"/>
  <c r="Q390" i="16"/>
  <c r="S390" i="16" s="1"/>
  <c r="Q446" i="16"/>
  <c r="S446" i="16" s="1"/>
  <c r="Q572" i="16"/>
  <c r="S572" i="16" s="1"/>
  <c r="Q344" i="16"/>
  <c r="S344" i="16" s="1"/>
  <c r="Q341" i="16"/>
  <c r="S341" i="16" s="1"/>
  <c r="Q384" i="16"/>
  <c r="S384" i="16" s="1"/>
  <c r="Q468" i="16"/>
  <c r="S468" i="16" s="1"/>
  <c r="Q511" i="16"/>
  <c r="S511" i="16" s="1"/>
  <c r="Q515" i="16"/>
  <c r="S515" i="16" s="1"/>
  <c r="Q543" i="16"/>
  <c r="S543" i="16" s="1"/>
  <c r="Q570" i="16"/>
  <c r="S570" i="16" s="1"/>
  <c r="Q413" i="16"/>
  <c r="S413" i="16" s="1"/>
  <c r="Q453" i="16"/>
  <c r="S453" i="16" s="1"/>
  <c r="Q461" i="16"/>
  <c r="S461" i="16" s="1"/>
  <c r="Q524" i="16"/>
  <c r="S524" i="16" s="1"/>
  <c r="Q591" i="16"/>
  <c r="S591" i="16" s="1"/>
  <c r="Q595" i="16"/>
  <c r="S595" i="16" s="1"/>
  <c r="Q642" i="16"/>
  <c r="S642" i="16" s="1"/>
  <c r="Q650" i="16"/>
  <c r="S650" i="16" s="1"/>
  <c r="Q652" i="16"/>
  <c r="S652" i="16" s="1"/>
  <c r="Q711" i="16"/>
  <c r="S711" i="16" s="1"/>
  <c r="Q715" i="16"/>
  <c r="S715" i="16" s="1"/>
  <c r="Q762" i="16"/>
  <c r="S762" i="16" s="1"/>
  <c r="Q830" i="16"/>
  <c r="S830" i="16" s="1"/>
  <c r="Q965" i="16"/>
  <c r="S965" i="16" s="1"/>
  <c r="Q1016" i="16"/>
  <c r="S1016" i="16" s="1"/>
  <c r="Q783" i="16"/>
  <c r="S783" i="16" s="1"/>
  <c r="Q887" i="16"/>
  <c r="S887" i="16" s="1"/>
  <c r="Q903" i="16"/>
  <c r="S903" i="16" s="1"/>
  <c r="Q656" i="16"/>
  <c r="S656" i="16" s="1"/>
  <c r="Q721" i="16"/>
  <c r="S721" i="16" s="1"/>
  <c r="Q800" i="16"/>
  <c r="S800" i="16" s="1"/>
  <c r="Q824" i="16"/>
  <c r="S824" i="16" s="1"/>
  <c r="Q892" i="16"/>
  <c r="S892" i="16" s="1"/>
  <c r="Q908" i="16"/>
  <c r="S908" i="16" s="1"/>
  <c r="Q971" i="16"/>
  <c r="S971" i="16" s="1"/>
  <c r="Q718" i="16"/>
  <c r="S718" i="16" s="1"/>
  <c r="Q781" i="16"/>
  <c r="S781" i="16" s="1"/>
  <c r="Q841" i="16"/>
  <c r="S841" i="16" s="1"/>
  <c r="Q845" i="16"/>
  <c r="S845" i="16" s="1"/>
  <c r="Q948" i="16"/>
  <c r="S948" i="16" s="1"/>
  <c r="Q956" i="16"/>
  <c r="S956" i="16" s="1"/>
  <c r="Q1286" i="16"/>
  <c r="S1286" i="16" s="1"/>
  <c r="Q1290" i="16"/>
  <c r="S1290" i="16" s="1"/>
  <c r="Q1037" i="16"/>
  <c r="S1037" i="16" s="1"/>
  <c r="Q1049" i="16"/>
  <c r="S1049" i="16" s="1"/>
  <c r="Q1104" i="16"/>
  <c r="S1104" i="16" s="1"/>
  <c r="Q1207" i="16"/>
  <c r="S1207" i="16" s="1"/>
  <c r="Q1081" i="16"/>
  <c r="S1081" i="16" s="1"/>
  <c r="Q1085" i="16"/>
  <c r="S1085" i="16" s="1"/>
  <c r="Q1156" i="16"/>
  <c r="S1156" i="16" s="1"/>
  <c r="Q1164" i="16"/>
  <c r="S1164" i="16" s="1"/>
  <c r="Q1220" i="16"/>
  <c r="S1220" i="16" s="1"/>
  <c r="Q1228" i="16"/>
  <c r="S1228" i="16" s="1"/>
  <c r="Q1272" i="16"/>
  <c r="S1272" i="16" s="1"/>
  <c r="Q1335" i="16"/>
  <c r="S1335" i="16" s="1"/>
  <c r="Q1031" i="16"/>
  <c r="S1031" i="16" s="1"/>
  <c r="Q1094" i="16"/>
  <c r="S1094" i="16" s="1"/>
  <c r="Q1149" i="16"/>
  <c r="S1149" i="16" s="1"/>
  <c r="Q1161" i="16"/>
  <c r="S1161" i="16" s="1"/>
  <c r="Q1213" i="16"/>
  <c r="S1213" i="16" s="1"/>
  <c r="Q1277" i="16"/>
  <c r="S1277" i="16" s="1"/>
  <c r="Q1344" i="16"/>
  <c r="S1344" i="16" s="1"/>
  <c r="Q1355" i="16"/>
  <c r="S1355" i="16" s="1"/>
  <c r="Q1415" i="16"/>
  <c r="S1415" i="16" s="1"/>
  <c r="Q1470" i="16"/>
  <c r="S1470" i="16" s="1"/>
  <c r="Q1596" i="16"/>
  <c r="S1596" i="16" s="1"/>
  <c r="Q1608" i="16"/>
  <c r="S1608" i="16" s="1"/>
  <c r="Q1675" i="16"/>
  <c r="S1675" i="16" s="1"/>
  <c r="Q1747" i="16"/>
  <c r="S1747" i="16" s="1"/>
  <c r="Q1767" i="16"/>
  <c r="S1767" i="16" s="1"/>
  <c r="Q1810" i="16"/>
  <c r="S1810" i="16" s="1"/>
  <c r="Q1818" i="16"/>
  <c r="S1818" i="16" s="1"/>
  <c r="Q1861" i="16"/>
  <c r="S1861" i="16" s="1"/>
  <c r="Q1881" i="16"/>
  <c r="S1881" i="16" s="1"/>
  <c r="Q1949" i="16"/>
  <c r="S1949" i="16" s="1"/>
  <c r="Q1358" i="16"/>
  <c r="S1358" i="16" s="1"/>
  <c r="Q1487" i="16"/>
  <c r="S1487" i="16" s="1"/>
  <c r="Q1526" i="16"/>
  <c r="S1526" i="16" s="1"/>
  <c r="Q1660" i="16"/>
  <c r="S1660" i="16" s="1"/>
  <c r="Q1680" i="16"/>
  <c r="S1680" i="16" s="1"/>
  <c r="Q1724" i="16"/>
  <c r="S1724" i="16" s="1"/>
  <c r="Q1858" i="16"/>
  <c r="S1858" i="16" s="1"/>
  <c r="Q1934" i="16"/>
  <c r="S1934" i="16" s="1"/>
  <c r="Q1397" i="16"/>
  <c r="S1397" i="16" s="1"/>
  <c r="Q1531" i="16"/>
  <c r="S1531" i="16" s="1"/>
  <c r="Q1535" i="16"/>
  <c r="S1535" i="16" s="1"/>
  <c r="Q1598" i="16"/>
  <c r="S1598" i="16" s="1"/>
  <c r="Q1606" i="16"/>
  <c r="S1606" i="16" s="1"/>
  <c r="Q1765" i="16"/>
  <c r="S1765" i="16" s="1"/>
  <c r="Q1812" i="16"/>
  <c r="S1812" i="16" s="1"/>
  <c r="Q1843" i="16"/>
  <c r="S1843" i="16" s="1"/>
  <c r="Q1867" i="16"/>
  <c r="S1867" i="16" s="1"/>
  <c r="Q1939" i="16"/>
  <c r="S1939" i="16" s="1"/>
  <c r="Q1406" i="16"/>
  <c r="S1406" i="16" s="1"/>
  <c r="Q1418" i="16"/>
  <c r="S1418" i="16" s="1"/>
  <c r="Q1481" i="16"/>
  <c r="S1481" i="16" s="1"/>
  <c r="Q1485" i="16"/>
  <c r="S1485" i="16" s="1"/>
  <c r="Q1548" i="16"/>
  <c r="S1548" i="16" s="1"/>
  <c r="Q1666" i="16"/>
  <c r="S1666" i="16" s="1"/>
  <c r="Q1944" i="16"/>
  <c r="S1944" i="16" s="1"/>
  <c r="Q2011" i="16"/>
  <c r="S2011" i="16" s="1"/>
  <c r="Q2031" i="16"/>
  <c r="S2031" i="16" s="1"/>
  <c r="Q2018" i="16"/>
  <c r="S2018" i="16" s="1"/>
  <c r="Q2082" i="16"/>
  <c r="S2082" i="16" s="1"/>
  <c r="Q2086" i="16"/>
  <c r="S2086" i="16" s="1"/>
  <c r="Q2071" i="16"/>
  <c r="S2071" i="16" s="1"/>
  <c r="Q2079" i="16"/>
  <c r="S2079" i="16" s="1"/>
  <c r="Q2014" i="16"/>
  <c r="S2014" i="16" s="1"/>
  <c r="Q24" i="16"/>
  <c r="S24" i="16" s="1"/>
  <c r="Q76" i="16"/>
  <c r="S76" i="16" s="1"/>
  <c r="Q88" i="16"/>
  <c r="S88" i="16" s="1"/>
  <c r="Q156" i="16"/>
  <c r="S156" i="16" s="1"/>
  <c r="Q168" i="16"/>
  <c r="S168" i="16" s="1"/>
  <c r="Q186" i="16"/>
  <c r="S186" i="16" s="1"/>
  <c r="Q227" i="16"/>
  <c r="S227" i="16" s="1"/>
  <c r="Q295" i="16"/>
  <c r="S295" i="16" s="1"/>
  <c r="Q21" i="16"/>
  <c r="S21" i="16" s="1"/>
  <c r="Q85" i="16"/>
  <c r="S85" i="16" s="1"/>
  <c r="Q280" i="16"/>
  <c r="S280" i="16" s="1"/>
  <c r="Q30" i="16"/>
  <c r="S30" i="16" s="1"/>
  <c r="Q138" i="16"/>
  <c r="S138" i="16" s="1"/>
  <c r="Q193" i="16"/>
  <c r="S193" i="16" s="1"/>
  <c r="Q257" i="16"/>
  <c r="S257" i="16" s="1"/>
  <c r="Q277" i="16"/>
  <c r="S277" i="16" s="1"/>
  <c r="Q11" i="16"/>
  <c r="S11" i="16" s="1"/>
  <c r="Q99" i="16"/>
  <c r="S99" i="16" s="1"/>
  <c r="Q214" i="16"/>
  <c r="S214" i="16" s="1"/>
  <c r="Q218" i="16"/>
  <c r="S218" i="16" s="1"/>
  <c r="Q343" i="16"/>
  <c r="S343" i="16" s="1"/>
  <c r="Q373" i="16"/>
  <c r="S373" i="16" s="1"/>
  <c r="Q418" i="16"/>
  <c r="S418" i="16" s="1"/>
  <c r="Q487" i="16"/>
  <c r="S487" i="16" s="1"/>
  <c r="Q517" i="16"/>
  <c r="S517" i="16" s="1"/>
  <c r="Q655" i="16"/>
  <c r="S655" i="16" s="1"/>
  <c r="Q484" i="16"/>
  <c r="S484" i="16" s="1"/>
  <c r="Q514" i="16"/>
  <c r="S514" i="16" s="1"/>
  <c r="Q438" i="16"/>
  <c r="S438" i="16" s="1"/>
  <c r="Q456" i="16"/>
  <c r="S456" i="16" s="1"/>
  <c r="Q527" i="16"/>
  <c r="S527" i="16" s="1"/>
  <c r="Q594" i="16"/>
  <c r="S594" i="16" s="1"/>
  <c r="Q598" i="16"/>
  <c r="S598" i="16" s="1"/>
  <c r="Q602" i="16"/>
  <c r="S602" i="16" s="1"/>
  <c r="Q337" i="16"/>
  <c r="S337" i="16" s="1"/>
  <c r="Q346" i="16"/>
  <c r="S346" i="16" s="1"/>
  <c r="Q385" i="16"/>
  <c r="S385" i="16" s="1"/>
  <c r="Q389" i="16"/>
  <c r="S389" i="16" s="1"/>
  <c r="Q449" i="16"/>
  <c r="S449" i="16" s="1"/>
  <c r="Q520" i="16"/>
  <c r="S520" i="16" s="1"/>
  <c r="Q658" i="16"/>
  <c r="S658" i="16" s="1"/>
  <c r="Q644" i="16"/>
  <c r="S644" i="16" s="1"/>
  <c r="Q740" i="16"/>
  <c r="S740" i="16" s="1"/>
  <c r="Q786" i="16"/>
  <c r="S786" i="16" s="1"/>
  <c r="Q918" i="16"/>
  <c r="S918" i="16" s="1"/>
  <c r="Q939" i="16"/>
  <c r="S939" i="16" s="1"/>
  <c r="Q953" i="16"/>
  <c r="S953" i="16" s="1"/>
  <c r="Q999" i="16"/>
  <c r="S999" i="16" s="1"/>
  <c r="Q1020" i="16"/>
  <c r="S1020" i="16" s="1"/>
  <c r="Q672" i="16"/>
  <c r="S672" i="16" s="1"/>
  <c r="Q720" i="16"/>
  <c r="S720" i="16" s="1"/>
  <c r="Q737" i="16"/>
  <c r="S737" i="16" s="1"/>
  <c r="Q811" i="16"/>
  <c r="S811" i="16" s="1"/>
  <c r="Q827" i="16"/>
  <c r="S827" i="16" s="1"/>
  <c r="Q872" i="16"/>
  <c r="S872" i="16" s="1"/>
  <c r="Q940" i="16"/>
  <c r="S940" i="16" s="1"/>
  <c r="Q817" i="16"/>
  <c r="S817" i="16" s="1"/>
  <c r="Q865" i="16"/>
  <c r="S865" i="16" s="1"/>
  <c r="Q937" i="16"/>
  <c r="S937" i="16" s="1"/>
  <c r="Q622" i="16"/>
  <c r="S622" i="16" s="1"/>
  <c r="Q714" i="16"/>
  <c r="S714" i="16" s="1"/>
  <c r="Q765" i="16"/>
  <c r="S765" i="16" s="1"/>
  <c r="Q862" i="16"/>
  <c r="S862" i="16" s="1"/>
  <c r="Q976" i="16"/>
  <c r="S976" i="16" s="1"/>
  <c r="Q1162" i="16"/>
  <c r="S1162" i="16" s="1"/>
  <c r="Q1256" i="16"/>
  <c r="S1256" i="16" s="1"/>
  <c r="Q1096" i="16"/>
  <c r="S1096" i="16" s="1"/>
  <c r="Q1167" i="16"/>
  <c r="S1167" i="16" s="1"/>
  <c r="Q1175" i="16"/>
  <c r="S1175" i="16" s="1"/>
  <c r="Q1223" i="16"/>
  <c r="S1223" i="16" s="1"/>
  <c r="Q1231" i="16"/>
  <c r="S1231" i="16" s="1"/>
  <c r="Q1275" i="16"/>
  <c r="S1275" i="16" s="1"/>
  <c r="Q1291" i="16"/>
  <c r="S1291" i="16" s="1"/>
  <c r="Q1321" i="16"/>
  <c r="S1321" i="16" s="1"/>
  <c r="Q1338" i="16"/>
  <c r="S1338" i="16" s="1"/>
  <c r="Q1054" i="16"/>
  <c r="S1054" i="16" s="1"/>
  <c r="Q1062" i="16"/>
  <c r="S1062" i="16" s="1"/>
  <c r="Q1105" i="16"/>
  <c r="S1105" i="16" s="1"/>
  <c r="Q1131" i="16"/>
  <c r="S1131" i="16" s="1"/>
  <c r="Q1192" i="16"/>
  <c r="S1192" i="16" s="1"/>
  <c r="Q1216" i="16"/>
  <c r="S1216" i="16" s="1"/>
  <c r="Q1280" i="16"/>
  <c r="S1280" i="16" s="1"/>
  <c r="Q997" i="16"/>
  <c r="S997" i="16" s="1"/>
  <c r="Q1039" i="16"/>
  <c r="S1039" i="16" s="1"/>
  <c r="Q1082" i="16"/>
  <c r="S1082" i="16" s="1"/>
  <c r="Q1356" i="16"/>
  <c r="S1356" i="16" s="1"/>
  <c r="Q1529" i="16"/>
  <c r="S1529" i="16" s="1"/>
  <c r="Q1561" i="16"/>
  <c r="S1561" i="16" s="1"/>
  <c r="Q1600" i="16"/>
  <c r="S1600" i="16" s="1"/>
  <c r="Q1629" i="16"/>
  <c r="S1629" i="16" s="1"/>
  <c r="Q1642" i="16"/>
  <c r="S1642" i="16" s="1"/>
  <c r="Q1727" i="16"/>
  <c r="S1727" i="16" s="1"/>
  <c r="Q1751" i="16"/>
  <c r="S1751" i="16" s="1"/>
  <c r="Q1776" i="16"/>
  <c r="S1776" i="16" s="1"/>
  <c r="Q1869" i="16"/>
  <c r="S1869" i="16" s="1"/>
  <c r="Q1906" i="16"/>
  <c r="S1906" i="16" s="1"/>
  <c r="Q1958" i="16"/>
  <c r="S1958" i="16" s="1"/>
  <c r="Q2016" i="16"/>
  <c r="S2016" i="16" s="1"/>
  <c r="Q1368" i="16"/>
  <c r="S1368" i="16" s="1"/>
  <c r="Q1376" i="16"/>
  <c r="S1376" i="16" s="1"/>
  <c r="Q1400" i="16"/>
  <c r="S1400" i="16" s="1"/>
  <c r="Q1408" i="16"/>
  <c r="S1408" i="16" s="1"/>
  <c r="Q1558" i="16"/>
  <c r="S1558" i="16" s="1"/>
  <c r="Q1566" i="16"/>
  <c r="S1566" i="16" s="1"/>
  <c r="Q1630" i="16"/>
  <c r="S1630" i="16" s="1"/>
  <c r="Q1664" i="16"/>
  <c r="S1664" i="16" s="1"/>
  <c r="Q1764" i="16"/>
  <c r="S1764" i="16" s="1"/>
  <c r="Q1811" i="16"/>
  <c r="S1811" i="16" s="1"/>
  <c r="Q1950" i="16"/>
  <c r="S1950" i="16" s="1"/>
  <c r="Q1417" i="16"/>
  <c r="S1417" i="16" s="1"/>
  <c r="Q1421" i="16"/>
  <c r="S1421" i="16" s="1"/>
  <c r="Q1484" i="16"/>
  <c r="S1484" i="16" s="1"/>
  <c r="Q1488" i="16"/>
  <c r="S1488" i="16" s="1"/>
  <c r="Q1669" i="16"/>
  <c r="S1669" i="16" s="1"/>
  <c r="Q1677" i="16"/>
  <c r="S1677" i="16" s="1"/>
  <c r="Q1816" i="16"/>
  <c r="S1816" i="16" s="1"/>
  <c r="Q1943" i="16"/>
  <c r="S1943" i="16" s="1"/>
  <c r="Q1947" i="16"/>
  <c r="S1947" i="16" s="1"/>
  <c r="Q1473" i="16"/>
  <c r="S1473" i="16" s="1"/>
  <c r="Q1517" i="16"/>
  <c r="S1517" i="16" s="1"/>
  <c r="Q1709" i="16"/>
  <c r="S1709" i="16" s="1"/>
  <c r="Q1813" i="16"/>
  <c r="S1813" i="16" s="1"/>
  <c r="Q1834" i="16"/>
  <c r="S1834" i="16" s="1"/>
  <c r="Q1860" i="16"/>
  <c r="S1860" i="16" s="1"/>
  <c r="Q1864" i="16"/>
  <c r="S1864" i="16" s="1"/>
  <c r="Q2035" i="16"/>
  <c r="S2035" i="16" s="1"/>
  <c r="Q2013" i="16"/>
  <c r="S2013" i="16" s="1"/>
  <c r="Q2075" i="16"/>
  <c r="S2075" i="16" s="1"/>
  <c r="Q2049" i="16"/>
  <c r="S2049" i="16" s="1"/>
  <c r="Q2066" i="16"/>
  <c r="S2066" i="16" s="1"/>
  <c r="Q2084" i="16"/>
  <c r="S2084" i="16" s="1"/>
  <c r="Q2098" i="16"/>
  <c r="S2098" i="16" s="1"/>
  <c r="Q36" i="16"/>
  <c r="S36" i="16" s="1"/>
  <c r="Q92" i="16"/>
  <c r="S92" i="16" s="1"/>
  <c r="Q96" i="16"/>
  <c r="S96" i="16" s="1"/>
  <c r="Q160" i="16"/>
  <c r="S160" i="16" s="1"/>
  <c r="Q211" i="16"/>
  <c r="S211" i="16" s="1"/>
  <c r="Q5" i="16"/>
  <c r="S5" i="16" s="1"/>
  <c r="Q165" i="16"/>
  <c r="S165" i="16" s="1"/>
  <c r="Q200" i="16"/>
  <c r="S200" i="16" s="1"/>
  <c r="Q224" i="16"/>
  <c r="S224" i="16" s="1"/>
  <c r="Q288" i="16"/>
  <c r="S288" i="16" s="1"/>
  <c r="Q292" i="16"/>
  <c r="S292" i="16" s="1"/>
  <c r="Q38" i="16"/>
  <c r="S38" i="16" s="1"/>
  <c r="Q98" i="16"/>
  <c r="S98" i="16" s="1"/>
  <c r="Q170" i="16"/>
  <c r="S170" i="16" s="1"/>
  <c r="Q27" i="16"/>
  <c r="S27" i="16" s="1"/>
  <c r="Q67" i="16"/>
  <c r="S67" i="16" s="1"/>
  <c r="Q135" i="16"/>
  <c r="S135" i="16" s="1"/>
  <c r="Q222" i="16"/>
  <c r="S222" i="16" s="1"/>
  <c r="Q290" i="16"/>
  <c r="S290" i="16" s="1"/>
  <c r="Q294" i="16"/>
  <c r="S294" i="16" s="1"/>
  <c r="Q322" i="16"/>
  <c r="S322" i="16" s="1"/>
  <c r="Q495" i="16"/>
  <c r="S495" i="16" s="1"/>
  <c r="Q627" i="16"/>
  <c r="S627" i="16" s="1"/>
  <c r="Q639" i="16"/>
  <c r="S639" i="16" s="1"/>
  <c r="Q352" i="16"/>
  <c r="S352" i="16" s="1"/>
  <c r="Q471" i="16"/>
  <c r="S471" i="16" s="1"/>
  <c r="Q475" i="16"/>
  <c r="S475" i="16" s="1"/>
  <c r="Q510" i="16"/>
  <c r="S510" i="16" s="1"/>
  <c r="Q534" i="16"/>
  <c r="S534" i="16" s="1"/>
  <c r="Q550" i="16"/>
  <c r="S550" i="16" s="1"/>
  <c r="Q328" i="16"/>
  <c r="S328" i="16" s="1"/>
  <c r="Q420" i="16"/>
  <c r="S420" i="16" s="1"/>
  <c r="Q547" i="16"/>
  <c r="S547" i="16" s="1"/>
  <c r="Q611" i="16"/>
  <c r="S611" i="16" s="1"/>
  <c r="Q350" i="16"/>
  <c r="S350" i="16" s="1"/>
  <c r="Q401" i="16"/>
  <c r="S401" i="16" s="1"/>
  <c r="Q405" i="16"/>
  <c r="S405" i="16" s="1"/>
  <c r="Q409" i="16"/>
  <c r="S409" i="16" s="1"/>
  <c r="Q477" i="16"/>
  <c r="S477" i="16" s="1"/>
  <c r="Q607" i="16"/>
  <c r="S607" i="16" s="1"/>
  <c r="Q707" i="16"/>
  <c r="S707" i="16" s="1"/>
  <c r="Q732" i="16"/>
  <c r="S732" i="16" s="1"/>
  <c r="Q790" i="16"/>
  <c r="S790" i="16" s="1"/>
  <c r="Q850" i="16"/>
  <c r="S850" i="16" s="1"/>
  <c r="Q858" i="16"/>
  <c r="S858" i="16" s="1"/>
  <c r="Q961" i="16"/>
  <c r="S961" i="16" s="1"/>
  <c r="Q969" i="16"/>
  <c r="S969" i="16" s="1"/>
  <c r="Q977" i="16"/>
  <c r="S977" i="16" s="1"/>
  <c r="Q729" i="16"/>
  <c r="S729" i="16" s="1"/>
  <c r="Q843" i="16"/>
  <c r="S843" i="16" s="1"/>
  <c r="Q954" i="16"/>
  <c r="S954" i="16" s="1"/>
  <c r="Q662" i="16"/>
  <c r="S662" i="16" s="1"/>
  <c r="Q668" i="16"/>
  <c r="S668" i="16" s="1"/>
  <c r="Q730" i="16"/>
  <c r="S730" i="16" s="1"/>
  <c r="Q768" i="16"/>
  <c r="S768" i="16" s="1"/>
  <c r="Q772" i="16"/>
  <c r="S772" i="16" s="1"/>
  <c r="Q828" i="16"/>
  <c r="S828" i="16" s="1"/>
  <c r="Q928" i="16"/>
  <c r="S928" i="16" s="1"/>
  <c r="Q605" i="16"/>
  <c r="S605" i="16" s="1"/>
  <c r="Q664" i="16"/>
  <c r="S664" i="16" s="1"/>
  <c r="Q801" i="16"/>
  <c r="S801" i="16" s="1"/>
  <c r="Q917" i="16"/>
  <c r="S917" i="16" s="1"/>
  <c r="Q921" i="16"/>
  <c r="S921" i="16" s="1"/>
  <c r="Q929" i="16"/>
  <c r="S929" i="16" s="1"/>
  <c r="Q1083" i="16"/>
  <c r="S1083" i="16" s="1"/>
  <c r="Q1087" i="16"/>
  <c r="S1087" i="16" s="1"/>
  <c r="Q1142" i="16"/>
  <c r="S1142" i="16" s="1"/>
  <c r="Q1174" i="16"/>
  <c r="S1174" i="16" s="1"/>
  <c r="Q1206" i="16"/>
  <c r="S1206" i="16" s="1"/>
  <c r="Q1353" i="16"/>
  <c r="S1353" i="16" s="1"/>
  <c r="Q1357" i="16"/>
  <c r="S1357" i="16" s="1"/>
  <c r="Q1053" i="16"/>
  <c r="S1053" i="16" s="1"/>
  <c r="Q1057" i="16"/>
  <c r="S1057" i="16" s="1"/>
  <c r="Q1183" i="16"/>
  <c r="S1183" i="16" s="1"/>
  <c r="Q1211" i="16"/>
  <c r="S1211" i="16" s="1"/>
  <c r="Q1257" i="16"/>
  <c r="S1257" i="16" s="1"/>
  <c r="Q1311" i="16"/>
  <c r="S1311" i="16" s="1"/>
  <c r="Q1046" i="16"/>
  <c r="S1046" i="16" s="1"/>
  <c r="Q1097" i="16"/>
  <c r="S1097" i="16" s="1"/>
  <c r="Q1308" i="16"/>
  <c r="S1308" i="16" s="1"/>
  <c r="Q1043" i="16"/>
  <c r="S1043" i="16" s="1"/>
  <c r="Q1106" i="16"/>
  <c r="S1106" i="16" s="1"/>
  <c r="Q1185" i="16"/>
  <c r="S1185" i="16" s="1"/>
  <c r="Q1217" i="16"/>
  <c r="S1217" i="16" s="1"/>
  <c r="Q1281" i="16"/>
  <c r="S1281" i="16" s="1"/>
  <c r="Q1301" i="16"/>
  <c r="S1301" i="16" s="1"/>
  <c r="Q1533" i="16"/>
  <c r="S1533" i="16" s="1"/>
  <c r="Q1565" i="16"/>
  <c r="S1565" i="16" s="1"/>
  <c r="Q1700" i="16"/>
  <c r="S1700" i="16" s="1"/>
  <c r="Q1798" i="16"/>
  <c r="S1798" i="16" s="1"/>
  <c r="Q1953" i="16"/>
  <c r="S1953" i="16" s="1"/>
  <c r="Q2020" i="16"/>
  <c r="S2020" i="16" s="1"/>
  <c r="Q2064" i="16"/>
  <c r="S2064" i="16" s="1"/>
  <c r="Q1428" i="16"/>
  <c r="S1428" i="16" s="1"/>
  <c r="Q1436" i="16"/>
  <c r="S1436" i="16" s="1"/>
  <c r="Q1546" i="16"/>
  <c r="S1546" i="16" s="1"/>
  <c r="Q1622" i="16"/>
  <c r="S1622" i="16" s="1"/>
  <c r="Q1684" i="16"/>
  <c r="S1684" i="16" s="1"/>
  <c r="Q1728" i="16"/>
  <c r="S1728" i="16" s="1"/>
  <c r="Q1732" i="16"/>
  <c r="S1732" i="16" s="1"/>
  <c r="Q1878" i="16"/>
  <c r="S1878" i="16" s="1"/>
  <c r="Q1886" i="16"/>
  <c r="S1886" i="16" s="1"/>
  <c r="Q1343" i="16"/>
  <c r="S1343" i="16" s="1"/>
  <c r="Q1425" i="16"/>
  <c r="S1425" i="16" s="1"/>
  <c r="Q1464" i="16"/>
  <c r="S1464" i="16" s="1"/>
  <c r="Q1496" i="16"/>
  <c r="S1496" i="16" s="1"/>
  <c r="Q1500" i="16"/>
  <c r="S1500" i="16" s="1"/>
  <c r="Q1614" i="16"/>
  <c r="S1614" i="16" s="1"/>
  <c r="Q1618" i="16"/>
  <c r="S1618" i="16" s="1"/>
  <c r="Q1640" i="16"/>
  <c r="S1640" i="16" s="1"/>
  <c r="Q1665" i="16"/>
  <c r="S1665" i="16" s="1"/>
  <c r="Q1749" i="16"/>
  <c r="S1749" i="16" s="1"/>
  <c r="Q1829" i="16"/>
  <c r="S1829" i="16" s="1"/>
  <c r="Q1927" i="16"/>
  <c r="S1927" i="16" s="1"/>
  <c r="Q1931" i="16"/>
  <c r="S1931" i="16" s="1"/>
  <c r="Q1951" i="16"/>
  <c r="S1951" i="16" s="1"/>
  <c r="Q1378" i="16"/>
  <c r="S1378" i="16" s="1"/>
  <c r="Q1430" i="16"/>
  <c r="S1430" i="16" s="1"/>
  <c r="Q1489" i="16"/>
  <c r="S1489" i="16" s="1"/>
  <c r="Q1560" i="16"/>
  <c r="S1560" i="16" s="1"/>
  <c r="Q1678" i="16"/>
  <c r="S1678" i="16" s="1"/>
  <c r="Q1766" i="16"/>
  <c r="S1766" i="16" s="1"/>
  <c r="Q1817" i="16"/>
  <c r="S1817" i="16" s="1"/>
  <c r="Q1848" i="16"/>
  <c r="S1848" i="16" s="1"/>
  <c r="Q1880" i="16"/>
  <c r="S1880" i="16" s="1"/>
  <c r="Q1892" i="16"/>
  <c r="S1892" i="16" s="1"/>
  <c r="Q2023" i="16"/>
  <c r="S2023" i="16" s="1"/>
  <c r="Q2099" i="16"/>
  <c r="S2099" i="16" s="1"/>
  <c r="Q2022" i="16"/>
  <c r="S2022" i="16" s="1"/>
  <c r="Q2025" i="16"/>
  <c r="S2025" i="16" s="1"/>
  <c r="Q2069" i="16"/>
  <c r="S2069" i="16" s="1"/>
  <c r="Q2077" i="16"/>
  <c r="S2077" i="16" s="1"/>
  <c r="Q16" i="16"/>
  <c r="S16" i="16" s="1"/>
  <c r="Q80" i="16"/>
  <c r="S80" i="16" s="1"/>
  <c r="Q122" i="16"/>
  <c r="S122" i="16" s="1"/>
  <c r="Q231" i="16"/>
  <c r="S231" i="16" s="1"/>
  <c r="Q267" i="16"/>
  <c r="S267" i="16" s="1"/>
  <c r="Q17" i="16"/>
  <c r="S17" i="16" s="1"/>
  <c r="Q97" i="16"/>
  <c r="S97" i="16" s="1"/>
  <c r="Q161" i="16"/>
  <c r="S161" i="16" s="1"/>
  <c r="Q268" i="16"/>
  <c r="S268" i="16" s="1"/>
  <c r="Q34" i="16"/>
  <c r="S34" i="16" s="1"/>
  <c r="Q106" i="16"/>
  <c r="S106" i="16" s="1"/>
  <c r="Q142" i="16"/>
  <c r="S142" i="16" s="1"/>
  <c r="Q269" i="16"/>
  <c r="S269" i="16" s="1"/>
  <c r="Q285" i="16"/>
  <c r="S285" i="16" s="1"/>
  <c r="Q143" i="16"/>
  <c r="S143" i="16" s="1"/>
  <c r="Q159" i="16"/>
  <c r="S159" i="16" s="1"/>
  <c r="Q206" i="16"/>
  <c r="S206" i="16" s="1"/>
  <c r="Q226" i="16"/>
  <c r="S226" i="16" s="1"/>
  <c r="Q234" i="16"/>
  <c r="S234" i="16" s="1"/>
  <c r="Q332" i="16"/>
  <c r="S332" i="16" s="1"/>
  <c r="Q422" i="16"/>
  <c r="S422" i="16" s="1"/>
  <c r="Q426" i="16"/>
  <c r="S426" i="16" s="1"/>
  <c r="Q458" i="16"/>
  <c r="S458" i="16" s="1"/>
  <c r="Q474" i="16"/>
  <c r="S474" i="16" s="1"/>
  <c r="Q537" i="16"/>
  <c r="S537" i="16" s="1"/>
  <c r="Q549" i="16"/>
  <c r="S549" i="16" s="1"/>
  <c r="Q584" i="16"/>
  <c r="S584" i="16" s="1"/>
  <c r="Q600" i="16"/>
  <c r="S600" i="16" s="1"/>
  <c r="Q647" i="16"/>
  <c r="S647" i="16" s="1"/>
  <c r="Q411" i="16"/>
  <c r="S411" i="16" s="1"/>
  <c r="Q538" i="16"/>
  <c r="S538" i="16" s="1"/>
  <c r="Q424" i="16"/>
  <c r="S424" i="16" s="1"/>
  <c r="Q489" i="16"/>
  <c r="S489" i="16" s="1"/>
  <c r="Q331" i="16"/>
  <c r="S331" i="16" s="1"/>
  <c r="Q354" i="16"/>
  <c r="S354" i="16" s="1"/>
  <c r="Q367" i="16"/>
  <c r="S367" i="16" s="1"/>
  <c r="Q457" i="16"/>
  <c r="S457" i="16" s="1"/>
  <c r="Q536" i="16"/>
  <c r="S536" i="16" s="1"/>
  <c r="Q583" i="16"/>
  <c r="S583" i="16" s="1"/>
  <c r="Q599" i="16"/>
  <c r="S599" i="16" s="1"/>
  <c r="Q646" i="16"/>
  <c r="S646" i="16" s="1"/>
  <c r="Q794" i="16"/>
  <c r="S794" i="16" s="1"/>
  <c r="Q854" i="16"/>
  <c r="S854" i="16" s="1"/>
  <c r="Q898" i="16"/>
  <c r="S898" i="16" s="1"/>
  <c r="Q914" i="16"/>
  <c r="S914" i="16" s="1"/>
  <c r="Q1008" i="16"/>
  <c r="S1008" i="16" s="1"/>
  <c r="Q666" i="16"/>
  <c r="S666" i="16" s="1"/>
  <c r="Q677" i="16"/>
  <c r="S677" i="16" s="1"/>
  <c r="Q708" i="16"/>
  <c r="S708" i="16" s="1"/>
  <c r="Q749" i="16"/>
  <c r="S749" i="16" s="1"/>
  <c r="Q864" i="16"/>
  <c r="S864" i="16" s="1"/>
  <c r="Q899" i="16"/>
  <c r="S899" i="16" s="1"/>
  <c r="Q915" i="16"/>
  <c r="S915" i="16" s="1"/>
  <c r="Q709" i="16"/>
  <c r="S709" i="16" s="1"/>
  <c r="Q792" i="16"/>
  <c r="S792" i="16" s="1"/>
  <c r="Q836" i="16"/>
  <c r="S836" i="16" s="1"/>
  <c r="Q710" i="16"/>
  <c r="S710" i="16" s="1"/>
  <c r="Q773" i="16"/>
  <c r="S773" i="16" s="1"/>
  <c r="Q789" i="16"/>
  <c r="S789" i="16" s="1"/>
  <c r="Q879" i="16"/>
  <c r="S879" i="16" s="1"/>
  <c r="Q981" i="16"/>
  <c r="S981" i="16" s="1"/>
  <c r="Q990" i="16"/>
  <c r="S990" i="16" s="1"/>
  <c r="Q1125" i="16"/>
  <c r="S1125" i="16" s="1"/>
  <c r="Q1154" i="16"/>
  <c r="S1154" i="16" s="1"/>
  <c r="Q1170" i="16"/>
  <c r="S1170" i="16" s="1"/>
  <c r="Q1234" i="16"/>
  <c r="S1234" i="16" s="1"/>
  <c r="Q1239" i="16"/>
  <c r="S1239" i="16" s="1"/>
  <c r="Q1282" i="16"/>
  <c r="S1282" i="16" s="1"/>
  <c r="Q1298" i="16"/>
  <c r="S1298" i="16" s="1"/>
  <c r="Q1025" i="16"/>
  <c r="S1025" i="16" s="1"/>
  <c r="Q1041" i="16"/>
  <c r="S1041" i="16" s="1"/>
  <c r="Q1112" i="16"/>
  <c r="S1112" i="16" s="1"/>
  <c r="Q1117" i="16"/>
  <c r="S1117" i="16" s="1"/>
  <c r="Q1171" i="16"/>
  <c r="S1171" i="16" s="1"/>
  <c r="Q1026" i="16"/>
  <c r="S1026" i="16" s="1"/>
  <c r="Q1042" i="16"/>
  <c r="S1042" i="16" s="1"/>
  <c r="Q1237" i="16"/>
  <c r="S1237" i="16" s="1"/>
  <c r="Q1304" i="16"/>
  <c r="S1304" i="16" s="1"/>
  <c r="Q1007" i="16"/>
  <c r="S1007" i="16" s="1"/>
  <c r="Q1110" i="16"/>
  <c r="S1110" i="16" s="1"/>
  <c r="Q1169" i="16"/>
  <c r="S1169" i="16" s="1"/>
  <c r="Q1259" i="16"/>
  <c r="S1259" i="16" s="1"/>
  <c r="Q1297" i="16"/>
  <c r="S1297" i="16" s="1"/>
  <c r="Q1375" i="16"/>
  <c r="S1375" i="16" s="1"/>
  <c r="Q1439" i="16"/>
  <c r="S1439" i="16" s="1"/>
  <c r="Q1474" i="16"/>
  <c r="S1474" i="16" s="1"/>
  <c r="Q1490" i="16"/>
  <c r="S1490" i="16" s="1"/>
  <c r="Q1557" i="16"/>
  <c r="S1557" i="16" s="1"/>
  <c r="Q1633" i="16"/>
  <c r="S1633" i="16" s="1"/>
  <c r="Q1763" i="16"/>
  <c r="S1763" i="16" s="1"/>
  <c r="Q1898" i="16"/>
  <c r="S1898" i="16" s="1"/>
  <c r="Q1902" i="16"/>
  <c r="S1902" i="16" s="1"/>
  <c r="Q1917" i="16"/>
  <c r="S1917" i="16" s="1"/>
  <c r="Q1966" i="16"/>
  <c r="S1966" i="16" s="1"/>
  <c r="Q2004" i="16"/>
  <c r="S2004" i="16" s="1"/>
  <c r="Q1538" i="16"/>
  <c r="S1538" i="16" s="1"/>
  <c r="Q1554" i="16"/>
  <c r="S1554" i="16" s="1"/>
  <c r="Q1601" i="16"/>
  <c r="S1601" i="16" s="1"/>
  <c r="Q1701" i="16"/>
  <c r="S1701" i="16" s="1"/>
  <c r="Q1716" i="16"/>
  <c r="S1716" i="16" s="1"/>
  <c r="Q1752" i="16"/>
  <c r="S1752" i="16" s="1"/>
  <c r="Q1756" i="16"/>
  <c r="S1756" i="16" s="1"/>
  <c r="Q1803" i="16"/>
  <c r="S1803" i="16" s="1"/>
  <c r="Q1819" i="16"/>
  <c r="S1819" i="16" s="1"/>
  <c r="Q1824" i="16"/>
  <c r="S1824" i="16" s="1"/>
  <c r="Q1832" i="16"/>
  <c r="S1832" i="16" s="1"/>
  <c r="Q1870" i="16"/>
  <c r="S1870" i="16" s="1"/>
  <c r="Q1955" i="16"/>
  <c r="S1955" i="16" s="1"/>
  <c r="Q1975" i="16"/>
  <c r="S1975" i="16" s="1"/>
  <c r="Q1409" i="16"/>
  <c r="S1409" i="16" s="1"/>
  <c r="Q1504" i="16"/>
  <c r="S1504" i="16" s="1"/>
  <c r="Q1563" i="16"/>
  <c r="S1563" i="16" s="1"/>
  <c r="Q1602" i="16"/>
  <c r="S1602" i="16" s="1"/>
  <c r="Q1631" i="16"/>
  <c r="S1631" i="16" s="1"/>
  <c r="Q1685" i="16"/>
  <c r="S1685" i="16" s="1"/>
  <c r="Q1698" i="16"/>
  <c r="S1698" i="16" s="1"/>
  <c r="Q1753" i="16"/>
  <c r="S1753" i="16" s="1"/>
  <c r="Q1968" i="16"/>
  <c r="S1968" i="16" s="1"/>
  <c r="Q1362" i="16"/>
  <c r="S1362" i="16" s="1"/>
  <c r="Q1366" i="16"/>
  <c r="S1366" i="16" s="1"/>
  <c r="Q1374" i="16"/>
  <c r="S1374" i="16" s="1"/>
  <c r="Q1410" i="16"/>
  <c r="S1410" i="16" s="1"/>
  <c r="Q1426" i="16"/>
  <c r="S1426" i="16" s="1"/>
  <c r="Q1493" i="16"/>
  <c r="S1493" i="16" s="1"/>
  <c r="Q2003" i="16"/>
  <c r="S2003" i="16" s="1"/>
  <c r="Q2002" i="16"/>
  <c r="S2002" i="16" s="1"/>
  <c r="Q2034" i="16"/>
  <c r="S2034" i="16" s="1"/>
  <c r="Q2091" i="16"/>
  <c r="S2091" i="16" s="1"/>
  <c r="Q2111" i="16"/>
  <c r="S2111" i="16" s="1"/>
  <c r="Q2100" i="16"/>
  <c r="S2100" i="16" s="1"/>
  <c r="Q2087" i="16"/>
  <c r="S2087" i="16" s="1"/>
  <c r="Q20" i="16"/>
  <c r="S20" i="16" s="1"/>
  <c r="Q53" i="16"/>
  <c r="S53" i="16" s="1"/>
  <c r="Q84" i="16"/>
  <c r="S84" i="16" s="1"/>
  <c r="Q203" i="16"/>
  <c r="S203" i="16" s="1"/>
  <c r="Q54" i="16"/>
  <c r="S54" i="16" s="1"/>
  <c r="Q137" i="16"/>
  <c r="S137" i="16" s="1"/>
  <c r="Q240" i="16"/>
  <c r="S240" i="16" s="1"/>
  <c r="Q296" i="16"/>
  <c r="S296" i="16" s="1"/>
  <c r="Q46" i="16"/>
  <c r="S46" i="16" s="1"/>
  <c r="Q150" i="16"/>
  <c r="S150" i="16" s="1"/>
  <c r="Q213" i="16"/>
  <c r="S213" i="16" s="1"/>
  <c r="Q217" i="16"/>
  <c r="S217" i="16" s="1"/>
  <c r="Q307" i="16"/>
  <c r="S307" i="16" s="1"/>
  <c r="Q75" i="16"/>
  <c r="S75" i="16" s="1"/>
  <c r="Q87" i="16"/>
  <c r="S87" i="16" s="1"/>
  <c r="Q126" i="16"/>
  <c r="S126" i="16" s="1"/>
  <c r="Q147" i="16"/>
  <c r="S147" i="16" s="1"/>
  <c r="Q155" i="16"/>
  <c r="S155" i="16" s="1"/>
  <c r="Q298" i="16"/>
  <c r="S298" i="16" s="1"/>
  <c r="Q513" i="16"/>
  <c r="S513" i="16" s="1"/>
  <c r="Q541" i="16"/>
  <c r="S541" i="16" s="1"/>
  <c r="Q651" i="16"/>
  <c r="S651" i="16" s="1"/>
  <c r="Q671" i="16"/>
  <c r="S671" i="16" s="1"/>
  <c r="Q340" i="16"/>
  <c r="S340" i="16" s="1"/>
  <c r="Q383" i="16"/>
  <c r="S383" i="16" s="1"/>
  <c r="Q419" i="16"/>
  <c r="S419" i="16" s="1"/>
  <c r="Q455" i="16"/>
  <c r="S455" i="16" s="1"/>
  <c r="Q463" i="16"/>
  <c r="S463" i="16" s="1"/>
  <c r="Q526" i="16"/>
  <c r="S526" i="16" s="1"/>
  <c r="Q593" i="16"/>
  <c r="S593" i="16" s="1"/>
  <c r="Q300" i="16"/>
  <c r="S300" i="16" s="1"/>
  <c r="Q336" i="16"/>
  <c r="S336" i="16" s="1"/>
  <c r="Q376" i="16"/>
  <c r="S376" i="16" s="1"/>
  <c r="Q388" i="16"/>
  <c r="S388" i="16" s="1"/>
  <c r="Q448" i="16"/>
  <c r="S448" i="16" s="1"/>
  <c r="Q519" i="16"/>
  <c r="S519" i="16" s="1"/>
  <c r="Q574" i="16"/>
  <c r="S574" i="16" s="1"/>
  <c r="Q342" i="16"/>
  <c r="S342" i="16" s="1"/>
  <c r="Q433" i="16"/>
  <c r="S433" i="16" s="1"/>
  <c r="Q469" i="16"/>
  <c r="S469" i="16" s="1"/>
  <c r="Q603" i="16"/>
  <c r="S603" i="16" s="1"/>
  <c r="Q654" i="16"/>
  <c r="S654" i="16" s="1"/>
  <c r="Q723" i="16"/>
  <c r="S723" i="16" s="1"/>
  <c r="Q782" i="16"/>
  <c r="S782" i="16" s="1"/>
  <c r="Q834" i="16"/>
  <c r="S834" i="16" s="1"/>
  <c r="Q863" i="16"/>
  <c r="S863" i="16" s="1"/>
  <c r="Q890" i="16"/>
  <c r="S890" i="16" s="1"/>
  <c r="Q906" i="16"/>
  <c r="S906" i="16" s="1"/>
  <c r="Q991" i="16"/>
  <c r="S991" i="16" s="1"/>
  <c r="Q597" i="16"/>
  <c r="S597" i="16" s="1"/>
  <c r="Q895" i="16"/>
  <c r="S895" i="16" s="1"/>
  <c r="Q911" i="16"/>
  <c r="S911" i="16" s="1"/>
  <c r="Q713" i="16"/>
  <c r="S713" i="16" s="1"/>
  <c r="Q717" i="16"/>
  <c r="S717" i="16" s="1"/>
  <c r="Q764" i="16"/>
  <c r="S764" i="16" s="1"/>
  <c r="Q975" i="16"/>
  <c r="S975" i="16" s="1"/>
  <c r="Q657" i="16"/>
  <c r="S657" i="16" s="1"/>
  <c r="Q739" i="16"/>
  <c r="S739" i="16" s="1"/>
  <c r="Q777" i="16"/>
  <c r="S777" i="16" s="1"/>
  <c r="Q785" i="16"/>
  <c r="S785" i="16" s="1"/>
  <c r="Q849" i="16"/>
  <c r="S849" i="16" s="1"/>
  <c r="Q870" i="16"/>
  <c r="S870" i="16" s="1"/>
  <c r="Q952" i="16"/>
  <c r="S952" i="16" s="1"/>
  <c r="Q960" i="16"/>
  <c r="S960" i="16" s="1"/>
  <c r="Q1019" i="16"/>
  <c r="S1019" i="16" s="1"/>
  <c r="Q1069" i="16"/>
  <c r="S1069" i="16" s="1"/>
  <c r="Q1166" i="16"/>
  <c r="S1166" i="16" s="1"/>
  <c r="Q1210" i="16"/>
  <c r="S1210" i="16" s="1"/>
  <c r="Q1222" i="16"/>
  <c r="S1222" i="16" s="1"/>
  <c r="Q1274" i="16"/>
  <c r="S1274" i="16" s="1"/>
  <c r="Q1302" i="16"/>
  <c r="S1302" i="16" s="1"/>
  <c r="Q1100" i="16"/>
  <c r="S1100" i="16" s="1"/>
  <c r="Q1159" i="16"/>
  <c r="S1159" i="16" s="1"/>
  <c r="Q1227" i="16"/>
  <c r="S1227" i="16" s="1"/>
  <c r="Q1279" i="16"/>
  <c r="S1279" i="16" s="1"/>
  <c r="Q1176" i="16"/>
  <c r="S1176" i="16" s="1"/>
  <c r="Q1035" i="16"/>
  <c r="S1035" i="16" s="1"/>
  <c r="Q1047" i="16"/>
  <c r="S1047" i="16" s="1"/>
  <c r="Q1102" i="16"/>
  <c r="S1102" i="16" s="1"/>
  <c r="Q1114" i="16"/>
  <c r="S1114" i="16" s="1"/>
  <c r="Q1128" i="16"/>
  <c r="S1128" i="16" s="1"/>
  <c r="Q1145" i="16"/>
  <c r="S1145" i="16" s="1"/>
  <c r="Q1233" i="16"/>
  <c r="S1233" i="16" s="1"/>
  <c r="Q1289" i="16"/>
  <c r="S1289" i="16" s="1"/>
  <c r="Q1399" i="16"/>
  <c r="S1399" i="16" s="1"/>
  <c r="Q1494" i="16"/>
  <c r="S1494" i="16" s="1"/>
  <c r="Q1553" i="16"/>
  <c r="S1553" i="16" s="1"/>
  <c r="Q1715" i="16"/>
  <c r="S1715" i="16" s="1"/>
  <c r="Q1802" i="16"/>
  <c r="S1802" i="16" s="1"/>
  <c r="Q1853" i="16"/>
  <c r="S1853" i="16" s="1"/>
  <c r="Q1877" i="16"/>
  <c r="S1877" i="16" s="1"/>
  <c r="Q1885" i="16"/>
  <c r="S1885" i="16" s="1"/>
  <c r="Q1911" i="16"/>
  <c r="S1911" i="16" s="1"/>
  <c r="Q1937" i="16"/>
  <c r="S1937" i="16" s="1"/>
  <c r="Q2012" i="16"/>
  <c r="S2012" i="16" s="1"/>
  <c r="Q2036" i="16"/>
  <c r="S2036" i="16" s="1"/>
  <c r="Q2044" i="16"/>
  <c r="S2044" i="16" s="1"/>
  <c r="Q2052" i="16"/>
  <c r="S2052" i="16" s="1"/>
  <c r="Q1364" i="16"/>
  <c r="S1364" i="16" s="1"/>
  <c r="Q1392" i="16"/>
  <c r="S1392" i="16" s="1"/>
  <c r="Q1483" i="16"/>
  <c r="S1483" i="16" s="1"/>
  <c r="Q1617" i="16"/>
  <c r="S1617" i="16" s="1"/>
  <c r="Q1668" i="16"/>
  <c r="S1668" i="16" s="1"/>
  <c r="Q1689" i="16"/>
  <c r="S1689" i="16" s="1"/>
  <c r="Q1707" i="16"/>
  <c r="S1707" i="16" s="1"/>
  <c r="Q1736" i="16"/>
  <c r="S1736" i="16" s="1"/>
  <c r="Q1930" i="16"/>
  <c r="S1930" i="16" s="1"/>
  <c r="Q1359" i="16"/>
  <c r="S1359" i="16" s="1"/>
  <c r="Q1405" i="16"/>
  <c r="S1405" i="16" s="1"/>
  <c r="Q1433" i="16"/>
  <c r="S1433" i="16" s="1"/>
  <c r="Q1437" i="16"/>
  <c r="S1437" i="16" s="1"/>
  <c r="Q1468" i="16"/>
  <c r="S1468" i="16" s="1"/>
  <c r="Q1472" i="16"/>
  <c r="S1472" i="16" s="1"/>
  <c r="Q1551" i="16"/>
  <c r="S1551" i="16" s="1"/>
  <c r="Q1567" i="16"/>
  <c r="S1567" i="16" s="1"/>
  <c r="Q1653" i="16"/>
  <c r="S1653" i="16" s="1"/>
  <c r="Q1745" i="16"/>
  <c r="S1745" i="16" s="1"/>
  <c r="Q1757" i="16"/>
  <c r="S1757" i="16" s="1"/>
  <c r="Q1774" i="16"/>
  <c r="S1774" i="16" s="1"/>
  <c r="Q1784" i="16"/>
  <c r="S1784" i="16" s="1"/>
  <c r="Q1833" i="16"/>
  <c r="S1833" i="16" s="1"/>
  <c r="Q1919" i="16"/>
  <c r="S1919" i="16" s="1"/>
  <c r="Q1964" i="16"/>
  <c r="S1964" i="16" s="1"/>
  <c r="Q1986" i="16"/>
  <c r="S1986" i="16" s="1"/>
  <c r="Q1346" i="16"/>
  <c r="S1346" i="16" s="1"/>
  <c r="Q1528" i="16"/>
  <c r="S1528" i="16" s="1"/>
  <c r="Q1595" i="16"/>
  <c r="S1595" i="16" s="1"/>
  <c r="Q1624" i="16"/>
  <c r="S1624" i="16" s="1"/>
  <c r="Q1637" i="16"/>
  <c r="S1637" i="16" s="1"/>
  <c r="Q1793" i="16"/>
  <c r="S1793" i="16" s="1"/>
  <c r="Q1797" i="16"/>
  <c r="S1797" i="16" s="1"/>
  <c r="Q1910" i="16"/>
  <c r="S1910" i="16" s="1"/>
  <c r="Q1920" i="16"/>
  <c r="S1920" i="16" s="1"/>
  <c r="Q1977" i="16"/>
  <c r="S1977" i="16" s="1"/>
  <c r="Q1987" i="16"/>
  <c r="S1987" i="16" s="1"/>
  <c r="Q2055" i="16"/>
  <c r="S2055" i="16" s="1"/>
  <c r="Q2026" i="16"/>
  <c r="S2026" i="16" s="1"/>
  <c r="Q2083" i="16"/>
  <c r="S2083" i="16" s="1"/>
  <c r="Q2101" i="16"/>
  <c r="S2101" i="16" s="1"/>
  <c r="Q2102" i="16"/>
  <c r="S2102" i="16" s="1"/>
  <c r="Q2113" i="16"/>
  <c r="S2113" i="16" s="1"/>
  <c r="Q32" i="16"/>
  <c r="S32" i="16" s="1"/>
  <c r="Q108" i="16"/>
  <c r="S108" i="16" s="1"/>
  <c r="Q283" i="16"/>
  <c r="S283" i="16" s="1"/>
  <c r="Q33" i="16"/>
  <c r="S33" i="16" s="1"/>
  <c r="Q101" i="16"/>
  <c r="S101" i="16" s="1"/>
  <c r="Q169" i="16"/>
  <c r="S169" i="16" s="1"/>
  <c r="Q177" i="16"/>
  <c r="S177" i="16" s="1"/>
  <c r="Q204" i="16"/>
  <c r="S204" i="16" s="1"/>
  <c r="Q228" i="16"/>
  <c r="S228" i="16" s="1"/>
  <c r="Q78" i="16"/>
  <c r="S78" i="16" s="1"/>
  <c r="Q124" i="16"/>
  <c r="S124" i="16" s="1"/>
  <c r="Q182" i="16"/>
  <c r="S182" i="16" s="1"/>
  <c r="Q189" i="16"/>
  <c r="S189" i="16" s="1"/>
  <c r="Q281" i="16"/>
  <c r="S281" i="16" s="1"/>
  <c r="Q15" i="16"/>
  <c r="S15" i="16" s="1"/>
  <c r="Q43" i="16"/>
  <c r="S43" i="16" s="1"/>
  <c r="Q247" i="16"/>
  <c r="S247" i="16" s="1"/>
  <c r="Q266" i="16"/>
  <c r="S266" i="16" s="1"/>
  <c r="Q282" i="16"/>
  <c r="S282" i="16" s="1"/>
  <c r="Q347" i="16"/>
  <c r="S347" i="16" s="1"/>
  <c r="Q368" i="16"/>
  <c r="S368" i="16" s="1"/>
  <c r="Q505" i="16"/>
  <c r="S505" i="16" s="1"/>
  <c r="Q521" i="16"/>
  <c r="S521" i="16" s="1"/>
  <c r="Q580" i="16"/>
  <c r="S580" i="16" s="1"/>
  <c r="Q604" i="16"/>
  <c r="S604" i="16" s="1"/>
  <c r="Q375" i="16"/>
  <c r="S375" i="16" s="1"/>
  <c r="Q501" i="16"/>
  <c r="S501" i="16" s="1"/>
  <c r="Q542" i="16"/>
  <c r="S542" i="16" s="1"/>
  <c r="Q392" i="16"/>
  <c r="S392" i="16" s="1"/>
  <c r="Q412" i="16"/>
  <c r="S412" i="16" s="1"/>
  <c r="Q480" i="16"/>
  <c r="S480" i="16" s="1"/>
  <c r="Q485" i="16"/>
  <c r="S485" i="16" s="1"/>
  <c r="Q555" i="16"/>
  <c r="S555" i="16" s="1"/>
  <c r="Q559" i="16"/>
  <c r="S559" i="16" s="1"/>
  <c r="Q359" i="16"/>
  <c r="S359" i="16" s="1"/>
  <c r="Q393" i="16"/>
  <c r="S393" i="16" s="1"/>
  <c r="Q417" i="16"/>
  <c r="S417" i="16" s="1"/>
  <c r="Q684" i="16"/>
  <c r="S684" i="16" s="1"/>
  <c r="Q736" i="16"/>
  <c r="S736" i="16" s="1"/>
  <c r="Q822" i="16"/>
  <c r="S822" i="16" s="1"/>
  <c r="Q875" i="16"/>
  <c r="S875" i="16" s="1"/>
  <c r="Q930" i="16"/>
  <c r="S930" i="16" s="1"/>
  <c r="Q1004" i="16"/>
  <c r="S1004" i="16" s="1"/>
  <c r="Q614" i="16"/>
  <c r="S614" i="16" s="1"/>
  <c r="Q645" i="16"/>
  <c r="S645" i="16" s="1"/>
  <c r="Q681" i="16"/>
  <c r="S681" i="16" s="1"/>
  <c r="Q685" i="16"/>
  <c r="S685" i="16" s="1"/>
  <c r="Q724" i="16"/>
  <c r="S724" i="16" s="1"/>
  <c r="Q741" i="16"/>
  <c r="S741" i="16" s="1"/>
  <c r="Q799" i="16"/>
  <c r="S799" i="16" s="1"/>
  <c r="Q807" i="16"/>
  <c r="S807" i="16" s="1"/>
  <c r="Q816" i="16"/>
  <c r="S816" i="16" s="1"/>
  <c r="Q839" i="16"/>
  <c r="S839" i="16" s="1"/>
  <c r="Q859" i="16"/>
  <c r="S859" i="16" s="1"/>
  <c r="Q919" i="16"/>
  <c r="S919" i="16" s="1"/>
  <c r="Q996" i="16"/>
  <c r="S996" i="16" s="1"/>
  <c r="Q618" i="16"/>
  <c r="S618" i="16" s="1"/>
  <c r="Q746" i="16"/>
  <c r="S746" i="16" s="1"/>
  <c r="Q963" i="16"/>
  <c r="S963" i="16" s="1"/>
  <c r="Q809" i="16"/>
  <c r="S809" i="16" s="1"/>
  <c r="Q933" i="16"/>
  <c r="S933" i="16" s="1"/>
  <c r="Q942" i="16"/>
  <c r="S942" i="16" s="1"/>
  <c r="Q1002" i="16"/>
  <c r="S1002" i="16" s="1"/>
  <c r="Q1014" i="16"/>
  <c r="S1014" i="16" s="1"/>
  <c r="Q1120" i="16"/>
  <c r="S1120" i="16" s="1"/>
  <c r="Q1182" i="16"/>
  <c r="S1182" i="16" s="1"/>
  <c r="Q1194" i="16"/>
  <c r="S1194" i="16" s="1"/>
  <c r="Q1333" i="16"/>
  <c r="S1333" i="16" s="1"/>
  <c r="Q1349" i="16"/>
  <c r="S1349" i="16" s="1"/>
  <c r="Q1029" i="16"/>
  <c r="S1029" i="16" s="1"/>
  <c r="Q1092" i="16"/>
  <c r="S1092" i="16" s="1"/>
  <c r="Q1130" i="16"/>
  <c r="S1130" i="16" s="1"/>
  <c r="Q1240" i="16"/>
  <c r="S1240" i="16" s="1"/>
  <c r="Q1253" i="16"/>
  <c r="S1253" i="16" s="1"/>
  <c r="Q1140" i="16"/>
  <c r="S1140" i="16" s="1"/>
  <c r="Q1172" i="16"/>
  <c r="S1172" i="16" s="1"/>
  <c r="Q1246" i="16"/>
  <c r="S1246" i="16" s="1"/>
  <c r="Q1268" i="16"/>
  <c r="S1268" i="16" s="1"/>
  <c r="Q1322" i="16"/>
  <c r="S1322" i="16" s="1"/>
  <c r="Q1326" i="16"/>
  <c r="S1326" i="16" s="1"/>
  <c r="Q1055" i="16"/>
  <c r="S1055" i="16" s="1"/>
  <c r="Q1067" i="16"/>
  <c r="S1067" i="16" s="1"/>
  <c r="Q1078" i="16"/>
  <c r="S1078" i="16" s="1"/>
  <c r="Q1247" i="16"/>
  <c r="S1247" i="16" s="1"/>
  <c r="Q1318" i="16"/>
  <c r="S1318" i="16" s="1"/>
  <c r="Q1380" i="16"/>
  <c r="S1380" i="16" s="1"/>
  <c r="Q1395" i="16"/>
  <c r="S1395" i="16" s="1"/>
  <c r="Q1411" i="16"/>
  <c r="S1411" i="16" s="1"/>
  <c r="Q1431" i="16"/>
  <c r="S1431" i="16" s="1"/>
  <c r="Q1502" i="16"/>
  <c r="S1502" i="16" s="1"/>
  <c r="Q1569" i="16"/>
  <c r="S1569" i="16" s="1"/>
  <c r="Q1638" i="16"/>
  <c r="S1638" i="16" s="1"/>
  <c r="Q1671" i="16"/>
  <c r="S1671" i="16" s="1"/>
  <c r="Q1759" i="16"/>
  <c r="S1759" i="16" s="1"/>
  <c r="Q1772" i="16"/>
  <c r="S1772" i="16" s="1"/>
  <c r="Q1857" i="16"/>
  <c r="S1857" i="16" s="1"/>
  <c r="Q1873" i="16"/>
  <c r="S1873" i="16" s="1"/>
  <c r="Q1992" i="16"/>
  <c r="S1992" i="16" s="1"/>
  <c r="Q2008" i="16"/>
  <c r="S2008" i="16" s="1"/>
  <c r="Q1448" i="16"/>
  <c r="S1448" i="16" s="1"/>
  <c r="Q1459" i="16"/>
  <c r="S1459" i="16" s="1"/>
  <c r="Q1495" i="16"/>
  <c r="S1495" i="16" s="1"/>
  <c r="Q1542" i="16"/>
  <c r="S1542" i="16" s="1"/>
  <c r="Q1570" i="16"/>
  <c r="S1570" i="16" s="1"/>
  <c r="Q1589" i="16"/>
  <c r="S1589" i="16" s="1"/>
  <c r="Q1656" i="16"/>
  <c r="S1656" i="16" s="1"/>
  <c r="Q1693" i="16"/>
  <c r="S1693" i="16" s="1"/>
  <c r="Q1807" i="16"/>
  <c r="S1807" i="16" s="1"/>
  <c r="Q1837" i="16"/>
  <c r="S1837" i="16" s="1"/>
  <c r="Q1899" i="16"/>
  <c r="S1899" i="16" s="1"/>
  <c r="Q1938" i="16"/>
  <c r="S1938" i="16" s="1"/>
  <c r="Q1369" i="16"/>
  <c r="S1369" i="16" s="1"/>
  <c r="Q1590" i="16"/>
  <c r="S1590" i="16" s="1"/>
  <c r="Q1645" i="16"/>
  <c r="S1645" i="16" s="1"/>
  <c r="Q1741" i="16"/>
  <c r="S1741" i="16" s="1"/>
  <c r="Q1825" i="16"/>
  <c r="S1825" i="16" s="1"/>
  <c r="Q1956" i="16"/>
  <c r="S1956" i="16" s="1"/>
  <c r="Q1497" i="16"/>
  <c r="S1497" i="16" s="1"/>
  <c r="Q1556" i="16"/>
  <c r="S1556" i="16" s="1"/>
  <c r="Q1670" i="16"/>
  <c r="S1670" i="16" s="1"/>
  <c r="Q1722" i="16"/>
  <c r="S1722" i="16" s="1"/>
  <c r="Q1822" i="16"/>
  <c r="S1822" i="16" s="1"/>
  <c r="Q1905" i="16"/>
  <c r="S1905" i="16" s="1"/>
  <c r="Q1924" i="16"/>
  <c r="S1924" i="16" s="1"/>
  <c r="Q1973" i="16"/>
  <c r="S1973" i="16" s="1"/>
  <c r="Q1991" i="16"/>
  <c r="S1991" i="16" s="1"/>
  <c r="Q2103" i="16"/>
  <c r="S2103" i="16" s="1"/>
  <c r="Q2048" i="16"/>
  <c r="S2048" i="16" s="1"/>
  <c r="Q2057" i="16"/>
  <c r="S2057" i="16" s="1"/>
  <c r="Q2072" i="16"/>
  <c r="S2072" i="16" s="1"/>
  <c r="Q2073" i="16"/>
  <c r="S2073" i="16" s="1"/>
  <c r="Q57" i="16"/>
  <c r="S57" i="16" s="1"/>
  <c r="Q113" i="16"/>
  <c r="S113" i="16" s="1"/>
  <c r="Q176" i="16"/>
  <c r="S176" i="16" s="1"/>
  <c r="Q180" i="16"/>
  <c r="S180" i="16" s="1"/>
  <c r="Q235" i="16"/>
  <c r="S235" i="16" s="1"/>
  <c r="Q77" i="16"/>
  <c r="S77" i="16" s="1"/>
  <c r="Q141" i="16"/>
  <c r="S141" i="16" s="1"/>
  <c r="Q244" i="16"/>
  <c r="S244" i="16" s="1"/>
  <c r="Q14" i="16"/>
  <c r="S14" i="16" s="1"/>
  <c r="Q119" i="16"/>
  <c r="S119" i="16" s="1"/>
  <c r="Q178" i="16"/>
  <c r="S178" i="16" s="1"/>
  <c r="Q225" i="16"/>
  <c r="S225" i="16" s="1"/>
  <c r="Q241" i="16"/>
  <c r="S241" i="16" s="1"/>
  <c r="Q265" i="16"/>
  <c r="S265" i="16" s="1"/>
  <c r="Q289" i="16"/>
  <c r="S289" i="16" s="1"/>
  <c r="Q329" i="16"/>
  <c r="S329" i="16" s="1"/>
  <c r="Q35" i="16"/>
  <c r="S35" i="16" s="1"/>
  <c r="Q52" i="16"/>
  <c r="S52" i="16" s="1"/>
  <c r="Q107" i="16"/>
  <c r="S107" i="16" s="1"/>
  <c r="Q330" i="16"/>
  <c r="S330" i="16" s="1"/>
  <c r="Q306" i="16"/>
  <c r="S306" i="16" s="1"/>
  <c r="Q410" i="16"/>
  <c r="S410" i="16" s="1"/>
  <c r="Q478" i="16"/>
  <c r="S478" i="16" s="1"/>
  <c r="Q365" i="16"/>
  <c r="S365" i="16" s="1"/>
  <c r="Q423" i="16"/>
  <c r="S423" i="16" s="1"/>
  <c r="Q427" i="16"/>
  <c r="S427" i="16" s="1"/>
  <c r="Q467" i="16"/>
  <c r="S467" i="16" s="1"/>
  <c r="Q569" i="16"/>
  <c r="S569" i="16" s="1"/>
  <c r="Q585" i="16"/>
  <c r="S585" i="16" s="1"/>
  <c r="Q310" i="16"/>
  <c r="S310" i="16" s="1"/>
  <c r="Q353" i="16"/>
  <c r="S353" i="16" s="1"/>
  <c r="Q476" i="16"/>
  <c r="S476" i="16" s="1"/>
  <c r="Q523" i="16"/>
  <c r="S523" i="16" s="1"/>
  <c r="Q539" i="16"/>
  <c r="S539" i="16" s="1"/>
  <c r="Q606" i="16"/>
  <c r="S606" i="16" s="1"/>
  <c r="Q623" i="16"/>
  <c r="S623" i="16" s="1"/>
  <c r="Q633" i="16"/>
  <c r="S633" i="16" s="1"/>
  <c r="Q425" i="16"/>
  <c r="S425" i="16" s="1"/>
  <c r="Q486" i="16"/>
  <c r="S486" i="16" s="1"/>
  <c r="Q548" i="16"/>
  <c r="S548" i="16" s="1"/>
  <c r="Q556" i="16"/>
  <c r="S556" i="16" s="1"/>
  <c r="Q665" i="16"/>
  <c r="S665" i="16" s="1"/>
  <c r="Q680" i="16"/>
  <c r="S680" i="16" s="1"/>
  <c r="Q758" i="16"/>
  <c r="S758" i="16" s="1"/>
  <c r="Q802" i="16"/>
  <c r="S802" i="16" s="1"/>
  <c r="Q810" i="16"/>
  <c r="S810" i="16" s="1"/>
  <c r="Q838" i="16"/>
  <c r="S838" i="16" s="1"/>
  <c r="Q696" i="16"/>
  <c r="S696" i="16" s="1"/>
  <c r="Q795" i="16"/>
  <c r="S795" i="16" s="1"/>
  <c r="Q927" i="16"/>
  <c r="S927" i="16" s="1"/>
  <c r="Q983" i="16"/>
  <c r="S983" i="16" s="1"/>
  <c r="Q992" i="16"/>
  <c r="S992" i="16" s="1"/>
  <c r="Q682" i="16"/>
  <c r="S682" i="16" s="1"/>
  <c r="Q697" i="16"/>
  <c r="S697" i="16" s="1"/>
  <c r="Q756" i="16"/>
  <c r="S756" i="16" s="1"/>
  <c r="Q856" i="16"/>
  <c r="S856" i="16" s="1"/>
  <c r="Q860" i="16"/>
  <c r="S860" i="16" s="1"/>
  <c r="Q932" i="16"/>
  <c r="S932" i="16" s="1"/>
  <c r="Q984" i="16"/>
  <c r="S984" i="16" s="1"/>
  <c r="Q731" i="16"/>
  <c r="S731" i="16" s="1"/>
  <c r="Q874" i="16"/>
  <c r="S874" i="16" s="1"/>
  <c r="Q885" i="16"/>
  <c r="S885" i="16" s="1"/>
  <c r="Q901" i="16"/>
  <c r="S901" i="16" s="1"/>
  <c r="Q1009" i="16"/>
  <c r="S1009" i="16" s="1"/>
  <c r="Q1028" i="16"/>
  <c r="S1028" i="16" s="1"/>
  <c r="Q1056" i="16"/>
  <c r="S1056" i="16" s="1"/>
  <c r="Q1091" i="16"/>
  <c r="S1091" i="16" s="1"/>
  <c r="Q1320" i="16"/>
  <c r="S1320" i="16" s="1"/>
  <c r="Q1061" i="16"/>
  <c r="S1061" i="16" s="1"/>
  <c r="Q1076" i="16"/>
  <c r="S1076" i="16" s="1"/>
  <c r="Q1155" i="16"/>
  <c r="S1155" i="16" s="1"/>
  <c r="Q1187" i="16"/>
  <c r="S1187" i="16" s="1"/>
  <c r="Q1203" i="16"/>
  <c r="S1203" i="16" s="1"/>
  <c r="Q1219" i="16"/>
  <c r="S1219" i="16" s="1"/>
  <c r="Q1267" i="16"/>
  <c r="S1267" i="16" s="1"/>
  <c r="Q1077" i="16"/>
  <c r="S1077" i="16" s="1"/>
  <c r="Q1188" i="16"/>
  <c r="S1188" i="16" s="1"/>
  <c r="Q1254" i="16"/>
  <c r="S1254" i="16" s="1"/>
  <c r="Q1258" i="16"/>
  <c r="S1258" i="16" s="1"/>
  <c r="Q1331" i="16"/>
  <c r="S1331" i="16" s="1"/>
  <c r="Q1013" i="16"/>
  <c r="S1013" i="16" s="1"/>
  <c r="Q1137" i="16"/>
  <c r="S1137" i="16" s="1"/>
  <c r="Q1193" i="16"/>
  <c r="S1193" i="16" s="1"/>
  <c r="Q1313" i="16"/>
  <c r="S1313" i="16" s="1"/>
  <c r="Q1327" i="16"/>
  <c r="S1327" i="16" s="1"/>
  <c r="Q1332" i="16"/>
  <c r="S1332" i="16" s="1"/>
  <c r="Q1384" i="16"/>
  <c r="S1384" i="16" s="1"/>
  <c r="Q1443" i="16"/>
  <c r="S1443" i="16" s="1"/>
  <c r="Q1447" i="16"/>
  <c r="S1447" i="16" s="1"/>
  <c r="Q1478" i="16"/>
  <c r="S1478" i="16" s="1"/>
  <c r="Q1541" i="16"/>
  <c r="S1541" i="16" s="1"/>
  <c r="Q1655" i="16"/>
  <c r="S1655" i="16" s="1"/>
  <c r="Q1755" i="16"/>
  <c r="S1755" i="16" s="1"/>
  <c r="Q1790" i="16"/>
  <c r="S1790" i="16" s="1"/>
  <c r="Q1806" i="16"/>
  <c r="S1806" i="16" s="1"/>
  <c r="Q1970" i="16"/>
  <c r="S1970" i="16" s="1"/>
  <c r="Q2056" i="16"/>
  <c r="S2056" i="16" s="1"/>
  <c r="Q1372" i="16"/>
  <c r="S1372" i="16" s="1"/>
  <c r="Q1440" i="16"/>
  <c r="S1440" i="16" s="1"/>
  <c r="Q1648" i="16"/>
  <c r="S1648" i="16" s="1"/>
  <c r="Q1711" i="16"/>
  <c r="S1711" i="16" s="1"/>
  <c r="Q1740" i="16"/>
  <c r="S1740" i="16" s="1"/>
  <c r="Q1760" i="16"/>
  <c r="S1760" i="16" s="1"/>
  <c r="Q1959" i="16"/>
  <c r="S1959" i="16" s="1"/>
  <c r="Q1449" i="16"/>
  <c r="S1449" i="16" s="1"/>
  <c r="Q1492" i="16"/>
  <c r="S1492" i="16" s="1"/>
  <c r="Q1523" i="16"/>
  <c r="S1523" i="16" s="1"/>
  <c r="Q1649" i="16"/>
  <c r="S1649" i="16" s="1"/>
  <c r="Q1690" i="16"/>
  <c r="S1690" i="16" s="1"/>
  <c r="Q1721" i="16"/>
  <c r="S1721" i="16" s="1"/>
  <c r="Q1855" i="16"/>
  <c r="S1855" i="16" s="1"/>
  <c r="Q1891" i="16"/>
  <c r="S1891" i="16" s="1"/>
  <c r="Q1976" i="16"/>
  <c r="S1976" i="16" s="1"/>
  <c r="Q1477" i="16"/>
  <c r="S1477" i="16" s="1"/>
  <c r="Q1513" i="16"/>
  <c r="S1513" i="16" s="1"/>
  <c r="Q1540" i="16"/>
  <c r="S1540" i="16" s="1"/>
  <c r="Q1572" i="16"/>
  <c r="S1572" i="16" s="1"/>
  <c r="Q1603" i="16"/>
  <c r="S1603" i="16" s="1"/>
  <c r="Q1632" i="16"/>
  <c r="S1632" i="16" s="1"/>
  <c r="Q1687" i="16"/>
  <c r="S1687" i="16" s="1"/>
  <c r="Q1789" i="16"/>
  <c r="S1789" i="16" s="1"/>
  <c r="Q1826" i="16"/>
  <c r="S1826" i="16" s="1"/>
  <c r="Q1856" i="16"/>
  <c r="S1856" i="16" s="1"/>
  <c r="Q1872" i="16"/>
  <c r="S1872" i="16" s="1"/>
  <c r="Q1965" i="16"/>
  <c r="S1965" i="16" s="1"/>
  <c r="Q2095" i="16"/>
  <c r="S2095" i="16" s="1"/>
  <c r="Q1989" i="16"/>
  <c r="S1989" i="16" s="1"/>
  <c r="Q2037" i="16"/>
  <c r="S2037" i="16" s="1"/>
  <c r="Q1990" i="16"/>
  <c r="S1990" i="16" s="1"/>
  <c r="Q2041" i="16"/>
  <c r="S2041" i="16" s="1"/>
  <c r="Q2090" i="16"/>
  <c r="S2090" i="16" s="1"/>
  <c r="Q2094" i="16"/>
  <c r="S2094" i="16" s="1"/>
  <c r="Q40" i="16"/>
  <c r="S40" i="16" s="1"/>
  <c r="Q104" i="16"/>
  <c r="S104" i="16" s="1"/>
  <c r="Q144" i="16"/>
  <c r="S144" i="16" s="1"/>
  <c r="Q255" i="16"/>
  <c r="S255" i="16" s="1"/>
  <c r="Q41" i="16"/>
  <c r="S41" i="16" s="1"/>
  <c r="Q50" i="16"/>
  <c r="S50" i="16" s="1"/>
  <c r="Q129" i="16"/>
  <c r="S129" i="16" s="1"/>
  <c r="Q208" i="16"/>
  <c r="S208" i="16" s="1"/>
  <c r="Q250" i="16"/>
  <c r="S250" i="16" s="1"/>
  <c r="Q102" i="16"/>
  <c r="S102" i="16" s="1"/>
  <c r="Q166" i="16"/>
  <c r="S166" i="16" s="1"/>
  <c r="Q301" i="16"/>
  <c r="S301" i="16" s="1"/>
  <c r="Q311" i="16"/>
  <c r="S311" i="16" s="1"/>
  <c r="Q31" i="16"/>
  <c r="S31" i="16" s="1"/>
  <c r="Q112" i="16"/>
  <c r="S112" i="16" s="1"/>
  <c r="Q116" i="16"/>
  <c r="S116" i="16" s="1"/>
  <c r="Q167" i="16"/>
  <c r="S167" i="16" s="1"/>
  <c r="Q230" i="16"/>
  <c r="S230" i="16" s="1"/>
  <c r="Q238" i="16"/>
  <c r="S238" i="16" s="1"/>
  <c r="Q308" i="16"/>
  <c r="S308" i="16" s="1"/>
  <c r="Q356" i="16"/>
  <c r="S356" i="16" s="1"/>
  <c r="Q378" i="16"/>
  <c r="S378" i="16" s="1"/>
  <c r="Q491" i="16"/>
  <c r="S491" i="16" s="1"/>
  <c r="Q553" i="16"/>
  <c r="S553" i="16" s="1"/>
  <c r="Q617" i="16"/>
  <c r="S617" i="16" s="1"/>
  <c r="Q522" i="16"/>
  <c r="S522" i="16" s="1"/>
  <c r="Q554" i="16"/>
  <c r="S554" i="16" s="1"/>
  <c r="Q558" i="16"/>
  <c r="S558" i="16" s="1"/>
  <c r="Q349" i="16"/>
  <c r="S349" i="16" s="1"/>
  <c r="Q396" i="16"/>
  <c r="S396" i="16" s="1"/>
  <c r="Q428" i="16"/>
  <c r="S428" i="16" s="1"/>
  <c r="Q460" i="16"/>
  <c r="S460" i="16" s="1"/>
  <c r="Q497" i="16"/>
  <c r="S497" i="16" s="1"/>
  <c r="Q619" i="16"/>
  <c r="S619" i="16" s="1"/>
  <c r="Q377" i="16"/>
  <c r="S377" i="16" s="1"/>
  <c r="Q429" i="16"/>
  <c r="S429" i="16" s="1"/>
  <c r="Q439" i="16"/>
  <c r="S439" i="16" s="1"/>
  <c r="Q504" i="16"/>
  <c r="S504" i="16" s="1"/>
  <c r="Q616" i="16"/>
  <c r="S616" i="16" s="1"/>
  <c r="Q610" i="16"/>
  <c r="S610" i="16" s="1"/>
  <c r="Q695" i="16"/>
  <c r="S695" i="16" s="1"/>
  <c r="Q727" i="16"/>
  <c r="S727" i="16" s="1"/>
  <c r="Q806" i="16"/>
  <c r="S806" i="16" s="1"/>
  <c r="Q871" i="16"/>
  <c r="S871" i="16" s="1"/>
  <c r="Q995" i="16"/>
  <c r="S995" i="16" s="1"/>
  <c r="Q1012" i="16"/>
  <c r="S1012" i="16" s="1"/>
  <c r="Q632" i="16"/>
  <c r="S632" i="16" s="1"/>
  <c r="Q692" i="16"/>
  <c r="S692" i="16" s="1"/>
  <c r="Q745" i="16"/>
  <c r="S745" i="16" s="1"/>
  <c r="Q868" i="16"/>
  <c r="S868" i="16" s="1"/>
  <c r="Q923" i="16"/>
  <c r="S923" i="16" s="1"/>
  <c r="Q945" i="16"/>
  <c r="S945" i="16" s="1"/>
  <c r="Q1001" i="16"/>
  <c r="S1001" i="16" s="1"/>
  <c r="Q808" i="16"/>
  <c r="S808" i="16" s="1"/>
  <c r="Q869" i="16"/>
  <c r="S869" i="16" s="1"/>
  <c r="Q900" i="16"/>
  <c r="S900" i="16" s="1"/>
  <c r="Q679" i="16"/>
  <c r="S679" i="16" s="1"/>
  <c r="Q690" i="16"/>
  <c r="S690" i="16" s="1"/>
  <c r="Q757" i="16"/>
  <c r="S757" i="16" s="1"/>
  <c r="Q797" i="16"/>
  <c r="S797" i="16" s="1"/>
  <c r="Q837" i="16"/>
  <c r="S837" i="16" s="1"/>
  <c r="Q925" i="16"/>
  <c r="S925" i="16" s="1"/>
  <c r="Q994" i="16"/>
  <c r="S994" i="16" s="1"/>
  <c r="Q998" i="16"/>
  <c r="S998" i="16" s="1"/>
  <c r="Q1060" i="16"/>
  <c r="S1060" i="16" s="1"/>
  <c r="Q1064" i="16"/>
  <c r="S1064" i="16" s="1"/>
  <c r="Q1075" i="16"/>
  <c r="S1075" i="16" s="1"/>
  <c r="Q1129" i="16"/>
  <c r="S1129" i="16" s="1"/>
  <c r="Q1178" i="16"/>
  <c r="S1178" i="16" s="1"/>
  <c r="Q1261" i="16"/>
  <c r="S1261" i="16" s="1"/>
  <c r="Q1314" i="16"/>
  <c r="S1314" i="16" s="1"/>
  <c r="Q1328" i="16"/>
  <c r="S1328" i="16" s="1"/>
  <c r="Q1108" i="16"/>
  <c r="S1108" i="16" s="1"/>
  <c r="Q1139" i="16"/>
  <c r="S1139" i="16" s="1"/>
  <c r="Q1299" i="16"/>
  <c r="S1299" i="16" s="1"/>
  <c r="Q1127" i="16"/>
  <c r="S1127" i="16" s="1"/>
  <c r="Q1180" i="16"/>
  <c r="S1180" i="16" s="1"/>
  <c r="Q1250" i="16"/>
  <c r="S1250" i="16" s="1"/>
  <c r="Q1284" i="16"/>
  <c r="S1284" i="16" s="1"/>
  <c r="Q1027" i="16"/>
  <c r="S1027" i="16" s="1"/>
  <c r="Q1177" i="16"/>
  <c r="S1177" i="16" s="1"/>
  <c r="Q1242" i="16"/>
  <c r="S1242" i="16" s="1"/>
  <c r="Q1251" i="16"/>
  <c r="S1251" i="16" s="1"/>
  <c r="Q1348" i="16"/>
  <c r="S1348" i="16" s="1"/>
  <c r="Q1391" i="16"/>
  <c r="S1391" i="16" s="1"/>
  <c r="Q1498" i="16"/>
  <c r="S1498" i="16" s="1"/>
  <c r="Q1577" i="16"/>
  <c r="S1577" i="16" s="1"/>
  <c r="Q1588" i="16"/>
  <c r="S1588" i="16" s="1"/>
  <c r="Q1739" i="16"/>
  <c r="S1739" i="16" s="1"/>
  <c r="Q1849" i="16"/>
  <c r="S1849" i="16" s="1"/>
  <c r="Q2028" i="16"/>
  <c r="S2028" i="16" s="1"/>
  <c r="Q1385" i="16"/>
  <c r="S1385" i="16" s="1"/>
  <c r="Q1475" i="16"/>
  <c r="S1475" i="16" s="1"/>
  <c r="Q1507" i="16"/>
  <c r="S1507" i="16" s="1"/>
  <c r="Q1562" i="16"/>
  <c r="S1562" i="16" s="1"/>
  <c r="Q1634" i="16"/>
  <c r="S1634" i="16" s="1"/>
  <c r="Q1697" i="16"/>
  <c r="S1697" i="16" s="1"/>
  <c r="Q1850" i="16"/>
  <c r="S1850" i="16" s="1"/>
  <c r="Q1903" i="16"/>
  <c r="S1903" i="16" s="1"/>
  <c r="Q1441" i="16"/>
  <c r="S1441" i="16" s="1"/>
  <c r="Q1445" i="16"/>
  <c r="S1445" i="16" s="1"/>
  <c r="Q1476" i="16"/>
  <c r="S1476" i="16" s="1"/>
  <c r="Q1539" i="16"/>
  <c r="S1539" i="16" s="1"/>
  <c r="Q1571" i="16"/>
  <c r="S1571" i="16" s="1"/>
  <c r="Q1627" i="16"/>
  <c r="S1627" i="16" s="1"/>
  <c r="Q1702" i="16"/>
  <c r="S1702" i="16" s="1"/>
  <c r="Q1820" i="16"/>
  <c r="S1820" i="16" s="1"/>
  <c r="Q1904" i="16"/>
  <c r="S1904" i="16" s="1"/>
  <c r="Q1908" i="16"/>
  <c r="S1908" i="16" s="1"/>
  <c r="Q1914" i="16"/>
  <c r="S1914" i="16" s="1"/>
  <c r="Q1972" i="16"/>
  <c r="S1972" i="16" s="1"/>
  <c r="Q1980" i="16"/>
  <c r="S1980" i="16" s="1"/>
  <c r="Q1370" i="16"/>
  <c r="S1370" i="16" s="1"/>
  <c r="Q1434" i="16"/>
  <c r="S1434" i="16" s="1"/>
  <c r="Q1442" i="16"/>
  <c r="S1442" i="16" s="1"/>
  <c r="Q1641" i="16"/>
  <c r="S1641" i="16" s="1"/>
  <c r="Q1654" i="16"/>
  <c r="S1654" i="16" s="1"/>
  <c r="Q1714" i="16"/>
  <c r="S1714" i="16" s="1"/>
  <c r="Q1771" i="16"/>
  <c r="S1771" i="16" s="1"/>
  <c r="Q1775" i="16"/>
  <c r="S1775" i="16" s="1"/>
  <c r="Q1781" i="16"/>
  <c r="S1781" i="16" s="1"/>
  <c r="Q1805" i="16"/>
  <c r="S1805" i="16" s="1"/>
  <c r="Q1961" i="16"/>
  <c r="S1961" i="16" s="1"/>
  <c r="Q1969" i="16"/>
  <c r="S1969" i="16" s="1"/>
  <c r="Q2007" i="16"/>
  <c r="S2007" i="16" s="1"/>
  <c r="Q2039" i="16"/>
  <c r="S2039" i="16" s="1"/>
  <c r="Q2043" i="16"/>
  <c r="S2043" i="16" s="1"/>
  <c r="Q2107" i="16"/>
  <c r="S2107" i="16" s="1"/>
  <c r="Q2109" i="16"/>
  <c r="S2109" i="16" s="1"/>
  <c r="Q2106" i="16"/>
  <c r="S2106" i="16" s="1"/>
  <c r="Q2114" i="16"/>
  <c r="S2114" i="16" s="1"/>
  <c r="Q44" i="16"/>
  <c r="S44" i="16" s="1"/>
  <c r="Q100" i="16"/>
  <c r="S100" i="16" s="1"/>
  <c r="Q172" i="16"/>
  <c r="S172" i="16" s="1"/>
  <c r="Q223" i="16"/>
  <c r="S223" i="16" s="1"/>
  <c r="Q243" i="16"/>
  <c r="S243" i="16" s="1"/>
  <c r="Q37" i="16"/>
  <c r="S37" i="16" s="1"/>
  <c r="Q123" i="16"/>
  <c r="S123" i="16" s="1"/>
  <c r="Q157" i="16"/>
  <c r="S157" i="16" s="1"/>
  <c r="Q284" i="16"/>
  <c r="S284" i="16" s="1"/>
  <c r="Q42" i="16"/>
  <c r="S42" i="16" s="1"/>
  <c r="Q158" i="16"/>
  <c r="S158" i="16" s="1"/>
  <c r="Q205" i="16"/>
  <c r="S205" i="16" s="1"/>
  <c r="Q233" i="16"/>
  <c r="S233" i="16" s="1"/>
  <c r="Q297" i="16"/>
  <c r="S297" i="16" s="1"/>
  <c r="Q56" i="16"/>
  <c r="S56" i="16" s="1"/>
  <c r="Q79" i="16"/>
  <c r="S79" i="16" s="1"/>
  <c r="Q120" i="16"/>
  <c r="S120" i="16" s="1"/>
  <c r="Q163" i="16"/>
  <c r="S163" i="16" s="1"/>
  <c r="Q286" i="16"/>
  <c r="S286" i="16" s="1"/>
  <c r="Q360" i="16"/>
  <c r="S360" i="16" s="1"/>
  <c r="Q394" i="16"/>
  <c r="S394" i="16" s="1"/>
  <c r="Q414" i="16"/>
  <c r="S414" i="16" s="1"/>
  <c r="Q557" i="16"/>
  <c r="S557" i="16" s="1"/>
  <c r="Q613" i="16"/>
  <c r="S613" i="16" s="1"/>
  <c r="Q663" i="16"/>
  <c r="S663" i="16" s="1"/>
  <c r="Q675" i="16"/>
  <c r="S675" i="16" s="1"/>
  <c r="Q299" i="16"/>
  <c r="S299" i="16" s="1"/>
  <c r="Q348" i="16"/>
  <c r="S348" i="16" s="1"/>
  <c r="Q395" i="16"/>
  <c r="S395" i="16" s="1"/>
  <c r="Q479" i="16"/>
  <c r="S479" i="16" s="1"/>
  <c r="Q496" i="16"/>
  <c r="S496" i="16" s="1"/>
  <c r="Q546" i="16"/>
  <c r="S546" i="16" s="1"/>
  <c r="Q581" i="16"/>
  <c r="S581" i="16" s="1"/>
  <c r="Q366" i="16"/>
  <c r="S366" i="16" s="1"/>
  <c r="Q416" i="16"/>
  <c r="S416" i="16" s="1"/>
  <c r="Q472" i="16"/>
  <c r="S472" i="16" s="1"/>
  <c r="Q582" i="16"/>
  <c r="S582" i="16" s="1"/>
  <c r="Q371" i="16"/>
  <c r="S371" i="16" s="1"/>
  <c r="Q473" i="16"/>
  <c r="S473" i="16" s="1"/>
  <c r="Q540" i="16"/>
  <c r="S540" i="16" s="1"/>
  <c r="Q565" i="16"/>
  <c r="S565" i="16" s="1"/>
  <c r="Q612" i="16"/>
  <c r="S612" i="16" s="1"/>
  <c r="Q670" i="16"/>
  <c r="S670" i="16" s="1"/>
  <c r="Q982" i="16"/>
  <c r="S982" i="16" s="1"/>
  <c r="Q787" i="16"/>
  <c r="S787" i="16" s="1"/>
  <c r="Q791" i="16"/>
  <c r="S791" i="16" s="1"/>
  <c r="Q803" i="16"/>
  <c r="S803" i="16" s="1"/>
  <c r="Q835" i="16"/>
  <c r="S835" i="16" s="1"/>
  <c r="Q851" i="16"/>
  <c r="S851" i="16" s="1"/>
  <c r="Q855" i="16"/>
  <c r="S855" i="16" s="1"/>
  <c r="Q962" i="16"/>
  <c r="S962" i="16" s="1"/>
  <c r="Q978" i="16"/>
  <c r="S978" i="16" s="1"/>
  <c r="Q725" i="16"/>
  <c r="S725" i="16" s="1"/>
  <c r="Q738" i="16"/>
  <c r="S738" i="16" s="1"/>
  <c r="Q788" i="16"/>
  <c r="S788" i="16" s="1"/>
  <c r="Q852" i="16"/>
  <c r="S852" i="16" s="1"/>
  <c r="Q896" i="16"/>
  <c r="S896" i="16" s="1"/>
  <c r="Q912" i="16"/>
  <c r="S912" i="16" s="1"/>
  <c r="Q674" i="16"/>
  <c r="S674" i="16" s="1"/>
  <c r="Q726" i="16"/>
  <c r="S726" i="16" s="1"/>
  <c r="Q735" i="16"/>
  <c r="S735" i="16" s="1"/>
  <c r="Q897" i="16"/>
  <c r="S897" i="16" s="1"/>
  <c r="Q913" i="16"/>
  <c r="S913" i="16" s="1"/>
  <c r="Q1024" i="16"/>
  <c r="S1024" i="16" s="1"/>
  <c r="Q1040" i="16"/>
  <c r="S1040" i="16" s="1"/>
  <c r="Q1044" i="16"/>
  <c r="S1044" i="16" s="1"/>
  <c r="Q1111" i="16"/>
  <c r="S1111" i="16" s="1"/>
  <c r="Q1218" i="16"/>
  <c r="S1218" i="16" s="1"/>
  <c r="Q1310" i="16"/>
  <c r="S1310" i="16" s="1"/>
  <c r="Q1324" i="16"/>
  <c r="S1324" i="16" s="1"/>
  <c r="Q1121" i="16"/>
  <c r="S1121" i="16" s="1"/>
  <c r="Q1197" i="16"/>
  <c r="S1197" i="16" s="1"/>
  <c r="Q1245" i="16"/>
  <c r="S1245" i="16" s="1"/>
  <c r="Q1262" i="16"/>
  <c r="S1262" i="16" s="1"/>
  <c r="Q1303" i="16"/>
  <c r="S1303" i="16" s="1"/>
  <c r="Q1334" i="16"/>
  <c r="S1334" i="16" s="1"/>
  <c r="Q1006" i="16"/>
  <c r="S1006" i="16" s="1"/>
  <c r="Q1118" i="16"/>
  <c r="S1118" i="16" s="1"/>
  <c r="Q1168" i="16"/>
  <c r="S1168" i="16" s="1"/>
  <c r="Q1184" i="16"/>
  <c r="S1184" i="16" s="1"/>
  <c r="Q1241" i="16"/>
  <c r="S1241" i="16" s="1"/>
  <c r="Q1296" i="16"/>
  <c r="S1296" i="16" s="1"/>
  <c r="Q1063" i="16"/>
  <c r="S1063" i="16" s="1"/>
  <c r="Q1090" i="16"/>
  <c r="S1090" i="16" s="1"/>
  <c r="Q1153" i="16"/>
  <c r="S1153" i="16" s="1"/>
  <c r="Q1525" i="16"/>
  <c r="S1525" i="16" s="1"/>
  <c r="Q1604" i="16"/>
  <c r="S1604" i="16" s="1"/>
  <c r="Q1625" i="16"/>
  <c r="S1625" i="16" s="1"/>
  <c r="Q1688" i="16"/>
  <c r="S1688" i="16" s="1"/>
  <c r="Q1692" i="16"/>
  <c r="S1692" i="16" s="1"/>
  <c r="Q1743" i="16"/>
  <c r="S1743" i="16" s="1"/>
  <c r="Q1831" i="16"/>
  <c r="S1831" i="16" s="1"/>
  <c r="Q1893" i="16"/>
  <c r="S1893" i="16" s="1"/>
  <c r="Q1925" i="16"/>
  <c r="S1925" i="16" s="1"/>
  <c r="Q1982" i="16"/>
  <c r="S1982" i="16" s="1"/>
  <c r="Q2032" i="16"/>
  <c r="S2032" i="16" s="1"/>
  <c r="Q1350" i="16"/>
  <c r="S1350" i="16" s="1"/>
  <c r="Q1432" i="16"/>
  <c r="S1432" i="16" s="1"/>
  <c r="Q1479" i="16"/>
  <c r="S1479" i="16" s="1"/>
  <c r="Q1605" i="16"/>
  <c r="S1605" i="16" s="1"/>
  <c r="Q1777" i="16"/>
  <c r="S1777" i="16" s="1"/>
  <c r="Q1828" i="16"/>
  <c r="S1828" i="16" s="1"/>
  <c r="Q1874" i="16"/>
  <c r="S1874" i="16" s="1"/>
  <c r="Q1890" i="16"/>
  <c r="S1890" i="16" s="1"/>
  <c r="Q1967" i="16"/>
  <c r="S1967" i="16" s="1"/>
  <c r="Q1971" i="16"/>
  <c r="S1971" i="16" s="1"/>
  <c r="Q1386" i="16"/>
  <c r="S1386" i="16" s="1"/>
  <c r="Q1429" i="16"/>
  <c r="S1429" i="16" s="1"/>
  <c r="Q1543" i="16"/>
  <c r="S1543" i="16" s="1"/>
  <c r="Q1555" i="16"/>
  <c r="S1555" i="16" s="1"/>
  <c r="Q1673" i="16"/>
  <c r="S1673" i="16" s="1"/>
  <c r="Q1808" i="16"/>
  <c r="S1808" i="16" s="1"/>
  <c r="Q1383" i="16"/>
  <c r="S1383" i="16" s="1"/>
  <c r="Q1438" i="16"/>
  <c r="S1438" i="16" s="1"/>
  <c r="Q1450" i="16"/>
  <c r="S1450" i="16" s="1"/>
  <c r="Q1501" i="16"/>
  <c r="S1501" i="16" s="1"/>
  <c r="Q1505" i="16"/>
  <c r="S1505" i="16" s="1"/>
  <c r="Q1509" i="16"/>
  <c r="S1509" i="16" s="1"/>
  <c r="Q1524" i="16"/>
  <c r="S1524" i="16" s="1"/>
  <c r="Q1591" i="16"/>
  <c r="S1591" i="16" s="1"/>
  <c r="Q1699" i="16"/>
  <c r="S1699" i="16" s="1"/>
  <c r="Q1742" i="16"/>
  <c r="S1742" i="16" s="1"/>
  <c r="Q1754" i="16"/>
  <c r="S1754" i="16" s="1"/>
  <c r="Q1830" i="16"/>
  <c r="S1830" i="16" s="1"/>
  <c r="Q2010" i="16"/>
  <c r="S2010" i="16" s="1"/>
  <c r="Q2042" i="16"/>
  <c r="S2042" i="16" s="1"/>
  <c r="Q2074" i="16"/>
  <c r="S2074" i="16" s="1"/>
  <c r="Q2116" i="16"/>
  <c r="S2116" i="16" s="1"/>
  <c r="Q2105" i="16"/>
  <c r="S2105" i="16" s="1"/>
  <c r="Q2093" i="16"/>
  <c r="S2093" i="16" s="1"/>
  <c r="Q2009" i="16"/>
  <c r="S2009" i="16" s="1"/>
  <c r="Q49" i="16"/>
  <c r="S49" i="16" s="1"/>
  <c r="Q63" i="16"/>
  <c r="S63" i="16" s="1"/>
  <c r="Q249" i="16"/>
  <c r="S249" i="16" s="1"/>
  <c r="Q58" i="16"/>
  <c r="S58" i="16" s="1"/>
  <c r="Q110" i="16"/>
  <c r="S110" i="16" s="1"/>
  <c r="Q173" i="16"/>
  <c r="S173" i="16" s="1"/>
  <c r="Q187" i="16"/>
  <c r="S187" i="16" s="1"/>
  <c r="Q236" i="16"/>
  <c r="S236" i="16" s="1"/>
  <c r="Q111" i="16"/>
  <c r="S111" i="16" s="1"/>
  <c r="Q115" i="16"/>
  <c r="S115" i="16" s="1"/>
  <c r="Q252" i="16"/>
  <c r="S252" i="16" s="1"/>
  <c r="Q61" i="16"/>
  <c r="S61" i="16" s="1"/>
  <c r="Q179" i="16"/>
  <c r="S179" i="16" s="1"/>
  <c r="Q190" i="16"/>
  <c r="S190" i="16" s="1"/>
  <c r="Q242" i="16"/>
  <c r="S242" i="16" s="1"/>
  <c r="Q304" i="16"/>
  <c r="S304" i="16" s="1"/>
  <c r="Q312" i="16"/>
  <c r="S312" i="16" s="1"/>
  <c r="Q430" i="16"/>
  <c r="S430" i="16" s="1"/>
  <c r="Q499" i="16"/>
  <c r="S499" i="16" s="1"/>
  <c r="Q566" i="16"/>
  <c r="S566" i="16" s="1"/>
  <c r="Q631" i="16"/>
  <c r="S631" i="16" s="1"/>
  <c r="Q357" i="16"/>
  <c r="S357" i="16" s="1"/>
  <c r="Q431" i="16"/>
  <c r="S431" i="16" s="1"/>
  <c r="Q506" i="16"/>
  <c r="S506" i="16" s="1"/>
  <c r="Q362" i="16"/>
  <c r="S362" i="16" s="1"/>
  <c r="Q370" i="16"/>
  <c r="S370" i="16" s="1"/>
  <c r="Q380" i="16"/>
  <c r="S380" i="16" s="1"/>
  <c r="Q503" i="16"/>
  <c r="S503" i="16" s="1"/>
  <c r="Q564" i="16"/>
  <c r="S564" i="16" s="1"/>
  <c r="Q629" i="16"/>
  <c r="S629" i="16" s="1"/>
  <c r="Q305" i="16"/>
  <c r="S305" i="16" s="1"/>
  <c r="Q315" i="16"/>
  <c r="S315" i="16" s="1"/>
  <c r="Q363" i="16"/>
  <c r="S363" i="16" s="1"/>
  <c r="Q481" i="16"/>
  <c r="S481" i="16" s="1"/>
  <c r="Q498" i="16"/>
  <c r="S498" i="16" s="1"/>
  <c r="Q544" i="16"/>
  <c r="S544" i="16" s="1"/>
  <c r="Q624" i="16"/>
  <c r="S624" i="16" s="1"/>
  <c r="Q691" i="16"/>
  <c r="S691" i="16" s="1"/>
  <c r="Q753" i="16"/>
  <c r="S753" i="16" s="1"/>
  <c r="Q774" i="16"/>
  <c r="S774" i="16" s="1"/>
  <c r="Q798" i="16"/>
  <c r="S798" i="16" s="1"/>
  <c r="Q815" i="16"/>
  <c r="S815" i="16" s="1"/>
  <c r="Q926" i="16"/>
  <c r="S926" i="16" s="1"/>
  <c r="Q935" i="16"/>
  <c r="S935" i="16" s="1"/>
  <c r="Q754" i="16"/>
  <c r="S754" i="16" s="1"/>
  <c r="Q876" i="16"/>
  <c r="S876" i="16" s="1"/>
  <c r="Q987" i="16"/>
  <c r="S987" i="16" s="1"/>
  <c r="Q601" i="16"/>
  <c r="S601" i="16" s="1"/>
  <c r="Q688" i="16"/>
  <c r="S688" i="16" s="1"/>
  <c r="Q693" i="16"/>
  <c r="S693" i="16" s="1"/>
  <c r="Q751" i="16"/>
  <c r="S751" i="16" s="1"/>
  <c r="Q877" i="16"/>
  <c r="S877" i="16" s="1"/>
  <c r="Q916" i="16"/>
  <c r="S916" i="16" s="1"/>
  <c r="Q924" i="16"/>
  <c r="S924" i="16" s="1"/>
  <c r="Q979" i="16"/>
  <c r="S979" i="16" s="1"/>
  <c r="Q694" i="16"/>
  <c r="S694" i="16" s="1"/>
  <c r="Q752" i="16"/>
  <c r="S752" i="16" s="1"/>
  <c r="Q814" i="16"/>
  <c r="S814" i="16" s="1"/>
  <c r="Q853" i="16"/>
  <c r="S853" i="16" s="1"/>
  <c r="Q1003" i="16"/>
  <c r="S1003" i="16" s="1"/>
  <c r="Q1052" i="16"/>
  <c r="S1052" i="16" s="1"/>
  <c r="Q1107" i="16"/>
  <c r="S1107" i="16" s="1"/>
  <c r="Q1133" i="16"/>
  <c r="S1133" i="16" s="1"/>
  <c r="Q1190" i="16"/>
  <c r="S1190" i="16" s="1"/>
  <c r="Q1244" i="16"/>
  <c r="S1244" i="16" s="1"/>
  <c r="Q989" i="16"/>
  <c r="S989" i="16" s="1"/>
  <c r="Q1134" i="16"/>
  <c r="S1134" i="16" s="1"/>
  <c r="Q1179" i="16"/>
  <c r="S1179" i="16" s="1"/>
  <c r="Q1235" i="16"/>
  <c r="S1235" i="16" s="1"/>
  <c r="Q1307" i="16"/>
  <c r="S1307" i="16" s="1"/>
  <c r="Q1325" i="16"/>
  <c r="S1325" i="16" s="1"/>
  <c r="Q1011" i="16"/>
  <c r="S1011" i="16" s="1"/>
  <c r="Q1073" i="16"/>
  <c r="S1073" i="16" s="1"/>
  <c r="Q1136" i="16"/>
  <c r="S1136" i="16" s="1"/>
  <c r="Q1264" i="16"/>
  <c r="S1264" i="16" s="1"/>
  <c r="Q1300" i="16"/>
  <c r="S1300" i="16" s="1"/>
  <c r="Q1317" i="16"/>
  <c r="S1317" i="16" s="1"/>
  <c r="Q1059" i="16"/>
  <c r="S1059" i="16" s="1"/>
  <c r="Q1181" i="16"/>
  <c r="S1181" i="16" s="1"/>
  <c r="Q1201" i="16"/>
  <c r="S1201" i="16" s="1"/>
  <c r="Q1363" i="16"/>
  <c r="S1363" i="16" s="1"/>
  <c r="Q1435" i="16"/>
  <c r="S1435" i="16" s="1"/>
  <c r="Q1451" i="16"/>
  <c r="S1451" i="16" s="1"/>
  <c r="Q1510" i="16"/>
  <c r="S1510" i="16" s="1"/>
  <c r="Q1518" i="16"/>
  <c r="S1518" i="16" s="1"/>
  <c r="Q1573" i="16"/>
  <c r="S1573" i="16" s="1"/>
  <c r="Q1621" i="16"/>
  <c r="S1621" i="16" s="1"/>
  <c r="Q1647" i="16"/>
  <c r="S1647" i="16" s="1"/>
  <c r="Q1705" i="16"/>
  <c r="S1705" i="16" s="1"/>
  <c r="Q1710" i="16"/>
  <c r="S1710" i="16" s="1"/>
  <c r="Q1782" i="16"/>
  <c r="S1782" i="16" s="1"/>
  <c r="Q1962" i="16"/>
  <c r="S1962" i="16" s="1"/>
  <c r="Q1491" i="16"/>
  <c r="S1491" i="16" s="1"/>
  <c r="Q1499" i="16"/>
  <c r="S1499" i="16" s="1"/>
  <c r="Q1574" i="16"/>
  <c r="S1574" i="16" s="1"/>
  <c r="Q1585" i="16"/>
  <c r="S1585" i="16" s="1"/>
  <c r="Q1639" i="16"/>
  <c r="S1639" i="16" s="1"/>
  <c r="Q1643" i="16"/>
  <c r="S1643" i="16" s="1"/>
  <c r="Q1783" i="16"/>
  <c r="S1783" i="16" s="1"/>
  <c r="Q1846" i="16"/>
  <c r="S1846" i="16" s="1"/>
  <c r="Q1913" i="16"/>
  <c r="S1913" i="16" s="1"/>
  <c r="Q1963" i="16"/>
  <c r="S1963" i="16" s="1"/>
  <c r="Q1979" i="16"/>
  <c r="S1979" i="16" s="1"/>
  <c r="Q1373" i="16"/>
  <c r="S1373" i="16" s="1"/>
  <c r="Q1393" i="16"/>
  <c r="S1393" i="16" s="1"/>
  <c r="Q1455" i="16"/>
  <c r="S1455" i="16" s="1"/>
  <c r="Q1713" i="16"/>
  <c r="S1713" i="16" s="1"/>
  <c r="Q1737" i="16"/>
  <c r="S1737" i="16" s="1"/>
  <c r="Q1804" i="16"/>
  <c r="S1804" i="16" s="1"/>
  <c r="Q1895" i="16"/>
  <c r="S1895" i="16" s="1"/>
  <c r="Q1387" i="16"/>
  <c r="S1387" i="16" s="1"/>
  <c r="Q1456" i="16"/>
  <c r="S1456" i="16" s="1"/>
  <c r="Q1581" i="16"/>
  <c r="S1581" i="16" s="1"/>
  <c r="Q1695" i="16"/>
  <c r="S1695" i="16" s="1"/>
  <c r="Q1738" i="16"/>
  <c r="S1738" i="16" s="1"/>
  <c r="Q1839" i="16"/>
  <c r="S1839" i="16" s="1"/>
  <c r="Q1844" i="16"/>
  <c r="S1844" i="16" s="1"/>
  <c r="Q1888" i="16"/>
  <c r="S1888" i="16" s="1"/>
  <c r="Q1916" i="16"/>
  <c r="S1916" i="16" s="1"/>
  <c r="Q1981" i="16"/>
  <c r="S1981" i="16" s="1"/>
  <c r="Q2050" i="16"/>
  <c r="S2050" i="16" s="1"/>
  <c r="Q2005" i="16"/>
  <c r="S2005" i="16" s="1"/>
  <c r="Q2029" i="16"/>
  <c r="S2029" i="16" s="1"/>
  <c r="Q2096" i="16"/>
  <c r="S2096" i="16" s="1"/>
  <c r="Q2104" i="16"/>
  <c r="S2104" i="16" s="1"/>
  <c r="Q2097" i="16"/>
  <c r="S2097" i="16" s="1"/>
  <c r="Q2115" i="16"/>
  <c r="S2115" i="16" s="1"/>
  <c r="Q48" i="16"/>
  <c r="S48" i="16" s="1"/>
  <c r="Q64" i="16"/>
  <c r="S64" i="16" s="1"/>
  <c r="Q184" i="16"/>
  <c r="S184" i="16" s="1"/>
  <c r="Q188" i="16"/>
  <c r="S188" i="16" s="1"/>
  <c r="Q248" i="16"/>
  <c r="S248" i="16" s="1"/>
  <c r="Q372" i="16"/>
  <c r="S372" i="16" s="1"/>
  <c r="Q440" i="16"/>
  <c r="S440" i="16" s="1"/>
  <c r="Q500" i="16"/>
  <c r="S500" i="16" s="1"/>
  <c r="Q568" i="16"/>
  <c r="S568" i="16" s="1"/>
  <c r="Q728" i="16"/>
  <c r="S728" i="16" s="1"/>
  <c r="Q820" i="16"/>
  <c r="S820" i="16" s="1"/>
  <c r="Q880" i="16"/>
  <c r="S880" i="16" s="1"/>
  <c r="Q944" i="16"/>
  <c r="S944" i="16" s="1"/>
  <c r="Q980" i="16"/>
  <c r="S980" i="16" s="1"/>
  <c r="Q988" i="16"/>
  <c r="S988" i="16" s="1"/>
  <c r="Q1000" i="16"/>
  <c r="S1000" i="16" s="1"/>
  <c r="Q1068" i="16"/>
  <c r="S1068" i="16" s="1"/>
  <c r="Q1072" i="16"/>
  <c r="S1072" i="16" s="1"/>
  <c r="Q1116" i="16"/>
  <c r="S1116" i="16" s="1"/>
  <c r="Q1124" i="16"/>
  <c r="S1124" i="16" s="1"/>
  <c r="Q1196" i="16"/>
  <c r="S1196" i="16" s="1"/>
  <c r="Q1200" i="16"/>
  <c r="S1200" i="16" s="1"/>
  <c r="Q1236" i="16"/>
  <c r="S1236" i="16" s="1"/>
  <c r="Q1260" i="16"/>
  <c r="S1260" i="16" s="1"/>
  <c r="Q1316" i="16"/>
  <c r="S1316" i="16" s="1"/>
  <c r="Q1388" i="16"/>
  <c r="S1388" i="16" s="1"/>
  <c r="Q1452" i="16"/>
  <c r="S1452" i="16" s="1"/>
  <c r="Q1520" i="16"/>
  <c r="S1520" i="16" s="1"/>
  <c r="Q1584" i="16"/>
  <c r="S1584" i="16" s="1"/>
  <c r="Q1620" i="16"/>
  <c r="S1620" i="16" s="1"/>
  <c r="Q1644" i="16"/>
  <c r="S1644" i="16" s="1"/>
  <c r="Q1704" i="16"/>
  <c r="S1704" i="16" s="1"/>
  <c r="Q1712" i="16"/>
  <c r="S1712" i="16" s="1"/>
  <c r="Q1780" i="16"/>
  <c r="S1780" i="16" s="1"/>
  <c r="Q1836" i="16"/>
  <c r="S1836" i="16" s="1"/>
  <c r="Q1840" i="16"/>
  <c r="S1840" i="16" s="1"/>
  <c r="Q1896" i="16"/>
  <c r="S1896" i="16" s="1"/>
  <c r="Q1912" i="16"/>
  <c r="S1912" i="16" s="1"/>
  <c r="Q1984" i="16"/>
  <c r="S1984" i="16" s="1"/>
  <c r="Q2089" i="16"/>
  <c r="S2089" i="16" s="1"/>
  <c r="Q109" i="16"/>
  <c r="S109" i="16" s="1"/>
  <c r="Q121" i="16"/>
  <c r="S121" i="16" s="1"/>
  <c r="Q125" i="16"/>
  <c r="S125" i="16" s="1"/>
  <c r="Q185" i="16"/>
  <c r="S185" i="16" s="1"/>
  <c r="Q253" i="16"/>
  <c r="S253" i="16" s="1"/>
  <c r="Q313" i="16"/>
  <c r="S313" i="16" s="1"/>
  <c r="Q437" i="16"/>
  <c r="S437" i="16" s="1"/>
  <c r="Q441" i="16"/>
  <c r="S441" i="16" s="1"/>
  <c r="Q609" i="16"/>
  <c r="S609" i="16" s="1"/>
  <c r="Q625" i="16"/>
  <c r="S625" i="16" s="1"/>
  <c r="Q689" i="16"/>
  <c r="S689" i="16" s="1"/>
  <c r="Q813" i="16"/>
  <c r="S813" i="16" s="1"/>
  <c r="Q861" i="16"/>
  <c r="S861" i="16" s="1"/>
  <c r="Q1329" i="16"/>
  <c r="S1329" i="16" s="1"/>
  <c r="Q1389" i="16"/>
  <c r="S1389" i="16" s="1"/>
  <c r="Q1457" i="16"/>
  <c r="S1457" i="16" s="1"/>
  <c r="Q1521" i="16"/>
  <c r="S1521" i="16" s="1"/>
  <c r="Q1821" i="16"/>
  <c r="S1821" i="16" s="1"/>
  <c r="Q1909" i="16"/>
  <c r="S1909" i="16" s="1"/>
  <c r="Q2045" i="16"/>
  <c r="S2045" i="16" s="1"/>
  <c r="Q2118" i="16"/>
  <c r="S2118" i="16" s="1"/>
  <c r="Q62" i="16"/>
  <c r="S62" i="16" s="1"/>
  <c r="Q246" i="16"/>
  <c r="S246" i="16" s="1"/>
  <c r="Q302" i="16"/>
  <c r="S302" i="16" s="1"/>
  <c r="Q314" i="16"/>
  <c r="S314" i="16" s="1"/>
  <c r="Q374" i="16"/>
  <c r="S374" i="16" s="1"/>
  <c r="Q502" i="16"/>
  <c r="S502" i="16" s="1"/>
  <c r="Q626" i="16"/>
  <c r="S626" i="16" s="1"/>
  <c r="Q686" i="16"/>
  <c r="S686" i="16" s="1"/>
  <c r="Q750" i="16"/>
  <c r="S750" i="16" s="1"/>
  <c r="Q818" i="16"/>
  <c r="S818" i="16" s="1"/>
  <c r="Q878" i="16"/>
  <c r="S878" i="16" s="1"/>
  <c r="Q882" i="16"/>
  <c r="S882" i="16" s="1"/>
  <c r="Q934" i="16"/>
  <c r="S934" i="16" s="1"/>
  <c r="Q946" i="16"/>
  <c r="S946" i="16" s="1"/>
  <c r="Q1070" i="16"/>
  <c r="S1070" i="16" s="1"/>
  <c r="Q1198" i="16"/>
  <c r="S1198" i="16" s="1"/>
  <c r="Q1390" i="16"/>
  <c r="S1390" i="16" s="1"/>
  <c r="Q1454" i="16"/>
  <c r="S1454" i="16" s="1"/>
  <c r="Q1582" i="16"/>
  <c r="S1582" i="16" s="1"/>
  <c r="Q1686" i="16"/>
  <c r="S1686" i="16" s="1"/>
  <c r="Q1706" i="16"/>
  <c r="S1706" i="16" s="1"/>
  <c r="Q1770" i="16"/>
  <c r="S1770" i="16" s="1"/>
  <c r="Q1778" i="16"/>
  <c r="S1778" i="16" s="1"/>
  <c r="Q1954" i="16"/>
  <c r="S1954" i="16" s="1"/>
  <c r="Q59" i="16"/>
  <c r="S59" i="16" s="1"/>
  <c r="Q127" i="16"/>
  <c r="S127" i="16" s="1"/>
  <c r="Q251" i="16"/>
  <c r="S251" i="16" s="1"/>
  <c r="Q303" i="16"/>
  <c r="S303" i="16" s="1"/>
  <c r="Q355" i="16"/>
  <c r="S355" i="16" s="1"/>
  <c r="Q435" i="16"/>
  <c r="S435" i="16" s="1"/>
  <c r="Q483" i="16"/>
  <c r="S483" i="16" s="1"/>
  <c r="Q563" i="16"/>
  <c r="S563" i="16" s="1"/>
  <c r="Q567" i="16"/>
  <c r="S567" i="16" s="1"/>
  <c r="Q687" i="16"/>
  <c r="S687" i="16" s="1"/>
  <c r="Q755" i="16"/>
  <c r="S755" i="16" s="1"/>
  <c r="Q819" i="16"/>
  <c r="S819" i="16" s="1"/>
  <c r="Q1135" i="16"/>
  <c r="S1135" i="16" s="1"/>
  <c r="Q1195" i="16"/>
  <c r="S1195" i="16" s="1"/>
  <c r="Q1243" i="16"/>
  <c r="S1243" i="16" s="1"/>
  <c r="Q1263" i="16"/>
  <c r="S1263" i="16" s="1"/>
  <c r="Q1319" i="16"/>
  <c r="S1319" i="16" s="1"/>
  <c r="Q1379" i="16"/>
  <c r="S1379" i="16" s="1"/>
  <c r="Q1519" i="16"/>
  <c r="S1519" i="16" s="1"/>
  <c r="Q1579" i="16"/>
  <c r="S1579" i="16" s="1"/>
  <c r="Q1635" i="16"/>
  <c r="S1635" i="16" s="1"/>
  <c r="Q1915" i="16"/>
  <c r="S1915" i="16" s="1"/>
  <c r="Q1983" i="16"/>
  <c r="S1983" i="16" s="1"/>
  <c r="Q2047" i="16"/>
  <c r="S2047" i="16" s="1"/>
  <c r="Q2051" i="16"/>
  <c r="S2051" i="16" s="1"/>
  <c r="Q2112" i="16"/>
  <c r="S2112" i="16" s="1"/>
  <c r="Q2046" i="16"/>
  <c r="S2046" i="16" s="1"/>
  <c r="AA12" i="1"/>
  <c r="U359" i="3" s="1"/>
  <c r="D54" i="8"/>
  <c r="U40" i="8"/>
  <c r="S387" i="3"/>
  <c r="U20" i="8"/>
  <c r="U38" i="8"/>
  <c r="D38" i="8"/>
  <c r="AA13" i="1"/>
  <c r="U385" i="3" s="1"/>
  <c r="U14" i="8"/>
  <c r="D28" i="8"/>
  <c r="U18" i="8"/>
  <c r="U24" i="8"/>
  <c r="U28" i="8"/>
  <c r="M20" i="1"/>
  <c r="X418" i="3"/>
  <c r="Z5" i="1"/>
  <c r="T386" i="3" s="1"/>
  <c r="AA17" i="1"/>
  <c r="U383" i="3" s="1"/>
  <c r="S372" i="3"/>
  <c r="V395" i="3"/>
  <c r="S358" i="3"/>
  <c r="S421" i="3"/>
  <c r="J421" i="3" s="1"/>
  <c r="S393" i="3"/>
  <c r="S360" i="3"/>
  <c r="S371" i="3"/>
  <c r="S423" i="3"/>
  <c r="S375" i="3"/>
  <c r="S408" i="3"/>
  <c r="S407" i="3"/>
  <c r="S378" i="3"/>
  <c r="S362" i="3"/>
  <c r="S374" i="3"/>
  <c r="S419" i="3"/>
  <c r="S411" i="3"/>
  <c r="J411" i="3" s="1"/>
  <c r="K20" i="1"/>
  <c r="AC10" i="1"/>
  <c r="W384" i="3" s="1"/>
  <c r="I20" i="1"/>
  <c r="G20" i="1"/>
  <c r="S4" i="1"/>
  <c r="S29" i="1" s="1"/>
  <c r="AA9" i="1"/>
  <c r="U364" i="3" s="1"/>
  <c r="E20" i="1"/>
  <c r="AA409" i="3"/>
  <c r="Z422" i="3"/>
  <c r="AC389" i="3"/>
  <c r="AB404" i="3"/>
  <c r="AA411" i="3"/>
  <c r="AA400" i="3"/>
  <c r="AC365" i="3"/>
  <c r="AC368" i="3"/>
  <c r="AD364" i="3"/>
  <c r="AC423" i="3"/>
  <c r="AD402" i="3"/>
  <c r="AB417" i="3"/>
  <c r="AC394" i="3"/>
  <c r="AA364" i="3"/>
  <c r="Z403" i="3"/>
  <c r="AA377" i="3"/>
  <c r="AD410" i="3"/>
  <c r="S398" i="3"/>
  <c r="AB17" i="1"/>
  <c r="V415" i="3" s="1"/>
  <c r="X365" i="3"/>
  <c r="C11" i="1"/>
  <c r="R11" i="1" s="1"/>
  <c r="W36" i="8" s="1"/>
  <c r="X421" i="3"/>
  <c r="C8" i="1"/>
  <c r="Z8" i="1" s="1"/>
  <c r="T360" i="3" s="1"/>
  <c r="Y416" i="3"/>
  <c r="X414" i="3"/>
  <c r="Y400" i="3"/>
  <c r="Y384" i="3"/>
  <c r="W374" i="3"/>
  <c r="AC5" i="1"/>
  <c r="W386" i="3" s="1"/>
  <c r="AC6" i="1"/>
  <c r="W414" i="3" s="1"/>
  <c r="C19" i="1"/>
  <c r="Z19" i="1" s="1"/>
  <c r="T422" i="3" s="1"/>
  <c r="AC381" i="3"/>
  <c r="AC384" i="3"/>
  <c r="AE394" i="3"/>
  <c r="AD392" i="3"/>
  <c r="AD370" i="3"/>
  <c r="AC396" i="3"/>
  <c r="AB368" i="3"/>
  <c r="AB421" i="3"/>
  <c r="AD380" i="3"/>
  <c r="AC410" i="3"/>
  <c r="AB364" i="3"/>
  <c r="Z418" i="3"/>
  <c r="Z414" i="3"/>
  <c r="Z390" i="3"/>
  <c r="Z388" i="3"/>
  <c r="Z386" i="3"/>
  <c r="AD389" i="3"/>
  <c r="AD386" i="3"/>
  <c r="AA416" i="3"/>
  <c r="AA368" i="3"/>
  <c r="S422" i="3"/>
  <c r="AB412" i="3"/>
  <c r="U37" i="8"/>
  <c r="U58" i="8"/>
  <c r="U16" i="8"/>
  <c r="D16" i="8"/>
  <c r="U43" i="8"/>
  <c r="D42" i="8"/>
  <c r="U423" i="3"/>
  <c r="AB8" i="1"/>
  <c r="V408" i="3" s="1"/>
  <c r="AB5" i="1"/>
  <c r="V370" i="3" s="1"/>
  <c r="AB14" i="1"/>
  <c r="V413" i="3" s="1"/>
  <c r="C16" i="1"/>
  <c r="Z16" i="1" s="1"/>
  <c r="T379" i="3" s="1"/>
  <c r="C4" i="1"/>
  <c r="R4" i="1" s="1"/>
  <c r="T4" i="1"/>
  <c r="T29" i="1" s="1"/>
  <c r="U11" i="8"/>
  <c r="D10" i="8"/>
  <c r="U48" i="8"/>
  <c r="D48" i="8"/>
  <c r="U44" i="8"/>
  <c r="U64" i="8"/>
  <c r="AB15" i="1"/>
  <c r="V393" i="3" s="1"/>
  <c r="AA18" i="1"/>
  <c r="U387" i="3" s="1"/>
  <c r="AD10" i="1"/>
  <c r="X368" i="3" s="1"/>
  <c r="U34" i="8"/>
  <c r="U50" i="8"/>
  <c r="AD12" i="1"/>
  <c r="X391" i="3" s="1"/>
  <c r="AA16" i="1"/>
  <c r="U363" i="3" s="1"/>
  <c r="C12" i="1"/>
  <c r="Z12" i="1" s="1"/>
  <c r="T359" i="3" s="1"/>
  <c r="C7" i="1"/>
  <c r="R7" i="1" s="1"/>
  <c r="AC404" i="3"/>
  <c r="U63" i="8"/>
  <c r="W421" i="3"/>
  <c r="U56" i="8"/>
  <c r="D56" i="8"/>
  <c r="U52" i="8"/>
  <c r="D52" i="8"/>
  <c r="AA413" i="3"/>
  <c r="S376" i="3"/>
  <c r="U4" i="8"/>
  <c r="U46" i="8"/>
  <c r="Y406" i="3"/>
  <c r="AC7" i="1"/>
  <c r="W362" i="3" s="1"/>
  <c r="AB18" i="1"/>
  <c r="V387" i="3" s="1"/>
  <c r="AB13" i="1"/>
  <c r="V417" i="3" s="1"/>
  <c r="S7" i="1"/>
  <c r="S32" i="1" s="1"/>
  <c r="U14" i="1"/>
  <c r="U39" i="1" s="1"/>
  <c r="V8" i="1"/>
  <c r="V33" i="1" s="1"/>
  <c r="W10" i="1"/>
  <c r="W35" i="1" s="1"/>
  <c r="Z389" i="3"/>
  <c r="U27" i="8"/>
  <c r="U32" i="8"/>
  <c r="U22" i="8"/>
  <c r="U8" i="8"/>
  <c r="AB423" i="3"/>
  <c r="AD388" i="3"/>
  <c r="U30" i="8"/>
  <c r="D30" i="8"/>
  <c r="U12" i="8"/>
  <c r="AC15" i="1"/>
  <c r="W423" i="3" s="1"/>
  <c r="AC12" i="1"/>
  <c r="W359" i="3" s="1"/>
  <c r="AD4" i="1"/>
  <c r="X388" i="3" s="1"/>
  <c r="AE6" i="1"/>
  <c r="Y382" i="3" s="1"/>
  <c r="S6" i="1"/>
  <c r="S31" i="1" s="1"/>
  <c r="V14" i="1"/>
  <c r="V39" i="1" s="1"/>
  <c r="AA376" i="3"/>
  <c r="S33" i="1"/>
  <c r="W364" i="3"/>
  <c r="W396" i="3"/>
  <c r="W33" i="1"/>
  <c r="V29" i="1"/>
  <c r="T31" i="1"/>
  <c r="Y380" i="3"/>
  <c r="AD7" i="1"/>
  <c r="X362" i="3" s="1"/>
  <c r="AA11" i="1"/>
  <c r="U374" i="3" s="1"/>
  <c r="AA5" i="1"/>
  <c r="U418" i="3" s="1"/>
  <c r="AC13" i="1"/>
  <c r="W417" i="3" s="1"/>
  <c r="AE398" i="3"/>
  <c r="AE362" i="3"/>
  <c r="AE367" i="3"/>
  <c r="AD404" i="3"/>
  <c r="AD398" i="3"/>
  <c r="V379" i="3"/>
  <c r="AC8" i="1"/>
  <c r="W408" i="3" s="1"/>
  <c r="AB12" i="1"/>
  <c r="V391" i="3" s="1"/>
  <c r="AC4" i="1"/>
  <c r="W372" i="3" s="1"/>
  <c r="AB6" i="1"/>
  <c r="V382" i="3" s="1"/>
  <c r="AB9" i="1"/>
  <c r="T16" i="1"/>
  <c r="T41" i="1" s="1"/>
  <c r="T10" i="1"/>
  <c r="T35" i="1" s="1"/>
  <c r="U9" i="1"/>
  <c r="U34" i="1" s="1"/>
  <c r="AB365" i="3"/>
  <c r="S395" i="3"/>
  <c r="S370" i="3"/>
  <c r="Z361" i="3"/>
  <c r="AA359" i="3"/>
  <c r="S402" i="3"/>
  <c r="Z359" i="3"/>
  <c r="AA8" i="1"/>
  <c r="U360" i="3" s="1"/>
  <c r="S14" i="1"/>
  <c r="S39" i="1" s="1"/>
  <c r="S10" i="1"/>
  <c r="S35" i="1" s="1"/>
  <c r="V6" i="1"/>
  <c r="V31" i="1" s="1"/>
  <c r="S409" i="3"/>
  <c r="S405" i="3"/>
  <c r="S382" i="3"/>
  <c r="X408" i="3"/>
  <c r="X360" i="3"/>
  <c r="X392" i="3"/>
  <c r="X386" i="3"/>
  <c r="D22" i="8"/>
  <c r="U31" i="8"/>
  <c r="D6" i="8"/>
  <c r="U6" i="8"/>
  <c r="D24" i="8"/>
  <c r="K425" i="3"/>
  <c r="K426" i="3"/>
  <c r="AC366" i="3"/>
  <c r="AC414" i="3"/>
  <c r="AE391" i="3"/>
  <c r="AE374" i="3"/>
  <c r="AE382" i="3"/>
  <c r="AA371" i="3"/>
  <c r="AA399" i="3"/>
  <c r="AD376" i="3"/>
  <c r="S385" i="3"/>
  <c r="J385" i="3" s="1"/>
  <c r="S391" i="3"/>
  <c r="AC408" i="3"/>
  <c r="AB392" i="3"/>
  <c r="AB376" i="3"/>
  <c r="AA388" i="3"/>
  <c r="AA404" i="3"/>
  <c r="Z407" i="3"/>
  <c r="Z385" i="3"/>
  <c r="S396" i="3"/>
  <c r="Z392" i="3"/>
  <c r="Z376" i="3"/>
  <c r="AC364" i="3"/>
  <c r="AD394" i="3"/>
  <c r="AC392" i="3"/>
  <c r="AB396" i="3"/>
  <c r="AE414" i="3"/>
  <c r="AD362" i="3"/>
  <c r="AE402" i="3"/>
  <c r="AC358" i="3"/>
  <c r="AB408" i="3"/>
  <c r="AB394" i="3"/>
  <c r="AB359" i="3"/>
  <c r="AA408" i="3"/>
  <c r="S389" i="3"/>
  <c r="S364" i="3"/>
  <c r="Z357" i="3"/>
  <c r="AA394" i="3"/>
  <c r="AB381" i="3"/>
  <c r="AA385" i="3"/>
  <c r="AA391" i="3"/>
  <c r="AE418" i="3"/>
  <c r="AD414" i="3"/>
  <c r="AC362" i="3"/>
  <c r="AC391" i="3"/>
  <c r="AC378" i="3"/>
  <c r="AB414" i="3"/>
  <c r="AB362" i="3"/>
  <c r="AB372" i="3"/>
  <c r="AA396" i="3"/>
  <c r="AA387" i="3"/>
  <c r="AA378" i="3"/>
  <c r="AA367" i="3"/>
  <c r="AA379" i="3"/>
  <c r="Z410" i="3"/>
  <c r="Z394" i="3"/>
  <c r="S373" i="3"/>
  <c r="S366" i="3"/>
  <c r="S365" i="3"/>
  <c r="Z362" i="3"/>
  <c r="AD384" i="3"/>
  <c r="AD358" i="3"/>
  <c r="AE410" i="3"/>
  <c r="AE378" i="3"/>
  <c r="AE376" i="3"/>
  <c r="AD418" i="3"/>
  <c r="AD412" i="3"/>
  <c r="AD378" i="3"/>
  <c r="AD367" i="3"/>
  <c r="AC383" i="3"/>
  <c r="AC372" i="3"/>
  <c r="AC370" i="3"/>
  <c r="AB382" i="3"/>
  <c r="AB386" i="3"/>
  <c r="AA405" i="3"/>
  <c r="Z415" i="3"/>
  <c r="Z405" i="3"/>
  <c r="S414" i="3"/>
  <c r="Z404" i="3"/>
  <c r="Z402" i="3"/>
  <c r="Z366" i="3"/>
  <c r="S401" i="3"/>
  <c r="Z398" i="3"/>
  <c r="Z377" i="3"/>
  <c r="S367" i="3"/>
  <c r="S357" i="3"/>
  <c r="AE359" i="3"/>
  <c r="AD372" i="3"/>
  <c r="AD382" i="3"/>
  <c r="AC407" i="3"/>
  <c r="AC398" i="3"/>
  <c r="AC376" i="3"/>
  <c r="AB407" i="3"/>
  <c r="AB397" i="3"/>
  <c r="AB380" i="3"/>
  <c r="AA380" i="3"/>
  <c r="AA370" i="3"/>
  <c r="AA361" i="3"/>
  <c r="Z419" i="3"/>
  <c r="S415" i="3"/>
  <c r="S412" i="3"/>
  <c r="S410" i="3"/>
  <c r="S403" i="3"/>
  <c r="S392" i="3"/>
  <c r="S386" i="3"/>
  <c r="S379" i="3"/>
  <c r="S377" i="3"/>
  <c r="S363" i="3"/>
  <c r="S361" i="3"/>
  <c r="AE388" i="3"/>
  <c r="AE358" i="3"/>
  <c r="AD413" i="3"/>
  <c r="AD391" i="3"/>
  <c r="AD359" i="3"/>
  <c r="AC412" i="3"/>
  <c r="AC388" i="3"/>
  <c r="AC382" i="3"/>
  <c r="AC367" i="3"/>
  <c r="AB416" i="3"/>
  <c r="AB405" i="3"/>
  <c r="AB403" i="3"/>
  <c r="AB391" i="3"/>
  <c r="AB383" i="3"/>
  <c r="AB374" i="3"/>
  <c r="AB357" i="3"/>
  <c r="AA417" i="3"/>
  <c r="AA383" i="3"/>
  <c r="AA374" i="3"/>
  <c r="AA362" i="3"/>
  <c r="S418" i="3"/>
  <c r="S399" i="3"/>
  <c r="Z395" i="3"/>
  <c r="S390" i="3"/>
  <c r="S383" i="3"/>
  <c r="Z382" i="3"/>
  <c r="Z375" i="3"/>
  <c r="Z370" i="3"/>
  <c r="Z367" i="3"/>
  <c r="Z365" i="3"/>
  <c r="D36" i="8"/>
  <c r="Y412" i="3"/>
  <c r="X402" i="3"/>
  <c r="V400" i="3"/>
  <c r="Y396" i="3"/>
  <c r="V411" i="3"/>
  <c r="W413" i="3"/>
  <c r="W397" i="3"/>
  <c r="W365" i="3"/>
  <c r="W381" i="3"/>
  <c r="U365" i="3"/>
  <c r="U397" i="3"/>
  <c r="U381" i="3"/>
  <c r="U413" i="3"/>
  <c r="X381" i="3"/>
  <c r="X413" i="3"/>
  <c r="V362" i="3"/>
  <c r="W412" i="3"/>
  <c r="W380" i="3"/>
  <c r="R15" i="1"/>
  <c r="Z15" i="1"/>
  <c r="U368" i="3"/>
  <c r="U400" i="3"/>
  <c r="U416" i="3"/>
  <c r="U384" i="3"/>
  <c r="U378" i="3"/>
  <c r="U394" i="3"/>
  <c r="U362" i="3"/>
  <c r="U410" i="3"/>
  <c r="U398" i="3"/>
  <c r="U414" i="3"/>
  <c r="U382" i="3"/>
  <c r="U366" i="3"/>
  <c r="V356" i="3"/>
  <c r="V372" i="3"/>
  <c r="V404" i="3"/>
  <c r="V388" i="3"/>
  <c r="X382" i="3"/>
  <c r="X398" i="3"/>
  <c r="U356" i="3"/>
  <c r="U388" i="3"/>
  <c r="U372" i="3"/>
  <c r="U404" i="3"/>
  <c r="V416" i="3"/>
  <c r="V384" i="3"/>
  <c r="S30" i="1"/>
  <c r="V30" i="1"/>
  <c r="AB11" i="1"/>
  <c r="AE5" i="1"/>
  <c r="AD9" i="1"/>
  <c r="C18" i="1"/>
  <c r="C14" i="1"/>
  <c r="C10" i="1"/>
  <c r="C6" i="1"/>
  <c r="U11" i="1"/>
  <c r="C17" i="1"/>
  <c r="C13" i="1"/>
  <c r="C9" i="1"/>
  <c r="V378" i="3" l="1"/>
  <c r="E3" i="17"/>
  <c r="C3" i="17" s="1"/>
  <c r="R383" i="3" s="1"/>
  <c r="H383" i="3" s="1"/>
  <c r="Y394" i="3"/>
  <c r="U377" i="3"/>
  <c r="Y388" i="3"/>
  <c r="Y390" i="3"/>
  <c r="J390" i="3" s="1"/>
  <c r="Y374" i="3"/>
  <c r="J374" i="3" s="1"/>
  <c r="E360" i="3"/>
  <c r="D5" i="4" s="1"/>
  <c r="D58" i="8"/>
  <c r="X374" i="3"/>
  <c r="I374" i="3" s="1"/>
  <c r="V410" i="3"/>
  <c r="G410" i="3" s="1"/>
  <c r="Y410" i="3"/>
  <c r="J410" i="3" s="1"/>
  <c r="Y392" i="3"/>
  <c r="J392" i="3" s="1"/>
  <c r="Y362" i="3"/>
  <c r="J362" i="3" s="1"/>
  <c r="D14" i="8"/>
  <c r="G15" i="8" s="1"/>
  <c r="D20" i="8"/>
  <c r="G19" i="8" s="1"/>
  <c r="J21" i="8" s="1"/>
  <c r="X358" i="3"/>
  <c r="I358" i="3" s="1"/>
  <c r="Y404" i="3"/>
  <c r="X390" i="3"/>
  <c r="I390" i="3" s="1"/>
  <c r="Y372" i="3"/>
  <c r="J372" i="3" s="1"/>
  <c r="U391" i="3"/>
  <c r="F391" i="3" s="1"/>
  <c r="U401" i="3"/>
  <c r="F401" i="3" s="1"/>
  <c r="Y408" i="3"/>
  <c r="J408" i="3" s="1"/>
  <c r="S359" i="3"/>
  <c r="J359" i="3" s="1"/>
  <c r="U409" i="3"/>
  <c r="F409" i="3" s="1"/>
  <c r="U411" i="3"/>
  <c r="F411" i="3" s="1"/>
  <c r="U361" i="3"/>
  <c r="F361" i="3" s="1"/>
  <c r="Y360" i="3"/>
  <c r="J360" i="3" s="1"/>
  <c r="G39" i="8"/>
  <c r="S406" i="3"/>
  <c r="J406" i="3" s="1"/>
  <c r="U407" i="3"/>
  <c r="F407" i="3" s="1"/>
  <c r="W370" i="3"/>
  <c r="H370" i="3" s="1"/>
  <c r="V414" i="3"/>
  <c r="G414" i="3" s="1"/>
  <c r="W416" i="3"/>
  <c r="U390" i="3"/>
  <c r="F390" i="3" s="1"/>
  <c r="V397" i="3"/>
  <c r="T363" i="3"/>
  <c r="E363" i="3" s="1"/>
  <c r="D8" i="7" s="1"/>
  <c r="U417" i="3"/>
  <c r="U379" i="3"/>
  <c r="F379" i="3" s="1"/>
  <c r="U375" i="3"/>
  <c r="F375" i="3" s="1"/>
  <c r="U369" i="3"/>
  <c r="S356" i="3"/>
  <c r="T408" i="3"/>
  <c r="E408" i="3" s="1"/>
  <c r="D53" i="4" s="1"/>
  <c r="X359" i="3"/>
  <c r="X404" i="3"/>
  <c r="T376" i="3"/>
  <c r="E376" i="3" s="1"/>
  <c r="X22" i="8" s="1"/>
  <c r="W398" i="3"/>
  <c r="H398" i="3" s="1"/>
  <c r="V376" i="3"/>
  <c r="G376" i="3" s="1"/>
  <c r="U403" i="3"/>
  <c r="T391" i="3"/>
  <c r="E391" i="3" s="1"/>
  <c r="D36" i="4" s="1"/>
  <c r="R12" i="1"/>
  <c r="W5" i="8" s="1"/>
  <c r="U386" i="3"/>
  <c r="F386" i="3" s="1"/>
  <c r="V392" i="3"/>
  <c r="G392" i="3" s="1"/>
  <c r="Z4" i="1"/>
  <c r="T388" i="3" s="1"/>
  <c r="T407" i="3"/>
  <c r="U408" i="3"/>
  <c r="F408" i="3" s="1"/>
  <c r="R19" i="1"/>
  <c r="W3" i="8" s="1"/>
  <c r="W375" i="3"/>
  <c r="H375" i="3" s="1"/>
  <c r="Z7" i="1"/>
  <c r="T362" i="3" s="1"/>
  <c r="E362" i="3" s="1"/>
  <c r="W407" i="3"/>
  <c r="H407" i="3" s="1"/>
  <c r="U376" i="3"/>
  <c r="F376" i="3" s="1"/>
  <c r="V402" i="3"/>
  <c r="G402" i="3" s="1"/>
  <c r="T418" i="3"/>
  <c r="E418" i="3" s="1"/>
  <c r="D63" i="4" s="1"/>
  <c r="W391" i="3"/>
  <c r="H391" i="3" s="1"/>
  <c r="W385" i="3"/>
  <c r="H385" i="3" s="1"/>
  <c r="W46" i="1"/>
  <c r="U392" i="3"/>
  <c r="F392" i="3" s="1"/>
  <c r="U371" i="3"/>
  <c r="F371" i="3" s="1"/>
  <c r="X372" i="3"/>
  <c r="I372" i="3" s="1"/>
  <c r="X356" i="3"/>
  <c r="T392" i="3"/>
  <c r="E392" i="3" s="1"/>
  <c r="D37" i="7" s="1"/>
  <c r="U402" i="3"/>
  <c r="F402" i="3" s="1"/>
  <c r="U370" i="3"/>
  <c r="F370" i="3" s="1"/>
  <c r="T375" i="3"/>
  <c r="E375" i="3" s="1"/>
  <c r="D20" i="7" s="1"/>
  <c r="X375" i="3"/>
  <c r="I375" i="3" s="1"/>
  <c r="J395" i="3"/>
  <c r="W400" i="3"/>
  <c r="R8" i="1"/>
  <c r="R33" i="1" s="1"/>
  <c r="W368" i="3"/>
  <c r="S388" i="3"/>
  <c r="G388" i="3" s="1"/>
  <c r="R16" i="1"/>
  <c r="W25" i="8" s="1"/>
  <c r="J379" i="3"/>
  <c r="D8" i="8"/>
  <c r="J365" i="3"/>
  <c r="J387" i="3"/>
  <c r="W21" i="1"/>
  <c r="W22" i="1"/>
  <c r="W376" i="3"/>
  <c r="H376" i="3" s="1"/>
  <c r="X407" i="3"/>
  <c r="I407" i="3" s="1"/>
  <c r="V21" i="1"/>
  <c r="W360" i="3"/>
  <c r="H360" i="3" s="1"/>
  <c r="W410" i="3"/>
  <c r="H410" i="3" s="1"/>
  <c r="W366" i="3"/>
  <c r="H366" i="3" s="1"/>
  <c r="V360" i="3"/>
  <c r="G360" i="3" s="1"/>
  <c r="W392" i="3"/>
  <c r="H392" i="3" s="1"/>
  <c r="V401" i="3"/>
  <c r="G401" i="3" s="1"/>
  <c r="V385" i="3"/>
  <c r="G385" i="3" s="1"/>
  <c r="V369" i="3"/>
  <c r="U395" i="3"/>
  <c r="F395" i="3" s="1"/>
  <c r="U412" i="3"/>
  <c r="F412" i="3" s="1"/>
  <c r="U399" i="3"/>
  <c r="F399" i="3" s="1"/>
  <c r="U406" i="3"/>
  <c r="V383" i="3"/>
  <c r="V377" i="3"/>
  <c r="G377" i="3" s="1"/>
  <c r="U396" i="3"/>
  <c r="F396" i="3" s="1"/>
  <c r="U367" i="3"/>
  <c r="F367" i="3" s="1"/>
  <c r="U358" i="3"/>
  <c r="F358" i="3" s="1"/>
  <c r="V409" i="3"/>
  <c r="G409" i="3" s="1"/>
  <c r="U380" i="3"/>
  <c r="V367" i="3"/>
  <c r="G367" i="3" s="1"/>
  <c r="AA21" i="1"/>
  <c r="V399" i="3"/>
  <c r="G399" i="3" s="1"/>
  <c r="T395" i="3"/>
  <c r="E395" i="3" s="1"/>
  <c r="D40" i="7" s="1"/>
  <c r="T370" i="3"/>
  <c r="E370" i="3" s="1"/>
  <c r="D15" i="4" s="1"/>
  <c r="Z11" i="1"/>
  <c r="T402" i="3"/>
  <c r="E402" i="3" s="1"/>
  <c r="D47" i="4" s="1"/>
  <c r="I377" i="3"/>
  <c r="J377" i="3"/>
  <c r="H390" i="3"/>
  <c r="I361" i="3"/>
  <c r="J361" i="3"/>
  <c r="I386" i="3"/>
  <c r="H386" i="3"/>
  <c r="E386" i="3"/>
  <c r="D31" i="4" s="1"/>
  <c r="I367" i="3"/>
  <c r="J367" i="3"/>
  <c r="H367" i="3"/>
  <c r="I373" i="3"/>
  <c r="H373" i="3"/>
  <c r="I382" i="3"/>
  <c r="F382" i="3"/>
  <c r="G382" i="3"/>
  <c r="J382" i="3"/>
  <c r="J375" i="3"/>
  <c r="J358" i="3"/>
  <c r="H358" i="3"/>
  <c r="J363" i="3"/>
  <c r="H363" i="3"/>
  <c r="I363" i="3"/>
  <c r="I415" i="3"/>
  <c r="I391" i="3"/>
  <c r="I405" i="3"/>
  <c r="J405" i="3"/>
  <c r="J376" i="3"/>
  <c r="H374" i="3"/>
  <c r="F374" i="3"/>
  <c r="J423" i="3"/>
  <c r="I423" i="3"/>
  <c r="H423" i="3"/>
  <c r="F393" i="3"/>
  <c r="J393" i="3"/>
  <c r="I393" i="3"/>
  <c r="H389" i="3"/>
  <c r="I389" i="3"/>
  <c r="J389" i="3"/>
  <c r="I409" i="3"/>
  <c r="J409" i="3"/>
  <c r="I370" i="3"/>
  <c r="H422" i="3"/>
  <c r="I422" i="3"/>
  <c r="J422" i="3"/>
  <c r="F362" i="3"/>
  <c r="H362" i="3"/>
  <c r="I362" i="3"/>
  <c r="H408" i="3"/>
  <c r="I371" i="3"/>
  <c r="J371" i="3"/>
  <c r="H371" i="3"/>
  <c r="I399" i="3"/>
  <c r="I418" i="3"/>
  <c r="F410" i="3"/>
  <c r="I357" i="3"/>
  <c r="H357" i="3"/>
  <c r="I401" i="3"/>
  <c r="J401" i="3"/>
  <c r="I414" i="3"/>
  <c r="H414" i="3"/>
  <c r="I366" i="3"/>
  <c r="F366" i="3"/>
  <c r="I398" i="3"/>
  <c r="F398" i="3"/>
  <c r="F378" i="3"/>
  <c r="J399" i="3"/>
  <c r="H399" i="3"/>
  <c r="F418" i="3"/>
  <c r="G363" i="3"/>
  <c r="F363" i="3"/>
  <c r="F377" i="3"/>
  <c r="E379" i="3"/>
  <c r="D24" i="4" s="1"/>
  <c r="G379" i="3"/>
  <c r="I379" i="3"/>
  <c r="H379" i="3"/>
  <c r="I392" i="3"/>
  <c r="J412" i="3"/>
  <c r="H412" i="3"/>
  <c r="H415" i="3"/>
  <c r="J415" i="3"/>
  <c r="G415" i="3"/>
  <c r="F357" i="3"/>
  <c r="J357" i="3"/>
  <c r="G357" i="3"/>
  <c r="F414" i="3"/>
  <c r="I365" i="3"/>
  <c r="H365" i="3"/>
  <c r="F365" i="3"/>
  <c r="F373" i="3"/>
  <c r="J373" i="3"/>
  <c r="G373" i="3"/>
  <c r="F364" i="3"/>
  <c r="H364" i="3"/>
  <c r="J364" i="3"/>
  <c r="F389" i="3"/>
  <c r="G389" i="3"/>
  <c r="H396" i="3"/>
  <c r="J396" i="3"/>
  <c r="G391" i="3"/>
  <c r="J391" i="3"/>
  <c r="I385" i="3"/>
  <c r="F385" i="3"/>
  <c r="G405" i="3"/>
  <c r="F405" i="3"/>
  <c r="H405" i="3"/>
  <c r="I402" i="3"/>
  <c r="G370" i="3"/>
  <c r="I395" i="3"/>
  <c r="H395" i="3"/>
  <c r="G395" i="3"/>
  <c r="G372" i="3"/>
  <c r="F372" i="3"/>
  <c r="H372" i="3"/>
  <c r="I376" i="3"/>
  <c r="F422" i="3"/>
  <c r="E422" i="3"/>
  <c r="G422" i="3"/>
  <c r="I411" i="3"/>
  <c r="H411" i="3"/>
  <c r="G411" i="3"/>
  <c r="G362" i="3"/>
  <c r="G378" i="3"/>
  <c r="J378" i="3"/>
  <c r="J407" i="3"/>
  <c r="I408" i="3"/>
  <c r="G408" i="3"/>
  <c r="F423" i="3"/>
  <c r="I360" i="3"/>
  <c r="F360" i="3"/>
  <c r="G393" i="3"/>
  <c r="H421" i="3"/>
  <c r="I421" i="3"/>
  <c r="F421" i="3"/>
  <c r="G387" i="3"/>
  <c r="I387" i="3"/>
  <c r="H387" i="3"/>
  <c r="F387" i="3"/>
  <c r="D50" i="8"/>
  <c r="G51" i="8" s="1"/>
  <c r="D32" i="8"/>
  <c r="G31" i="8" s="1"/>
  <c r="D26" i="8"/>
  <c r="G27" i="8" s="1"/>
  <c r="S368" i="3"/>
  <c r="S417" i="3"/>
  <c r="S413" i="3"/>
  <c r="S400" i="3"/>
  <c r="S384" i="3"/>
  <c r="S381" i="3"/>
  <c r="S394" i="3"/>
  <c r="D34" i="8"/>
  <c r="G35" i="8" s="1"/>
  <c r="J37" i="8" s="1"/>
  <c r="S397" i="3"/>
  <c r="F397" i="3" s="1"/>
  <c r="S21" i="1"/>
  <c r="D64" i="8"/>
  <c r="G63" i="8" s="1"/>
  <c r="S380" i="3"/>
  <c r="S404" i="3"/>
  <c r="F404" i="3" s="1"/>
  <c r="S416" i="3"/>
  <c r="S369" i="3"/>
  <c r="J369" i="3" s="1"/>
  <c r="S420" i="3"/>
  <c r="J420" i="3" s="1"/>
  <c r="M425" i="3"/>
  <c r="L425" i="3"/>
  <c r="Q425" i="3"/>
  <c r="P426" i="3"/>
  <c r="L426" i="3"/>
  <c r="P425" i="3"/>
  <c r="Q426" i="3"/>
  <c r="N426" i="3"/>
  <c r="Y414" i="3"/>
  <c r="J414" i="3" s="1"/>
  <c r="T34" i="8"/>
  <c r="V46" i="1"/>
  <c r="X384" i="3"/>
  <c r="X400" i="3"/>
  <c r="X416" i="3"/>
  <c r="AC22" i="1"/>
  <c r="V366" i="3"/>
  <c r="G366" i="3" s="1"/>
  <c r="V398" i="3"/>
  <c r="G398" i="3" s="1"/>
  <c r="W382" i="3"/>
  <c r="H382" i="3" s="1"/>
  <c r="T46" i="1"/>
  <c r="W388" i="3"/>
  <c r="W404" i="3"/>
  <c r="T21" i="1"/>
  <c r="V365" i="3"/>
  <c r="G365" i="3" s="1"/>
  <c r="S46" i="1"/>
  <c r="W20" i="8"/>
  <c r="W4" i="8"/>
  <c r="W402" i="3"/>
  <c r="H402" i="3" s="1"/>
  <c r="W418" i="3"/>
  <c r="H418" i="3" s="1"/>
  <c r="R36" i="1"/>
  <c r="W52" i="8"/>
  <c r="G7" i="8"/>
  <c r="D4" i="8"/>
  <c r="D60" i="8"/>
  <c r="U415" i="3"/>
  <c r="F415" i="3" s="1"/>
  <c r="U419" i="3"/>
  <c r="V381" i="3"/>
  <c r="V423" i="3"/>
  <c r="G423" i="3" s="1"/>
  <c r="O426" i="3"/>
  <c r="N425" i="3"/>
  <c r="G55" i="8"/>
  <c r="V421" i="3"/>
  <c r="G421" i="3" s="1"/>
  <c r="V361" i="3"/>
  <c r="G361" i="3" s="1"/>
  <c r="R29" i="1"/>
  <c r="W18" i="8"/>
  <c r="W34" i="8"/>
  <c r="W50" i="8"/>
  <c r="W2" i="8"/>
  <c r="V386" i="3"/>
  <c r="G386" i="3" s="1"/>
  <c r="V418" i="3"/>
  <c r="G418" i="3" s="1"/>
  <c r="G23" i="8"/>
  <c r="D46" i="8"/>
  <c r="D44" i="8"/>
  <c r="D12" i="8"/>
  <c r="W393" i="3"/>
  <c r="H393" i="3" s="1"/>
  <c r="W377" i="3"/>
  <c r="H377" i="3" s="1"/>
  <c r="W409" i="3"/>
  <c r="H409" i="3" s="1"/>
  <c r="W361" i="3"/>
  <c r="H361" i="3" s="1"/>
  <c r="V403" i="3"/>
  <c r="V419" i="3"/>
  <c r="V371" i="3"/>
  <c r="G371" i="3" s="1"/>
  <c r="Y366" i="3"/>
  <c r="J366" i="3" s="1"/>
  <c r="Y398" i="3"/>
  <c r="J398" i="3" s="1"/>
  <c r="W378" i="3"/>
  <c r="H378" i="3" s="1"/>
  <c r="W394" i="3"/>
  <c r="AA22" i="1"/>
  <c r="W369" i="3"/>
  <c r="W401" i="3"/>
  <c r="H401" i="3" s="1"/>
  <c r="M426" i="3"/>
  <c r="V412" i="3"/>
  <c r="G412" i="3" s="1"/>
  <c r="V396" i="3"/>
  <c r="G396" i="3" s="1"/>
  <c r="V380" i="3"/>
  <c r="V364" i="3"/>
  <c r="G364" i="3" s="1"/>
  <c r="W356" i="3"/>
  <c r="AC21" i="1"/>
  <c r="O425" i="3"/>
  <c r="T22" i="1"/>
  <c r="S22" i="1"/>
  <c r="V407" i="3"/>
  <c r="G407" i="3" s="1"/>
  <c r="V375" i="3"/>
  <c r="G375" i="3" s="1"/>
  <c r="V359" i="3"/>
  <c r="X378" i="3"/>
  <c r="I378" i="3" s="1"/>
  <c r="X410" i="3"/>
  <c r="I410" i="3" s="1"/>
  <c r="X394" i="3"/>
  <c r="V22" i="1"/>
  <c r="AC426" i="3"/>
  <c r="AA426" i="3"/>
  <c r="AB426" i="3"/>
  <c r="Z425" i="3"/>
  <c r="AE426" i="3"/>
  <c r="AD425" i="3"/>
  <c r="AD426" i="3"/>
  <c r="AC425" i="3"/>
  <c r="AA425" i="3"/>
  <c r="Z426" i="3"/>
  <c r="AE425" i="3"/>
  <c r="AB425" i="3"/>
  <c r="R13" i="1"/>
  <c r="Z13" i="1"/>
  <c r="R14" i="1"/>
  <c r="Z14" i="1"/>
  <c r="T421" i="3" s="1"/>
  <c r="E421" i="3" s="1"/>
  <c r="V358" i="3"/>
  <c r="G358" i="3" s="1"/>
  <c r="V374" i="3"/>
  <c r="G374" i="3" s="1"/>
  <c r="V390" i="3"/>
  <c r="G390" i="3" s="1"/>
  <c r="AB21" i="1"/>
  <c r="V406" i="3"/>
  <c r="AB22" i="1"/>
  <c r="T393" i="3"/>
  <c r="E393" i="3" s="1"/>
  <c r="T361" i="3"/>
  <c r="E361" i="3" s="1"/>
  <c r="T377" i="3"/>
  <c r="E377" i="3" s="1"/>
  <c r="T409" i="3"/>
  <c r="E409" i="3" s="1"/>
  <c r="Z17" i="1"/>
  <c r="R17" i="1"/>
  <c r="U36" i="1"/>
  <c r="U46" i="1" s="1"/>
  <c r="U22" i="1"/>
  <c r="R18" i="1"/>
  <c r="W65" i="8" s="1"/>
  <c r="Z18" i="1"/>
  <c r="T419" i="3" s="1"/>
  <c r="R40" i="1"/>
  <c r="W7" i="8"/>
  <c r="W39" i="8"/>
  <c r="W23" i="8"/>
  <c r="W55" i="8"/>
  <c r="R6" i="1"/>
  <c r="Z6" i="1"/>
  <c r="C20" i="1"/>
  <c r="U21" i="1"/>
  <c r="X412" i="3"/>
  <c r="I412" i="3" s="1"/>
  <c r="X364" i="3"/>
  <c r="I364" i="3" s="1"/>
  <c r="X380" i="3"/>
  <c r="AD21" i="1"/>
  <c r="X396" i="3"/>
  <c r="I396" i="3" s="1"/>
  <c r="R32" i="1"/>
  <c r="W40" i="8"/>
  <c r="W24" i="8"/>
  <c r="W8" i="8"/>
  <c r="W56" i="8"/>
  <c r="T389" i="3"/>
  <c r="E389" i="3" s="1"/>
  <c r="T357" i="3"/>
  <c r="E357" i="3" s="1"/>
  <c r="T373" i="3"/>
  <c r="E373" i="3" s="1"/>
  <c r="T405" i="3"/>
  <c r="E405" i="3" s="1"/>
  <c r="AD22" i="1"/>
  <c r="Z9" i="1"/>
  <c r="R9" i="1"/>
  <c r="R10" i="1"/>
  <c r="Z10" i="1"/>
  <c r="Y370" i="3"/>
  <c r="J370" i="3" s="1"/>
  <c r="Y402" i="3"/>
  <c r="J402" i="3" s="1"/>
  <c r="AE21" i="1"/>
  <c r="Y418" i="3"/>
  <c r="J418" i="3" s="1"/>
  <c r="AE22" i="1"/>
  <c r="Y386" i="3"/>
  <c r="J386" i="3" s="1"/>
  <c r="F383" i="3" l="1"/>
  <c r="I383" i="3"/>
  <c r="J383" i="3"/>
  <c r="G383" i="3"/>
  <c r="E407" i="3"/>
  <c r="D52" i="4" s="1"/>
  <c r="J356" i="3"/>
  <c r="R419" i="3"/>
  <c r="J419" i="3" s="1"/>
  <c r="R403" i="3"/>
  <c r="W35" i="8"/>
  <c r="W6" i="8"/>
  <c r="G59" i="8"/>
  <c r="J61" i="8" s="1"/>
  <c r="H406" i="3"/>
  <c r="T372" i="3"/>
  <c r="E372" i="3" s="1"/>
  <c r="D17" i="7" s="1"/>
  <c r="W19" i="8"/>
  <c r="R44" i="1"/>
  <c r="W51" i="8"/>
  <c r="T356" i="3"/>
  <c r="E356" i="3" s="1"/>
  <c r="T404" i="3"/>
  <c r="E404" i="3" s="1"/>
  <c r="X50" i="8" s="1"/>
  <c r="W22" i="8"/>
  <c r="W38" i="8"/>
  <c r="I406" i="3"/>
  <c r="R37" i="1"/>
  <c r="G406" i="3"/>
  <c r="H356" i="3"/>
  <c r="T378" i="3"/>
  <c r="E378" i="3" s="1"/>
  <c r="D23" i="7" s="1"/>
  <c r="J29" i="8"/>
  <c r="M25" i="8" s="1"/>
  <c r="I359" i="3"/>
  <c r="H359" i="3"/>
  <c r="E359" i="3"/>
  <c r="D4" i="7" s="1"/>
  <c r="W37" i="8"/>
  <c r="F359" i="3"/>
  <c r="T394" i="3"/>
  <c r="E394" i="3" s="1"/>
  <c r="X40" i="8" s="1"/>
  <c r="G359" i="3"/>
  <c r="W21" i="8"/>
  <c r="I388" i="3"/>
  <c r="F406" i="3"/>
  <c r="R41" i="1"/>
  <c r="G356" i="3"/>
  <c r="I356" i="3"/>
  <c r="T423" i="3"/>
  <c r="E423" i="3" s="1"/>
  <c r="J388" i="3"/>
  <c r="W53" i="8"/>
  <c r="H388" i="3"/>
  <c r="T410" i="3"/>
  <c r="E410" i="3" s="1"/>
  <c r="D55" i="7" s="1"/>
  <c r="W54" i="8"/>
  <c r="F356" i="3"/>
  <c r="F388" i="3"/>
  <c r="E388" i="3"/>
  <c r="X34" i="8" s="1"/>
  <c r="W9" i="8"/>
  <c r="W41" i="8"/>
  <c r="T406" i="3"/>
  <c r="E406" i="3" s="1"/>
  <c r="X52" i="8" s="1"/>
  <c r="T374" i="3"/>
  <c r="E374" i="3" s="1"/>
  <c r="D19" i="4" s="1"/>
  <c r="T358" i="3"/>
  <c r="E358" i="3" s="1"/>
  <c r="D3" i="4" s="1"/>
  <c r="T390" i="3"/>
  <c r="E390" i="3" s="1"/>
  <c r="D35" i="4" s="1"/>
  <c r="E35" i="4" s="1"/>
  <c r="G35" i="4" s="1"/>
  <c r="AK3" i="4" s="1"/>
  <c r="I380" i="3"/>
  <c r="F394" i="3"/>
  <c r="I394" i="3"/>
  <c r="H394" i="3"/>
  <c r="G413" i="3"/>
  <c r="H413" i="3"/>
  <c r="I413" i="3"/>
  <c r="I416" i="3"/>
  <c r="G416" i="3"/>
  <c r="I381" i="3"/>
  <c r="H381" i="3"/>
  <c r="H384" i="3"/>
  <c r="J384" i="3"/>
  <c r="H368" i="3"/>
  <c r="J368" i="3"/>
  <c r="J400" i="3"/>
  <c r="G420" i="3"/>
  <c r="I420" i="3"/>
  <c r="H420" i="3"/>
  <c r="F420" i="3"/>
  <c r="G369" i="3"/>
  <c r="I369" i="3"/>
  <c r="H369" i="3"/>
  <c r="F369" i="3"/>
  <c r="F416" i="3"/>
  <c r="J416" i="3"/>
  <c r="H416" i="3"/>
  <c r="G404" i="3"/>
  <c r="H404" i="3"/>
  <c r="J404" i="3"/>
  <c r="I404" i="3"/>
  <c r="G380" i="3"/>
  <c r="F380" i="3"/>
  <c r="H380" i="3"/>
  <c r="J380" i="3"/>
  <c r="H397" i="3"/>
  <c r="I397" i="3"/>
  <c r="J397" i="3"/>
  <c r="G397" i="3"/>
  <c r="G394" i="3"/>
  <c r="J394" i="3"/>
  <c r="F381" i="3"/>
  <c r="J381" i="3"/>
  <c r="G381" i="3"/>
  <c r="I384" i="3"/>
  <c r="G384" i="3"/>
  <c r="F384" i="3"/>
  <c r="I400" i="3"/>
  <c r="F400" i="3"/>
  <c r="G400" i="3"/>
  <c r="H400" i="3"/>
  <c r="J413" i="3"/>
  <c r="F413" i="3"/>
  <c r="G417" i="3"/>
  <c r="I417" i="3"/>
  <c r="H417" i="3"/>
  <c r="F417" i="3"/>
  <c r="J417" i="3"/>
  <c r="I368" i="3"/>
  <c r="G368" i="3"/>
  <c r="F368" i="3"/>
  <c r="S425" i="3"/>
  <c r="G3" i="8"/>
  <c r="J5" i="8" s="1"/>
  <c r="G11" i="8"/>
  <c r="J13" i="8" s="1"/>
  <c r="X54" i="8"/>
  <c r="D53" i="7"/>
  <c r="S426" i="3"/>
  <c r="D5" i="7"/>
  <c r="X6" i="8"/>
  <c r="G47" i="8"/>
  <c r="U426" i="3"/>
  <c r="U425" i="3"/>
  <c r="V425" i="3"/>
  <c r="X9" i="8"/>
  <c r="W425" i="3"/>
  <c r="W426" i="3"/>
  <c r="D15" i="7"/>
  <c r="D31" i="7"/>
  <c r="X32" i="8"/>
  <c r="X16" i="8"/>
  <c r="X41" i="8"/>
  <c r="X37" i="8"/>
  <c r="D36" i="7"/>
  <c r="D40" i="4"/>
  <c r="G43" i="8"/>
  <c r="D8" i="4"/>
  <c r="D47" i="7"/>
  <c r="X48" i="8"/>
  <c r="V426" i="3"/>
  <c r="J53" i="8"/>
  <c r="D20" i="4"/>
  <c r="X25" i="8"/>
  <c r="X38" i="8"/>
  <c r="D37" i="4"/>
  <c r="D24" i="7"/>
  <c r="X64" i="8"/>
  <c r="D21" i="7"/>
  <c r="D63" i="7"/>
  <c r="X21" i="8"/>
  <c r="D21" i="4"/>
  <c r="X425" i="3"/>
  <c r="D7" i="4"/>
  <c r="D7" i="7"/>
  <c r="F7" i="7" s="1"/>
  <c r="X8" i="8"/>
  <c r="R43" i="1"/>
  <c r="W61" i="8"/>
  <c r="W49" i="8"/>
  <c r="W17" i="8"/>
  <c r="W33" i="8"/>
  <c r="T383" i="3"/>
  <c r="E383" i="3" s="1"/>
  <c r="T399" i="3"/>
  <c r="E399" i="3" s="1"/>
  <c r="T367" i="3"/>
  <c r="E367" i="3" s="1"/>
  <c r="T411" i="3"/>
  <c r="E411" i="3" s="1"/>
  <c r="D38" i="4"/>
  <c r="D38" i="7"/>
  <c r="F37" i="7" s="1"/>
  <c r="X39" i="8"/>
  <c r="T365" i="3"/>
  <c r="E365" i="3" s="1"/>
  <c r="T381" i="3"/>
  <c r="E381" i="3" s="1"/>
  <c r="T413" i="3"/>
  <c r="E413" i="3" s="1"/>
  <c r="T397" i="3"/>
  <c r="E397" i="3" s="1"/>
  <c r="T420" i="3"/>
  <c r="E420" i="3" s="1"/>
  <c r="W42" i="8"/>
  <c r="R34" i="1"/>
  <c r="W58" i="8"/>
  <c r="W10" i="8"/>
  <c r="W26" i="8"/>
  <c r="D2" i="4"/>
  <c r="D2" i="7"/>
  <c r="X3" i="8"/>
  <c r="Y425" i="3"/>
  <c r="Y426" i="3"/>
  <c r="T364" i="3"/>
  <c r="E364" i="3" s="1"/>
  <c r="T380" i="3"/>
  <c r="E380" i="3" s="1"/>
  <c r="T396" i="3"/>
  <c r="E396" i="3" s="1"/>
  <c r="T412" i="3"/>
  <c r="E412" i="3" s="1"/>
  <c r="D50" i="4"/>
  <c r="X51" i="8"/>
  <c r="D50" i="7"/>
  <c r="D34" i="4"/>
  <c r="X35" i="8"/>
  <c r="D34" i="7"/>
  <c r="D54" i="4"/>
  <c r="E53" i="4" s="1"/>
  <c r="G53" i="4" s="1"/>
  <c r="AK21" i="4" s="1"/>
  <c r="D54" i="7"/>
  <c r="X55" i="8"/>
  <c r="R39" i="1"/>
  <c r="W11" i="8"/>
  <c r="W43" i="8"/>
  <c r="W27" i="8"/>
  <c r="W59" i="8"/>
  <c r="T368" i="3"/>
  <c r="E368" i="3" s="1"/>
  <c r="T384" i="3"/>
  <c r="E384" i="3" s="1"/>
  <c r="T400" i="3"/>
  <c r="E400" i="3" s="1"/>
  <c r="T416" i="3"/>
  <c r="E416" i="3" s="1"/>
  <c r="T366" i="3"/>
  <c r="E366" i="3" s="1"/>
  <c r="T382" i="3"/>
  <c r="E382" i="3" s="1"/>
  <c r="T398" i="3"/>
  <c r="E398" i="3" s="1"/>
  <c r="T414" i="3"/>
  <c r="E414" i="3" s="1"/>
  <c r="Z22" i="1"/>
  <c r="D22" i="4"/>
  <c r="D22" i="7"/>
  <c r="X23" i="8"/>
  <c r="T385" i="3"/>
  <c r="E385" i="3" s="1"/>
  <c r="T401" i="3"/>
  <c r="E401" i="3" s="1"/>
  <c r="T369" i="3"/>
  <c r="E369" i="3" s="1"/>
  <c r="T417" i="3"/>
  <c r="E417" i="3" s="1"/>
  <c r="R35" i="1"/>
  <c r="W46" i="8"/>
  <c r="W14" i="8"/>
  <c r="W30" i="8"/>
  <c r="W62" i="8"/>
  <c r="X426" i="3"/>
  <c r="D18" i="4"/>
  <c r="X19" i="8"/>
  <c r="D18" i="7"/>
  <c r="R31" i="1"/>
  <c r="W12" i="8"/>
  <c r="R21" i="1"/>
  <c r="W28" i="8"/>
  <c r="W60" i="8"/>
  <c r="R22" i="1"/>
  <c r="W44" i="8"/>
  <c r="T371" i="3"/>
  <c r="E371" i="3" s="1"/>
  <c r="T387" i="3"/>
  <c r="E387" i="3" s="1"/>
  <c r="T403" i="3"/>
  <c r="T415" i="3"/>
  <c r="E415" i="3" s="1"/>
  <c r="W13" i="8"/>
  <c r="R42" i="1"/>
  <c r="W29" i="8"/>
  <c r="W45" i="8"/>
  <c r="W57" i="8"/>
  <c r="Z21" i="1"/>
  <c r="D6" i="4"/>
  <c r="E5" i="4" s="1"/>
  <c r="G5" i="4" s="1"/>
  <c r="D6" i="7"/>
  <c r="X7" i="8"/>
  <c r="W15" i="8"/>
  <c r="R38" i="1"/>
  <c r="W47" i="8"/>
  <c r="W31" i="8"/>
  <c r="W63" i="8"/>
  <c r="X53" i="8" l="1"/>
  <c r="D52" i="7"/>
  <c r="F419" i="3"/>
  <c r="G419" i="3"/>
  <c r="J403" i="3"/>
  <c r="J426" i="3" s="1"/>
  <c r="H403" i="3"/>
  <c r="I403" i="3"/>
  <c r="H419" i="3"/>
  <c r="G403" i="3"/>
  <c r="E403" i="3"/>
  <c r="D48" i="4" s="1"/>
  <c r="E47" i="4" s="1"/>
  <c r="G47" i="4" s="1"/>
  <c r="AK15" i="4" s="1"/>
  <c r="I419" i="3"/>
  <c r="E419" i="3"/>
  <c r="D64" i="4" s="1"/>
  <c r="E63" i="4" s="1"/>
  <c r="G63" i="4" s="1"/>
  <c r="AK31" i="4" s="1"/>
  <c r="F403" i="3"/>
  <c r="X18" i="8"/>
  <c r="D17" i="4"/>
  <c r="E17" i="4" s="1"/>
  <c r="G17" i="4" s="1"/>
  <c r="D33" i="4"/>
  <c r="E33" i="4" s="1"/>
  <c r="G33" i="4" s="1"/>
  <c r="AK1" i="4" s="1"/>
  <c r="M57" i="8"/>
  <c r="D23" i="4"/>
  <c r="E23" i="4" s="1"/>
  <c r="G23" i="4" s="1"/>
  <c r="F23" i="4" s="1"/>
  <c r="X24" i="8"/>
  <c r="D4" i="4"/>
  <c r="E3" i="4" s="1"/>
  <c r="G3" i="4" s="1"/>
  <c r="H3" i="4" s="1"/>
  <c r="X5" i="8"/>
  <c r="D55" i="4"/>
  <c r="X56" i="8"/>
  <c r="D33" i="7"/>
  <c r="F33" i="7" s="1"/>
  <c r="D3" i="7"/>
  <c r="F3" i="7" s="1"/>
  <c r="E3" i="7" s="1"/>
  <c r="M9" i="8"/>
  <c r="P17" i="8" s="1"/>
  <c r="D51" i="7"/>
  <c r="D19" i="7"/>
  <c r="F19" i="7" s="1"/>
  <c r="E19" i="7" s="1"/>
  <c r="X20" i="8"/>
  <c r="E19" i="4"/>
  <c r="G19" i="4" s="1"/>
  <c r="H19" i="4" s="1"/>
  <c r="D39" i="4"/>
  <c r="E39" i="4" s="1"/>
  <c r="G39" i="4" s="1"/>
  <c r="AK7" i="4" s="1"/>
  <c r="D35" i="7"/>
  <c r="F35" i="7" s="1"/>
  <c r="G35" i="7" s="1"/>
  <c r="D51" i="4"/>
  <c r="E51" i="4" s="1"/>
  <c r="G51" i="4" s="1"/>
  <c r="AK19" i="4" s="1"/>
  <c r="D49" i="7"/>
  <c r="F49" i="7" s="1"/>
  <c r="G49" i="7" s="1"/>
  <c r="D49" i="4"/>
  <c r="E49" i="4" s="1"/>
  <c r="G49" i="4" s="1"/>
  <c r="AK17" i="4" s="1"/>
  <c r="D39" i="7"/>
  <c r="F39" i="7" s="1"/>
  <c r="G39" i="7" s="1"/>
  <c r="X36" i="8"/>
  <c r="X4" i="8"/>
  <c r="I426" i="3"/>
  <c r="F53" i="7"/>
  <c r="G53" i="7" s="1"/>
  <c r="F5" i="7"/>
  <c r="G5" i="7" s="1"/>
  <c r="F21" i="7"/>
  <c r="G21" i="7" s="1"/>
  <c r="E21" i="4"/>
  <c r="G21" i="4" s="1"/>
  <c r="F21" i="4" s="1"/>
  <c r="J45" i="8"/>
  <c r="E37" i="4"/>
  <c r="G37" i="4" s="1"/>
  <c r="AK5" i="4" s="1"/>
  <c r="E7" i="4"/>
  <c r="G7" i="4" s="1"/>
  <c r="H7" i="4" s="1"/>
  <c r="F23" i="7"/>
  <c r="G23" i="7" s="1"/>
  <c r="T426" i="3"/>
  <c r="F17" i="7"/>
  <c r="G17" i="7" s="1"/>
  <c r="H5" i="4"/>
  <c r="F5" i="4"/>
  <c r="D16" i="4"/>
  <c r="E15" i="4" s="1"/>
  <c r="G15" i="4" s="1"/>
  <c r="D16" i="7"/>
  <c r="F15" i="7" s="1"/>
  <c r="X17" i="8"/>
  <c r="T425" i="3"/>
  <c r="D60" i="4"/>
  <c r="D60" i="7"/>
  <c r="X61" i="8"/>
  <c r="D14" i="4"/>
  <c r="X15" i="8"/>
  <c r="D14" i="7"/>
  <c r="D11" i="4"/>
  <c r="X12" i="8"/>
  <c r="D11" i="7"/>
  <c r="D13" i="4"/>
  <c r="D13" i="7"/>
  <c r="X14" i="8"/>
  <c r="D9" i="4"/>
  <c r="D9" i="7"/>
  <c r="X10" i="8"/>
  <c r="D42" i="4"/>
  <c r="X43" i="8"/>
  <c r="D42" i="7"/>
  <c r="D44" i="4"/>
  <c r="X45" i="8"/>
  <c r="D44" i="7"/>
  <c r="G7" i="7"/>
  <c r="E7" i="7"/>
  <c r="D46" i="4"/>
  <c r="X47" i="8"/>
  <c r="D46" i="7"/>
  <c r="D61" i="4"/>
  <c r="D61" i="7"/>
  <c r="X62" i="8"/>
  <c r="E37" i="7"/>
  <c r="G37" i="7"/>
  <c r="D57" i="4"/>
  <c r="D57" i="7"/>
  <c r="X58" i="8"/>
  <c r="D58" i="4"/>
  <c r="X59" i="8"/>
  <c r="D58" i="7"/>
  <c r="D28" i="4"/>
  <c r="X29" i="8"/>
  <c r="D28" i="7"/>
  <c r="D32" i="4"/>
  <c r="E31" i="4" s="1"/>
  <c r="G31" i="4" s="1"/>
  <c r="X33" i="8"/>
  <c r="D32" i="7"/>
  <c r="F31" i="7" s="1"/>
  <c r="D30" i="4"/>
  <c r="D30" i="7"/>
  <c r="X31" i="8"/>
  <c r="D43" i="4"/>
  <c r="X44" i="8"/>
  <c r="D43" i="7"/>
  <c r="D45" i="4"/>
  <c r="X46" i="8"/>
  <c r="D45" i="7"/>
  <c r="D41" i="4"/>
  <c r="X42" i="8"/>
  <c r="D41" i="7"/>
  <c r="D26" i="4"/>
  <c r="D26" i="7"/>
  <c r="X27" i="8"/>
  <c r="D56" i="4"/>
  <c r="X57" i="8"/>
  <c r="D56" i="7"/>
  <c r="F55" i="7" s="1"/>
  <c r="F53" i="4"/>
  <c r="AJ21" i="4" s="1"/>
  <c r="H53" i="4"/>
  <c r="D59" i="4"/>
  <c r="X60" i="8"/>
  <c r="D59" i="7"/>
  <c r="D1" i="4"/>
  <c r="D1" i="7"/>
  <c r="F1" i="7" s="1"/>
  <c r="X2" i="8"/>
  <c r="R46" i="1"/>
  <c r="D62" i="4"/>
  <c r="X63" i="8"/>
  <c r="D62" i="7"/>
  <c r="D27" i="4"/>
  <c r="X28" i="8"/>
  <c r="D27" i="7"/>
  <c r="D29" i="4"/>
  <c r="X30" i="8"/>
  <c r="D29" i="7"/>
  <c r="H35" i="4"/>
  <c r="F35" i="4"/>
  <c r="AJ3" i="4" s="1"/>
  <c r="D25" i="4"/>
  <c r="D25" i="7"/>
  <c r="X26" i="8"/>
  <c r="D10" i="4"/>
  <c r="X11" i="8"/>
  <c r="D10" i="7"/>
  <c r="D12" i="4"/>
  <c r="D12" i="7"/>
  <c r="X13" i="8"/>
  <c r="F51" i="7" l="1"/>
  <c r="G51" i="7" s="1"/>
  <c r="I50" i="7" s="1"/>
  <c r="J50" i="7" s="1"/>
  <c r="J425" i="3"/>
  <c r="D64" i="7"/>
  <c r="F63" i="7" s="1"/>
  <c r="G63" i="7" s="1"/>
  <c r="I425" i="3"/>
  <c r="F426" i="3"/>
  <c r="H426" i="3"/>
  <c r="G425" i="3"/>
  <c r="G426" i="3"/>
  <c r="D48" i="7"/>
  <c r="F47" i="7" s="1"/>
  <c r="E47" i="7" s="1"/>
  <c r="X49" i="8"/>
  <c r="F425" i="3"/>
  <c r="H425" i="3"/>
  <c r="E425" i="3"/>
  <c r="E426" i="3"/>
  <c r="F63" i="4"/>
  <c r="AJ31" i="4" s="1"/>
  <c r="H63" i="4"/>
  <c r="X65" i="8"/>
  <c r="F37" i="4"/>
  <c r="AJ5" i="4" s="1"/>
  <c r="F49" i="4"/>
  <c r="AJ17" i="4" s="1"/>
  <c r="H39" i="4"/>
  <c r="H51" i="4"/>
  <c r="E55" i="4"/>
  <c r="G55" i="4" s="1"/>
  <c r="AK23" i="4" s="1"/>
  <c r="H23" i="4"/>
  <c r="G3" i="7"/>
  <c r="G19" i="7"/>
  <c r="I18" i="7" s="1"/>
  <c r="J18" i="7" s="1"/>
  <c r="F51" i="4"/>
  <c r="AJ19" i="4" s="1"/>
  <c r="F3" i="4"/>
  <c r="F19" i="4"/>
  <c r="E39" i="7"/>
  <c r="E53" i="7"/>
  <c r="E51" i="7"/>
  <c r="E5" i="7"/>
  <c r="E21" i="7"/>
  <c r="F39" i="4"/>
  <c r="AJ7" i="4" s="1"/>
  <c r="M41" i="8"/>
  <c r="P49" i="8" s="1"/>
  <c r="S34" i="8" s="1"/>
  <c r="E35" i="7"/>
  <c r="E59" i="4"/>
  <c r="G59" i="4" s="1"/>
  <c r="AK27" i="4" s="1"/>
  <c r="H21" i="4"/>
  <c r="E23" i="7"/>
  <c r="H37" i="4"/>
  <c r="F7" i="4"/>
  <c r="E49" i="7"/>
  <c r="F59" i="7"/>
  <c r="G59" i="7" s="1"/>
  <c r="H49" i="4"/>
  <c r="E29" i="4"/>
  <c r="G29" i="4" s="1"/>
  <c r="F29" i="4" s="1"/>
  <c r="E45" i="4"/>
  <c r="G45" i="4" s="1"/>
  <c r="AK13" i="4" s="1"/>
  <c r="E25" i="4"/>
  <c r="G25" i="4" s="1"/>
  <c r="H25" i="4" s="1"/>
  <c r="F27" i="7"/>
  <c r="E27" i="7" s="1"/>
  <c r="F43" i="7"/>
  <c r="G43" i="7" s="1"/>
  <c r="F13" i="7"/>
  <c r="E13" i="7" s="1"/>
  <c r="F45" i="7"/>
  <c r="G45" i="7" s="1"/>
  <c r="E17" i="7"/>
  <c r="E13" i="4"/>
  <c r="G13" i="4" s="1"/>
  <c r="F13" i="4" s="1"/>
  <c r="I6" i="7"/>
  <c r="E41" i="4"/>
  <c r="G41" i="4" s="1"/>
  <c r="AK9" i="4" s="1"/>
  <c r="I6" i="4"/>
  <c r="K6" i="4" s="1"/>
  <c r="I22" i="7"/>
  <c r="F41" i="7"/>
  <c r="G41" i="7" s="1"/>
  <c r="G55" i="7"/>
  <c r="I54" i="7" s="1"/>
  <c r="E55" i="7"/>
  <c r="F29" i="7"/>
  <c r="E1" i="4"/>
  <c r="D66" i="4"/>
  <c r="G31" i="7"/>
  <c r="E31" i="7"/>
  <c r="F33" i="4"/>
  <c r="AJ1" i="4" s="1"/>
  <c r="H33" i="4"/>
  <c r="I34" i="4" s="1"/>
  <c r="K34" i="4" s="1"/>
  <c r="AI2" i="4" s="1"/>
  <c r="I38" i="7"/>
  <c r="F11" i="7"/>
  <c r="E33" i="7"/>
  <c r="G33" i="7"/>
  <c r="I34" i="7" s="1"/>
  <c r="E27" i="4"/>
  <c r="G27" i="4" s="1"/>
  <c r="E43" i="4"/>
  <c r="G43" i="4" s="1"/>
  <c r="AK11" i="4" s="1"/>
  <c r="F57" i="7"/>
  <c r="G47" i="7"/>
  <c r="F25" i="7"/>
  <c r="G1" i="7"/>
  <c r="E1" i="7"/>
  <c r="F31" i="4"/>
  <c r="H31" i="4"/>
  <c r="E57" i="4"/>
  <c r="G57" i="4" s="1"/>
  <c r="AK25" i="4" s="1"/>
  <c r="F61" i="7"/>
  <c r="F9" i="7"/>
  <c r="E11" i="4"/>
  <c r="G11" i="4" s="1"/>
  <c r="E15" i="7"/>
  <c r="G15" i="7"/>
  <c r="E61" i="4"/>
  <c r="G61" i="4" s="1"/>
  <c r="AK29" i="4" s="1"/>
  <c r="E9" i="4"/>
  <c r="G9" i="4" s="1"/>
  <c r="F17" i="4"/>
  <c r="H17" i="4"/>
  <c r="I18" i="4" s="1"/>
  <c r="K18" i="4" s="1"/>
  <c r="H15" i="4"/>
  <c r="F15" i="4"/>
  <c r="F47" i="4"/>
  <c r="AJ15" i="4" s="1"/>
  <c r="H47" i="4"/>
  <c r="E63" i="7" l="1"/>
  <c r="I50" i="4"/>
  <c r="K50" i="4" s="1"/>
  <c r="AI18" i="4" s="1"/>
  <c r="I38" i="4"/>
  <c r="K38" i="4" s="1"/>
  <c r="AI6" i="4" s="1"/>
  <c r="H45" i="4"/>
  <c r="I46" i="4" s="1"/>
  <c r="K46" i="4" s="1"/>
  <c r="AI14" i="4" s="1"/>
  <c r="F41" i="4"/>
  <c r="AJ9" i="4" s="1"/>
  <c r="F59" i="4"/>
  <c r="AJ27" i="4" s="1"/>
  <c r="H55" i="4"/>
  <c r="I54" i="4" s="1"/>
  <c r="K54" i="4" s="1"/>
  <c r="AI22" i="4" s="1"/>
  <c r="I2" i="7"/>
  <c r="H2" i="7" s="1"/>
  <c r="F55" i="4"/>
  <c r="I22" i="4"/>
  <c r="K22" i="4" s="1"/>
  <c r="L22" i="4" s="1"/>
  <c r="H59" i="4"/>
  <c r="H6" i="7"/>
  <c r="V18" i="8"/>
  <c r="V50" i="8"/>
  <c r="V53" i="8"/>
  <c r="V64" i="8"/>
  <c r="V63" i="8"/>
  <c r="V21" i="8"/>
  <c r="V3" i="8"/>
  <c r="V37" i="8"/>
  <c r="V34" i="8"/>
  <c r="V19" i="8"/>
  <c r="V57" i="8"/>
  <c r="V36" i="8"/>
  <c r="V29" i="8"/>
  <c r="V10" i="8"/>
  <c r="V12" i="8"/>
  <c r="V23" i="8"/>
  <c r="V20" i="8"/>
  <c r="V32" i="8"/>
  <c r="V30" i="8"/>
  <c r="V16" i="8"/>
  <c r="V59" i="8"/>
  <c r="V33" i="8"/>
  <c r="V40" i="8"/>
  <c r="V15" i="8"/>
  <c r="V47" i="8"/>
  <c r="V54" i="8"/>
  <c r="V51" i="8"/>
  <c r="V65" i="8"/>
  <c r="V25" i="8"/>
  <c r="V13" i="8"/>
  <c r="V41" i="8"/>
  <c r="V27" i="8"/>
  <c r="V61" i="8"/>
  <c r="V5" i="8"/>
  <c r="V8" i="8"/>
  <c r="V55" i="8"/>
  <c r="V11" i="8"/>
  <c r="V22" i="8"/>
  <c r="V28" i="8"/>
  <c r="V49" i="8"/>
  <c r="V17" i="8"/>
  <c r="V4" i="8"/>
  <c r="V31" i="8"/>
  <c r="V14" i="8"/>
  <c r="V39" i="8"/>
  <c r="V58" i="8"/>
  <c r="V38" i="8"/>
  <c r="V7" i="8"/>
  <c r="V62" i="8"/>
  <c r="V9" i="8"/>
  <c r="V35" i="8"/>
  <c r="V46" i="8"/>
  <c r="V26" i="8"/>
  <c r="V24" i="8"/>
  <c r="V52" i="8"/>
  <c r="V42" i="8"/>
  <c r="V60" i="8"/>
  <c r="V44" i="8"/>
  <c r="V56" i="8"/>
  <c r="V45" i="8"/>
  <c r="V6" i="8"/>
  <c r="V48" i="8"/>
  <c r="V2" i="8"/>
  <c r="V43" i="8"/>
  <c r="H22" i="7"/>
  <c r="E59" i="7"/>
  <c r="J6" i="4"/>
  <c r="F25" i="4"/>
  <c r="H18" i="7"/>
  <c r="H50" i="7"/>
  <c r="G13" i="7"/>
  <c r="I14" i="7" s="1"/>
  <c r="J14" i="7" s="1"/>
  <c r="F45" i="4"/>
  <c r="AJ13" i="4" s="1"/>
  <c r="H29" i="4"/>
  <c r="I30" i="4" s="1"/>
  <c r="K30" i="4" s="1"/>
  <c r="H13" i="4"/>
  <c r="I14" i="4" s="1"/>
  <c r="K14" i="4" s="1"/>
  <c r="G27" i="7"/>
  <c r="E43" i="7"/>
  <c r="J6" i="7"/>
  <c r="E45" i="7"/>
  <c r="E41" i="7"/>
  <c r="H41" i="4"/>
  <c r="L6" i="4"/>
  <c r="J22" i="7"/>
  <c r="L20" i="7" s="1"/>
  <c r="M20" i="7" s="1"/>
  <c r="I42" i="7"/>
  <c r="J42" i="7" s="1"/>
  <c r="I46" i="7"/>
  <c r="J46" i="7" s="1"/>
  <c r="J34" i="7"/>
  <c r="H34" i="7"/>
  <c r="J18" i="4"/>
  <c r="L18" i="4"/>
  <c r="E9" i="7"/>
  <c r="G9" i="7"/>
  <c r="H9" i="4"/>
  <c r="F9" i="4"/>
  <c r="H11" i="4"/>
  <c r="F11" i="4"/>
  <c r="E61" i="7"/>
  <c r="G61" i="7"/>
  <c r="I62" i="7" s="1"/>
  <c r="G25" i="7"/>
  <c r="E25" i="7"/>
  <c r="G11" i="7"/>
  <c r="E11" i="7"/>
  <c r="J34" i="4"/>
  <c r="AH2" i="4" s="1"/>
  <c r="L34" i="4"/>
  <c r="F61" i="4"/>
  <c r="AJ29" i="4" s="1"/>
  <c r="H61" i="4"/>
  <c r="I62" i="4" s="1"/>
  <c r="K62" i="4" s="1"/>
  <c r="AI30" i="4" s="1"/>
  <c r="F57" i="4"/>
  <c r="AJ25" i="4" s="1"/>
  <c r="H57" i="4"/>
  <c r="H43" i="4"/>
  <c r="F43" i="4"/>
  <c r="AJ11" i="4" s="1"/>
  <c r="H38" i="7"/>
  <c r="J38" i="7"/>
  <c r="J54" i="7"/>
  <c r="L52" i="7" s="1"/>
  <c r="M52" i="7" s="1"/>
  <c r="H54" i="7"/>
  <c r="F27" i="4"/>
  <c r="H27" i="4"/>
  <c r="I26" i="4" s="1"/>
  <c r="K26" i="4" s="1"/>
  <c r="G1" i="4"/>
  <c r="E66" i="4"/>
  <c r="E57" i="7"/>
  <c r="G57" i="7"/>
  <c r="I58" i="7" s="1"/>
  <c r="E29" i="7"/>
  <c r="G29" i="7"/>
  <c r="I30" i="7" s="1"/>
  <c r="J50" i="4" l="1"/>
  <c r="AH18" i="4" s="1"/>
  <c r="L50" i="4"/>
  <c r="L38" i="4"/>
  <c r="M36" i="4" s="1"/>
  <c r="O36" i="4" s="1"/>
  <c r="J38" i="4"/>
  <c r="AH6" i="4" s="1"/>
  <c r="L54" i="4"/>
  <c r="J54" i="4"/>
  <c r="AH22" i="4" s="1"/>
  <c r="AJ23" i="4"/>
  <c r="AG72" i="4" s="1"/>
  <c r="J2" i="7"/>
  <c r="L4" i="7" s="1"/>
  <c r="M4" i="7" s="1"/>
  <c r="J22" i="4"/>
  <c r="I58" i="4"/>
  <c r="K58" i="4" s="1"/>
  <c r="AI26" i="4" s="1"/>
  <c r="X66" i="8"/>
  <c r="W66" i="8"/>
  <c r="I26" i="7"/>
  <c r="J26" i="7" s="1"/>
  <c r="I42" i="4"/>
  <c r="K42" i="4" s="1"/>
  <c r="AI10" i="4" s="1"/>
  <c r="K20" i="7"/>
  <c r="H42" i="7"/>
  <c r="H46" i="7"/>
  <c r="H14" i="7"/>
  <c r="M20" i="4"/>
  <c r="O20" i="4" s="1"/>
  <c r="L36" i="7"/>
  <c r="M36" i="7" s="1"/>
  <c r="L44" i="7"/>
  <c r="K52" i="7"/>
  <c r="H30" i="7"/>
  <c r="J30" i="7"/>
  <c r="H58" i="7"/>
  <c r="J58" i="7"/>
  <c r="J30" i="4"/>
  <c r="L30" i="4"/>
  <c r="L26" i="4"/>
  <c r="J26" i="4"/>
  <c r="L62" i="4"/>
  <c r="J62" i="4"/>
  <c r="AH30" i="4" s="1"/>
  <c r="I10" i="4"/>
  <c r="K10" i="4" s="1"/>
  <c r="H62" i="7"/>
  <c r="J62" i="7"/>
  <c r="H1" i="4"/>
  <c r="F1" i="4"/>
  <c r="C72" i="4" s="1"/>
  <c r="L14" i="4"/>
  <c r="J14" i="4"/>
  <c r="I10" i="7"/>
  <c r="J46" i="4"/>
  <c r="AH14" i="4" s="1"/>
  <c r="L46" i="4"/>
  <c r="M52" i="4" l="1"/>
  <c r="O52" i="4" s="1"/>
  <c r="AG20" i="4" s="1"/>
  <c r="L58" i="4"/>
  <c r="M60" i="4" s="1"/>
  <c r="O60" i="4" s="1"/>
  <c r="AG28" i="4" s="1"/>
  <c r="L42" i="4"/>
  <c r="M44" i="4" s="1"/>
  <c r="O44" i="4" s="1"/>
  <c r="AG12" i="4" s="1"/>
  <c r="P36" i="4"/>
  <c r="AG4" i="4"/>
  <c r="N20" i="4"/>
  <c r="J58" i="4"/>
  <c r="AH26" i="4" s="1"/>
  <c r="H26" i="7"/>
  <c r="K44" i="7"/>
  <c r="K4" i="7"/>
  <c r="J42" i="4"/>
  <c r="AH10" i="4" s="1"/>
  <c r="K36" i="7"/>
  <c r="N36" i="4"/>
  <c r="AF4" i="4" s="1"/>
  <c r="P20" i="4"/>
  <c r="M44" i="7"/>
  <c r="O40" i="7" s="1"/>
  <c r="L60" i="7"/>
  <c r="J10" i="4"/>
  <c r="L10" i="4"/>
  <c r="M12" i="4" s="1"/>
  <c r="O12" i="4" s="1"/>
  <c r="M28" i="4"/>
  <c r="O28" i="4" s="1"/>
  <c r="L28" i="7"/>
  <c r="J10" i="7"/>
  <c r="L12" i="7" s="1"/>
  <c r="H10" i="7"/>
  <c r="I2" i="4"/>
  <c r="AE72" i="4" l="1"/>
  <c r="P52" i="4"/>
  <c r="N52" i="4"/>
  <c r="AF20" i="4" s="1"/>
  <c r="N40" i="7"/>
  <c r="P40" i="7"/>
  <c r="M12" i="7"/>
  <c r="O8" i="7" s="1"/>
  <c r="K12" i="7"/>
  <c r="M28" i="7"/>
  <c r="O24" i="7" s="1"/>
  <c r="K28" i="7"/>
  <c r="K60" i="7"/>
  <c r="M60" i="7"/>
  <c r="O56" i="7" s="1"/>
  <c r="K2" i="4"/>
  <c r="N28" i="4"/>
  <c r="P28" i="4"/>
  <c r="Q24" i="4" s="1"/>
  <c r="S24" i="4" s="1"/>
  <c r="N60" i="4"/>
  <c r="AF28" i="4" s="1"/>
  <c r="P60" i="4"/>
  <c r="N44" i="4"/>
  <c r="AF12" i="4" s="1"/>
  <c r="P44" i="4"/>
  <c r="Q40" i="4" s="1"/>
  <c r="S40" i="4" s="1"/>
  <c r="AE8" i="4" s="1"/>
  <c r="N12" i="4"/>
  <c r="P12" i="4"/>
  <c r="AC72" i="4" l="1"/>
  <c r="Q56" i="4"/>
  <c r="S56" i="4" s="1"/>
  <c r="AE24" i="4" s="1"/>
  <c r="P56" i="7"/>
  <c r="R48" i="7" s="1"/>
  <c r="N56" i="7"/>
  <c r="T40" i="4"/>
  <c r="R40" i="4"/>
  <c r="AD8" i="4" s="1"/>
  <c r="T24" i="4"/>
  <c r="R24" i="4"/>
  <c r="N8" i="7"/>
  <c r="P8" i="7"/>
  <c r="J2" i="4"/>
  <c r="G72" i="4" s="1"/>
  <c r="L2" i="4"/>
  <c r="P24" i="7"/>
  <c r="N24" i="7"/>
  <c r="T56" i="4" l="1"/>
  <c r="U48" i="4" s="1"/>
  <c r="W48" i="4" s="1"/>
  <c r="AC16" i="4" s="1"/>
  <c r="R56" i="4"/>
  <c r="AD24" i="4" s="1"/>
  <c r="AA72" i="4" s="1"/>
  <c r="R16" i="7"/>
  <c r="Q16" i="7" s="1"/>
  <c r="S48" i="7"/>
  <c r="Q48" i="7"/>
  <c r="M4" i="4"/>
  <c r="V48" i="4" l="1"/>
  <c r="AB16" i="4" s="1"/>
  <c r="S16" i="7"/>
  <c r="U33" i="7" s="1"/>
  <c r="T33" i="7" s="1"/>
  <c r="X48" i="4"/>
  <c r="O4" i="4"/>
  <c r="P4" i="4" l="1"/>
  <c r="N4" i="4"/>
  <c r="K72" i="4" s="1"/>
  <c r="Q8" i="4" l="1"/>
  <c r="S8" i="4" l="1"/>
  <c r="R8" i="4" l="1"/>
  <c r="O72" i="4" s="1"/>
  <c r="T8" i="4"/>
  <c r="U16" i="4" l="1"/>
  <c r="W16" i="4" l="1"/>
  <c r="V16" i="4" l="1"/>
  <c r="S72" i="4" s="1"/>
  <c r="X16" i="4"/>
  <c r="Y33" i="4" l="1"/>
  <c r="AA19" i="4" l="1"/>
  <c r="Z19" i="4" s="1"/>
  <c r="W72" i="4" s="1"/>
  <c r="C74" i="4" s="1"/>
</calcChain>
</file>

<file path=xl/sharedStrings.xml><?xml version="1.0" encoding="utf-8"?>
<sst xmlns="http://schemas.openxmlformats.org/spreadsheetml/2006/main" count="30903" uniqueCount="1047">
  <si>
    <t>Round 1</t>
  </si>
  <si>
    <t>Round 2</t>
  </si>
  <si>
    <t>Round 3</t>
  </si>
  <si>
    <t>Round 4</t>
  </si>
  <si>
    <t>Round 5</t>
  </si>
  <si>
    <t>Round 6</t>
  </si>
  <si>
    <t>W</t>
  </si>
  <si>
    <t>L</t>
  </si>
  <si>
    <t>harmkenn</t>
  </si>
  <si>
    <t>harmkenn@gmail.com</t>
  </si>
  <si>
    <t>http://tournament.fantasysports.yahoo.com/</t>
  </si>
  <si>
    <t>Team</t>
  </si>
  <si>
    <t>Rank</t>
  </si>
  <si>
    <t>S16</t>
  </si>
  <si>
    <t>F4</t>
  </si>
  <si>
    <t>Win</t>
  </si>
  <si>
    <t>Total Index</t>
  </si>
  <si>
    <t>Seed History</t>
  </si>
  <si>
    <t>Projection</t>
  </si>
  <si>
    <t>RND 1</t>
  </si>
  <si>
    <t>RND 2</t>
  </si>
  <si>
    <t>RND 3</t>
  </si>
  <si>
    <t>RND 4</t>
  </si>
  <si>
    <t>RND 5</t>
  </si>
  <si>
    <t>RND 6</t>
  </si>
  <si>
    <t>%</t>
  </si>
  <si>
    <t>Kentucky</t>
  </si>
  <si>
    <t>Hampton</t>
  </si>
  <si>
    <t>Cincinnati</t>
  </si>
  <si>
    <t>Purdue</t>
  </si>
  <si>
    <t>Buffalo</t>
  </si>
  <si>
    <t>Maryland</t>
  </si>
  <si>
    <t>Valparaiso</t>
  </si>
  <si>
    <t>Butler</t>
  </si>
  <si>
    <t>Texas</t>
  </si>
  <si>
    <t>Notre Dame</t>
  </si>
  <si>
    <t>Indiana</t>
  </si>
  <si>
    <t>Kansas</t>
  </si>
  <si>
    <t>West</t>
  </si>
  <si>
    <t>Wisconsin</t>
  </si>
  <si>
    <t>Oregon</t>
  </si>
  <si>
    <t>Arkansas</t>
  </si>
  <si>
    <t>Wofford</t>
  </si>
  <si>
    <t>Harvard</t>
  </si>
  <si>
    <t>Xavier</t>
  </si>
  <si>
    <t>Mississippi</t>
  </si>
  <si>
    <t>Baylor</t>
  </si>
  <si>
    <t>VCU</t>
  </si>
  <si>
    <t>Arizona</t>
  </si>
  <si>
    <t>East</t>
  </si>
  <si>
    <t>Villanova</t>
  </si>
  <si>
    <t>Lafayette</t>
  </si>
  <si>
    <t>LSU</t>
  </si>
  <si>
    <t>Wyoming</t>
  </si>
  <si>
    <t>Louisville</t>
  </si>
  <si>
    <t>UC Irvine</t>
  </si>
  <si>
    <t>Providence</t>
  </si>
  <si>
    <t>Dayton</t>
  </si>
  <si>
    <t>Oklahoma</t>
  </si>
  <si>
    <t>Albany</t>
  </si>
  <si>
    <t>Georgia</t>
  </si>
  <si>
    <t>Virginia</t>
  </si>
  <si>
    <t>Belmont</t>
  </si>
  <si>
    <t>South</t>
  </si>
  <si>
    <t>Duke</t>
  </si>
  <si>
    <t>Utah</t>
  </si>
  <si>
    <t>Georgetown</t>
  </si>
  <si>
    <t>UCLA</t>
  </si>
  <si>
    <t>UAB</t>
  </si>
  <si>
    <t>Iowa</t>
  </si>
  <si>
    <t>Davidson</t>
  </si>
  <si>
    <t>Gonzaga</t>
  </si>
  <si>
    <t>BYU</t>
  </si>
  <si>
    <t>Manhattan</t>
  </si>
  <si>
    <t>Champion</t>
  </si>
  <si>
    <t>Wins</t>
  </si>
  <si>
    <t>S H</t>
  </si>
  <si>
    <t>Probability</t>
  </si>
  <si>
    <t>Vanderbilt</t>
  </si>
  <si>
    <t>Texas A&amp;M</t>
  </si>
  <si>
    <t>Connecticut</t>
  </si>
  <si>
    <t>Florida</t>
  </si>
  <si>
    <t>Michigan</t>
  </si>
  <si>
    <t>Pittsburgh</t>
  </si>
  <si>
    <t>California</t>
  </si>
  <si>
    <t>USC</t>
  </si>
  <si>
    <t>Syracuse</t>
  </si>
  <si>
    <t>Seton Hall</t>
  </si>
  <si>
    <t>Creighton</t>
  </si>
  <si>
    <t>Clemson</t>
  </si>
  <si>
    <t>Stony Brook</t>
  </si>
  <si>
    <t>Princeton</t>
  </si>
  <si>
    <t>Texas Tech</t>
  </si>
  <si>
    <t>Yale</t>
  </si>
  <si>
    <t>Tulsa</t>
  </si>
  <si>
    <t>Colorado</t>
  </si>
  <si>
    <t>Rhode Island</t>
  </si>
  <si>
    <t>Northwestern</t>
  </si>
  <si>
    <t>Strength of Schedule</t>
  </si>
  <si>
    <t>NCSOS</t>
  </si>
  <si>
    <t>Conf</t>
  </si>
  <si>
    <t>AdjO</t>
  </si>
  <si>
    <t>AdjD</t>
  </si>
  <si>
    <t>AdjT</t>
  </si>
  <si>
    <t>Luck</t>
  </si>
  <si>
    <t>OppO</t>
  </si>
  <si>
    <t>OppD</t>
  </si>
  <si>
    <t>Abilene Christian</t>
  </si>
  <si>
    <t>Slnd</t>
  </si>
  <si>
    <t>Air Force</t>
  </si>
  <si>
    <t>MWC</t>
  </si>
  <si>
    <t>Akron</t>
  </si>
  <si>
    <t>MAC</t>
  </si>
  <si>
    <t>Alabama</t>
  </si>
  <si>
    <t>SEC</t>
  </si>
  <si>
    <t>Alabama A&amp;M</t>
  </si>
  <si>
    <t>SWAC</t>
  </si>
  <si>
    <t>Alabama St.</t>
  </si>
  <si>
    <t>AE</t>
  </si>
  <si>
    <t>Alcorn St.</t>
  </si>
  <si>
    <t>American</t>
  </si>
  <si>
    <t>Pat</t>
  </si>
  <si>
    <t>Appalachian St.</t>
  </si>
  <si>
    <t>SB</t>
  </si>
  <si>
    <t>P12</t>
  </si>
  <si>
    <t>Arizona St.</t>
  </si>
  <si>
    <t>Arkansas Pine Bluff</t>
  </si>
  <si>
    <t>Arkansas St.</t>
  </si>
  <si>
    <t>Army</t>
  </si>
  <si>
    <t>Auburn</t>
  </si>
  <si>
    <t>Austin Peay</t>
  </si>
  <si>
    <t>OVC</t>
  </si>
  <si>
    <t>Ball St.</t>
  </si>
  <si>
    <t>B12</t>
  </si>
  <si>
    <t>Bethune Cookman</t>
  </si>
  <si>
    <t>MEAC</t>
  </si>
  <si>
    <t>Binghamton</t>
  </si>
  <si>
    <t>Boise St.</t>
  </si>
  <si>
    <t>Boston College</t>
  </si>
  <si>
    <t>ACC</t>
  </si>
  <si>
    <t>Boston University</t>
  </si>
  <si>
    <t>Bowling Green</t>
  </si>
  <si>
    <t>Bradley</t>
  </si>
  <si>
    <t>MVC</t>
  </si>
  <si>
    <t>Brown</t>
  </si>
  <si>
    <t>Ivy</t>
  </si>
  <si>
    <t>Bryant</t>
  </si>
  <si>
    <t>NEC</t>
  </si>
  <si>
    <t>Bucknell</t>
  </si>
  <si>
    <t>BE</t>
  </si>
  <si>
    <t>WCC</t>
  </si>
  <si>
    <t>Cal Poly</t>
  </si>
  <si>
    <t>BW</t>
  </si>
  <si>
    <t>Cal St. Bakersfield</t>
  </si>
  <si>
    <t>WAC</t>
  </si>
  <si>
    <t>Cal St. Fullerton</t>
  </si>
  <si>
    <t>Cal St. Northridge</t>
  </si>
  <si>
    <t>Campbell</t>
  </si>
  <si>
    <t>BSth</t>
  </si>
  <si>
    <t>Canisius</t>
  </si>
  <si>
    <t>MAAC</t>
  </si>
  <si>
    <t>Central Arkansas</t>
  </si>
  <si>
    <t>Central Connecticut</t>
  </si>
  <si>
    <t>Central Michigan</t>
  </si>
  <si>
    <t>Charleston Southern</t>
  </si>
  <si>
    <t>Charlotte</t>
  </si>
  <si>
    <t>CUSA</t>
  </si>
  <si>
    <t>Chattanooga</t>
  </si>
  <si>
    <t>SC</t>
  </si>
  <si>
    <t>Chicago St.</t>
  </si>
  <si>
    <t>Amer</t>
  </si>
  <si>
    <t>Cleveland St.</t>
  </si>
  <si>
    <t>Horz</t>
  </si>
  <si>
    <t>Coastal Carolina</t>
  </si>
  <si>
    <t>Colgate</t>
  </si>
  <si>
    <t>CAA</t>
  </si>
  <si>
    <t>Colorado St.</t>
  </si>
  <si>
    <t>Columbia</t>
  </si>
  <si>
    <t>Coppin St.</t>
  </si>
  <si>
    <t>Cornell</t>
  </si>
  <si>
    <t>Dartmouth</t>
  </si>
  <si>
    <t>A10</t>
  </si>
  <si>
    <t>Delaware</t>
  </si>
  <si>
    <t>Delaware St.</t>
  </si>
  <si>
    <t>Denver</t>
  </si>
  <si>
    <t>Sum</t>
  </si>
  <si>
    <t>DePaul</t>
  </si>
  <si>
    <t>Detroit</t>
  </si>
  <si>
    <t>Drake</t>
  </si>
  <si>
    <t>Drexel</t>
  </si>
  <si>
    <t>Duquesne</t>
  </si>
  <si>
    <t>East Carolina</t>
  </si>
  <si>
    <t>East Tennessee St.</t>
  </si>
  <si>
    <t>Eastern Illinois</t>
  </si>
  <si>
    <t>Eastern Kentucky</t>
  </si>
  <si>
    <t>Eastern Michigan</t>
  </si>
  <si>
    <t>Eastern Washington</t>
  </si>
  <si>
    <t>BSky</t>
  </si>
  <si>
    <t>Elon</t>
  </si>
  <si>
    <t>Evansville</t>
  </si>
  <si>
    <t>Fairfield</t>
  </si>
  <si>
    <t>Fairleigh Dickinson</t>
  </si>
  <si>
    <t>FIU</t>
  </si>
  <si>
    <t>Florida A&amp;M</t>
  </si>
  <si>
    <t>Florida Atlantic</t>
  </si>
  <si>
    <t>Florida Gulf Coast</t>
  </si>
  <si>
    <t>ASun</t>
  </si>
  <si>
    <t>Florida St.</t>
  </si>
  <si>
    <t>Fordham</t>
  </si>
  <si>
    <t>Fresno St.</t>
  </si>
  <si>
    <t>Furman</t>
  </si>
  <si>
    <t>Gardner Webb</t>
  </si>
  <si>
    <t>George Mason</t>
  </si>
  <si>
    <t>George Washington</t>
  </si>
  <si>
    <t>Georgia Southern</t>
  </si>
  <si>
    <t>Georgia St.</t>
  </si>
  <si>
    <t>Georgia Tech</t>
  </si>
  <si>
    <t>Grambling St.</t>
  </si>
  <si>
    <t>Grand Canyon</t>
  </si>
  <si>
    <t>Green Bay</t>
  </si>
  <si>
    <t>Hartford</t>
  </si>
  <si>
    <t>Hawaii</t>
  </si>
  <si>
    <t>High Point</t>
  </si>
  <si>
    <t>Hofstra</t>
  </si>
  <si>
    <t>Holy Cross</t>
  </si>
  <si>
    <t>Houston</t>
  </si>
  <si>
    <t>Houston Baptist</t>
  </si>
  <si>
    <t>Howard</t>
  </si>
  <si>
    <t>Idaho</t>
  </si>
  <si>
    <t>Idaho St.</t>
  </si>
  <si>
    <t>Illinois</t>
  </si>
  <si>
    <t>B10</t>
  </si>
  <si>
    <t>Illinois Chicago</t>
  </si>
  <si>
    <t>Illinois St.</t>
  </si>
  <si>
    <t>Incarnate Word</t>
  </si>
  <si>
    <t>Indiana St.</t>
  </si>
  <si>
    <t>Iona</t>
  </si>
  <si>
    <t>Iowa St.</t>
  </si>
  <si>
    <t>IUPUI</t>
  </si>
  <si>
    <t>Jackson St.</t>
  </si>
  <si>
    <t>Jacksonville</t>
  </si>
  <si>
    <t>Jacksonville St.</t>
  </si>
  <si>
    <t>James Madison</t>
  </si>
  <si>
    <t>Kansas St.</t>
  </si>
  <si>
    <t>Kennesaw St.</t>
  </si>
  <si>
    <t>Kent St.</t>
  </si>
  <si>
    <t>La Salle</t>
  </si>
  <si>
    <t>Lamar</t>
  </si>
  <si>
    <t>Lehigh</t>
  </si>
  <si>
    <t>Liberty</t>
  </si>
  <si>
    <t>Lipscomb</t>
  </si>
  <si>
    <t>LIU Brooklyn</t>
  </si>
  <si>
    <t>Long Beach St.</t>
  </si>
  <si>
    <t>Longwood</t>
  </si>
  <si>
    <t>Louisiana Lafayette</t>
  </si>
  <si>
    <t>Louisiana Monroe</t>
  </si>
  <si>
    <t>Louisiana Tech</t>
  </si>
  <si>
    <t>Loyola Chicago</t>
  </si>
  <si>
    <t>Loyola Marymount</t>
  </si>
  <si>
    <t>Loyola MD</t>
  </si>
  <si>
    <t>Maine</t>
  </si>
  <si>
    <t>Marist</t>
  </si>
  <si>
    <t>Marquette</t>
  </si>
  <si>
    <t>Marshall</t>
  </si>
  <si>
    <t>Maryland Eastern Shore</t>
  </si>
  <si>
    <t>Massachusetts</t>
  </si>
  <si>
    <t>McNeese St.</t>
  </si>
  <si>
    <t>Memphis</t>
  </si>
  <si>
    <t>Mercer</t>
  </si>
  <si>
    <t>Miami FL</t>
  </si>
  <si>
    <t>Miami OH</t>
  </si>
  <si>
    <t>Michigan St.</t>
  </si>
  <si>
    <t>Middle Tennessee</t>
  </si>
  <si>
    <t>Milwaukee</t>
  </si>
  <si>
    <t>Minnesota</t>
  </si>
  <si>
    <t>Mississippi St.</t>
  </si>
  <si>
    <t>Mississippi Valley St.</t>
  </si>
  <si>
    <t>Missouri</t>
  </si>
  <si>
    <t>Missouri St.</t>
  </si>
  <si>
    <t>Monmouth</t>
  </si>
  <si>
    <t>Montana</t>
  </si>
  <si>
    <t>Montana St.</t>
  </si>
  <si>
    <t>Morehead St.</t>
  </si>
  <si>
    <t>Morgan St.</t>
  </si>
  <si>
    <t>Mount St. Mary's</t>
  </si>
  <si>
    <t>Murray St.</t>
  </si>
  <si>
    <t>Navy</t>
  </si>
  <si>
    <t>Nebraska</t>
  </si>
  <si>
    <t>Nebraska Omaha</t>
  </si>
  <si>
    <t>Nevada</t>
  </si>
  <si>
    <t>New Hampshire</t>
  </si>
  <si>
    <t>New Mexico</t>
  </si>
  <si>
    <t>New Mexico St.</t>
  </si>
  <si>
    <t>New Orleans</t>
  </si>
  <si>
    <t>Niagara</t>
  </si>
  <si>
    <t>Nicholls St.</t>
  </si>
  <si>
    <t>NJIT</t>
  </si>
  <si>
    <t>Norfolk St.</t>
  </si>
  <si>
    <t>North Carolina</t>
  </si>
  <si>
    <t>North Carolina A&amp;T</t>
  </si>
  <si>
    <t>North Carolina Central</t>
  </si>
  <si>
    <t>North Carolina St.</t>
  </si>
  <si>
    <t>North Dakota</t>
  </si>
  <si>
    <t>North Dakota St.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</si>
  <si>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</si>
  <si>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</si>
  <si>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</si>
  <si>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</si>
  <si>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</si>
  <si>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</si>
  <si>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</si>
  <si>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</si>
  <si>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 St.</t>
  </si>
  <si>
    <t>Oakland</t>
  </si>
  <si>
    <t>Ohio</t>
  </si>
  <si>
    <t>Ohio St.</t>
  </si>
  <si>
    <t>Oklahoma St.</t>
  </si>
  <si>
    <t>Old Dominion</t>
  </si>
  <si>
    <t>Oral Roberts</t>
  </si>
  <si>
    <t>Oregon St.</t>
  </si>
  <si>
    <t>Pacific</t>
  </si>
  <si>
    <t>Penn</t>
  </si>
  <si>
    <t>Penn St.</t>
  </si>
  <si>
    <t>Pepperdine</t>
  </si>
  <si>
    <t>Portland</t>
  </si>
  <si>
    <t>Portland St.</t>
  </si>
  <si>
    <t>Prairie View A&amp;M</t>
  </si>
  <si>
    <t>Presbyterian</t>
  </si>
  <si>
    <t>Quinnipiac</t>
  </si>
  <si>
    <t>Radford</t>
  </si>
  <si>
    <t>Rice</t>
  </si>
  <si>
    <t>Richmond</t>
  </si>
  <si>
    <t>Rider</t>
  </si>
  <si>
    <t>Robert Morris</t>
  </si>
  <si>
    <t>Rutgers</t>
  </si>
  <si>
    <t>Sacramento St.</t>
  </si>
  <si>
    <t>Sacred Heart</t>
  </si>
  <si>
    <t>Saint Joseph's</t>
  </si>
  <si>
    <t>Saint Louis</t>
  </si>
  <si>
    <t>Saint Mary's</t>
  </si>
  <si>
    <t>Saint Peter's</t>
  </si>
  <si>
    <t>Sam Houston St.</t>
  </si>
  <si>
    <t>Samford</t>
  </si>
  <si>
    <t>San Diego</t>
  </si>
  <si>
    <t>San Diego St.</t>
  </si>
  <si>
    <t>San Francisco</t>
  </si>
  <si>
    <t>San Jose St.</t>
  </si>
  <si>
    <t>Santa Clara</t>
  </si>
  <si>
    <t>Savannah St.</t>
  </si>
  <si>
    <t>Seattle</t>
  </si>
  <si>
    <t>Siena</t>
  </si>
  <si>
    <t>SIU Edwardsville</t>
  </si>
  <si>
    <t>SMU</t>
  </si>
  <si>
    <t>South Alabama</t>
  </si>
  <si>
    <t>South Carolina</t>
  </si>
  <si>
    <t>South Carolina St.</t>
  </si>
  <si>
    <t>South Dakota</t>
  </si>
  <si>
    <t>South Dakota St.</t>
  </si>
  <si>
    <t>South Florida</t>
  </si>
  <si>
    <t>Southeast Missouri St.</t>
  </si>
  <si>
    <t>Southeastern Louisiana</t>
  </si>
  <si>
    <t>Southern</t>
  </si>
  <si>
    <t>Southern Illinois</t>
  </si>
  <si>
    <t>Southern Miss</t>
  </si>
  <si>
    <t>Southern Utah</t>
  </si>
  <si>
    <t>St. Bonaventure</t>
  </si>
  <si>
    <t>St. Francis NY</t>
  </si>
  <si>
    <t>St. Francis PA</t>
  </si>
  <si>
    <t>St. John's</t>
  </si>
  <si>
    <t>Stanford</t>
  </si>
  <si>
    <t>Stephen F. Austin</t>
  </si>
  <si>
    <t>Stetson</t>
  </si>
  <si>
    <t>TCU</t>
  </si>
  <si>
    <t>Temple</t>
  </si>
  <si>
    <t>Tennessee</t>
  </si>
  <si>
    <t>Tennessee Martin</t>
  </si>
  <si>
    <t>Tennessee St.</t>
  </si>
  <si>
    <t>Tennessee Tech</t>
  </si>
  <si>
    <t>Texas A&amp;M Corpus Chris</t>
  </si>
  <si>
    <t>Texas Southern</t>
  </si>
  <si>
    <t>Texas St.</t>
  </si>
  <si>
    <t>The Citadel</t>
  </si>
  <si>
    <t>Toledo</t>
  </si>
  <si>
    <t>Towson</t>
  </si>
  <si>
    <t>Troy</t>
  </si>
  <si>
    <t>Tulane</t>
  </si>
  <si>
    <t>UC Davis</t>
  </si>
  <si>
    <t>UC Riverside</t>
  </si>
  <si>
    <t>UC Santa Barbara</t>
  </si>
  <si>
    <t>UCF</t>
  </si>
  <si>
    <t>UMass Lowell</t>
  </si>
  <si>
    <t>UMBC</t>
  </si>
  <si>
    <t>UMKC</t>
  </si>
  <si>
    <t>UNC Asheville</t>
  </si>
  <si>
    <t>UNC Greensboro</t>
  </si>
  <si>
    <t>UNC Wilmington</t>
  </si>
  <si>
    <t>UNLV</t>
  </si>
  <si>
    <t>USC Upstate</t>
  </si>
  <si>
    <t>UT Arlington</t>
  </si>
  <si>
    <t>UT Rio Grande Valley</t>
  </si>
  <si>
    <t>Utah St.</t>
  </si>
  <si>
    <t>Utah Valley</t>
  </si>
  <si>
    <t>UTEP</t>
  </si>
  <si>
    <t>UTSA</t>
  </si>
  <si>
    <t>Vermont</t>
  </si>
  <si>
    <t>Virginia Tech</t>
  </si>
  <si>
    <t>VMI</t>
  </si>
  <si>
    <t>Wagner</t>
  </si>
  <si>
    <t>Wake Forest</t>
  </si>
  <si>
    <t>Washington</t>
  </si>
  <si>
    <t>Washington St.</t>
  </si>
  <si>
    <t>Weber St.</t>
  </si>
  <si>
    <t>West Virginia</t>
  </si>
  <si>
    <t>Western Carolina</t>
  </si>
  <si>
    <t>Western Illinois</t>
  </si>
  <si>
    <t>Western Kentucky</t>
  </si>
  <si>
    <t>Western Michigan</t>
  </si>
  <si>
    <t>Wichita St.</t>
  </si>
  <si>
    <t>William &amp; Mary</t>
  </si>
  <si>
    <t>Winthrop</t>
  </si>
  <si>
    <t>Wright St.</t>
  </si>
  <si>
    <t>Youngstown St.</t>
  </si>
  <si>
    <t>http://kenpom.com/index.php?s=TeamName</t>
  </si>
  <si>
    <t>https://www.teamrankings.com/ncaa-tournament/bracket-predictions/detail/</t>
  </si>
  <si>
    <t>R32</t>
  </si>
  <si>
    <t>E8</t>
  </si>
  <si>
    <t>Champ</t>
  </si>
  <si>
    <t>http://espn.go.com/mens-college-basketball/tournament/history/_/team1/5145</t>
  </si>
  <si>
    <t>IN?</t>
  </si>
  <si>
    <t>EV1</t>
  </si>
  <si>
    <t>EV2</t>
  </si>
  <si>
    <t>EV3</t>
  </si>
  <si>
    <t>EV4</t>
  </si>
  <si>
    <t>EV5</t>
  </si>
  <si>
    <t>EV6</t>
  </si>
  <si>
    <t>Exper</t>
  </si>
  <si>
    <t>EXP</t>
  </si>
  <si>
    <t>In?</t>
  </si>
  <si>
    <t>Historical Wins</t>
  </si>
  <si>
    <t>Midwest</t>
  </si>
  <si>
    <t>http://bracketmatrix.com/</t>
  </si>
  <si>
    <t>Team Name</t>
  </si>
  <si>
    <t>Current Record &amp; Projected Finish</t>
  </si>
  <si>
    <t>NCAA Tournament Advancement Odds</t>
  </si>
  <si>
    <t>Seed</t>
  </si>
  <si>
    <t>S-Curve</t>
  </si>
  <si>
    <t>Proj W/L</t>
  </si>
  <si>
    <t>Bid</t>
  </si>
  <si>
    <t>R64</t>
  </si>
  <si>
    <t>Projected Seed</t>
  </si>
  <si>
    <t>harmkenn@yahoo.com</t>
  </si>
  <si>
    <t>Date</t>
  </si>
  <si>
    <t>Round</t>
  </si>
  <si>
    <t>Region</t>
  </si>
  <si>
    <t>Winning Seed</t>
  </si>
  <si>
    <t>Winner</t>
  </si>
  <si>
    <t>Winning Score</t>
  </si>
  <si>
    <t>Losing Seed</t>
  </si>
  <si>
    <t>Loser</t>
  </si>
  <si>
    <t>Losing Score</t>
  </si>
  <si>
    <t>Overtime</t>
  </si>
  <si>
    <t>Southeast</t>
  </si>
  <si>
    <t>1 OT</t>
  </si>
  <si>
    <t>2 OT</t>
  </si>
  <si>
    <t>3 OT</t>
  </si>
  <si>
    <t>Southwest</t>
  </si>
  <si>
    <t>Year</t>
  </si>
  <si>
    <t>Final Four</t>
  </si>
  <si>
    <t>Championship</t>
  </si>
  <si>
    <t>Upset</t>
  </si>
  <si>
    <t>W-L</t>
  </si>
  <si>
    <t>AdjEM</t>
  </si>
  <si>
    <t>Little Rock</t>
  </si>
  <si>
    <t>E#W</t>
  </si>
  <si>
    <t>MV</t>
  </si>
  <si>
    <t>SeD</t>
  </si>
  <si>
    <t>PI</t>
  </si>
  <si>
    <t>LEW</t>
  </si>
  <si>
    <t>LAW</t>
  </si>
  <si>
    <t>LDW</t>
  </si>
  <si>
    <t/>
  </si>
  <si>
    <t>PASE</t>
  </si>
  <si>
    <t>%ile</t>
  </si>
  <si>
    <t>wConf</t>
  </si>
  <si>
    <t>Lconf</t>
  </si>
  <si>
    <t>http://games.espn.com/tournament-challenge-bracket/2018/en/</t>
  </si>
  <si>
    <t>https://projects.fivethirtyeight.com/2018-march-madness-predictions/?addata=espn:frontpage</t>
  </si>
  <si>
    <t>Cal Baptist</t>
  </si>
  <si>
    <t>Charleston</t>
  </si>
  <si>
    <t>Louisiana</t>
  </si>
  <si>
    <t>North Alabama</t>
  </si>
  <si>
    <t>Purdue Fort Wayne</t>
  </si>
  <si>
    <t>https://www.sports-reference.com/cbb/schools/canisius/</t>
  </si>
  <si>
    <t>21-13</t>
  </si>
  <si>
    <t>18-15</t>
  </si>
  <si>
    <t>Youngs St (12-20)</t>
  </si>
  <si>
    <t>29-4</t>
  </si>
  <si>
    <t>Wofford (29-4)</t>
  </si>
  <si>
    <t>Wright State (21-13)</t>
  </si>
  <si>
    <t>Wyoming (8-24)</t>
  </si>
  <si>
    <t>22-7</t>
  </si>
  <si>
    <t>18-11</t>
  </si>
  <si>
    <t>18-10</t>
  </si>
  <si>
    <t>Xavier (18-15)</t>
  </si>
  <si>
    <t>Yale (21-7)</t>
  </si>
  <si>
    <t>21-7</t>
  </si>
  <si>
    <t>https://www.foxsports.com/fantasy/collegebasketball/tourney/</t>
  </si>
  <si>
    <t>https://cbbbracket.fanduel.com/en/my-picks</t>
  </si>
  <si>
    <t>http://freebracketchallenge.1.mayhem.cbssports.com/brackets?do_fb_create=1</t>
  </si>
  <si>
    <t>Performance Against Seed Expectation</t>
  </si>
  <si>
    <t>NW</t>
  </si>
  <si>
    <t>NE</t>
  </si>
  <si>
    <t>SW</t>
  </si>
  <si>
    <t>SE</t>
  </si>
  <si>
    <t>23-4</t>
  </si>
  <si>
    <t>15-8</t>
  </si>
  <si>
    <t>23-6</t>
  </si>
  <si>
    <t>17-11</t>
  </si>
  <si>
    <t>17-9</t>
  </si>
  <si>
    <t>22-6</t>
  </si>
  <si>
    <t>13-14</t>
  </si>
  <si>
    <t>14-13</t>
  </si>
  <si>
    <t>22-2</t>
  </si>
  <si>
    <t>Bellarmine</t>
  </si>
  <si>
    <t>13-7</t>
  </si>
  <si>
    <t>26-4</t>
  </si>
  <si>
    <t>0-0</t>
  </si>
  <si>
    <t>18-8</t>
  </si>
  <si>
    <t>14-11</t>
  </si>
  <si>
    <t>15-6</t>
  </si>
  <si>
    <t>16-8</t>
  </si>
  <si>
    <t>20-6</t>
  </si>
  <si>
    <t>13-10</t>
  </si>
  <si>
    <t>15-11</t>
  </si>
  <si>
    <t>17-10</t>
  </si>
  <si>
    <t>0-9</t>
  </si>
  <si>
    <t>16-7</t>
  </si>
  <si>
    <t>19-7</t>
  </si>
  <si>
    <t>13-1</t>
  </si>
  <si>
    <t>22-8</t>
  </si>
  <si>
    <t>18-6</t>
  </si>
  <si>
    <t>15-7</t>
  </si>
  <si>
    <t>20-8</t>
  </si>
  <si>
    <t>13-8</t>
  </si>
  <si>
    <t>14-9</t>
  </si>
  <si>
    <t>Dixie St.</t>
  </si>
  <si>
    <t>25-4</t>
  </si>
  <si>
    <t>13-11</t>
  </si>
  <si>
    <t>13-12</t>
  </si>
  <si>
    <t>16-6</t>
  </si>
  <si>
    <t>16-9</t>
  </si>
  <si>
    <t>13-9</t>
  </si>
  <si>
    <t>14-12</t>
  </si>
  <si>
    <t>13-13</t>
  </si>
  <si>
    <t>17-8</t>
  </si>
  <si>
    <t>26-0</t>
  </si>
  <si>
    <t>17-6</t>
  </si>
  <si>
    <t>23-3</t>
  </si>
  <si>
    <t>15-10</t>
  </si>
  <si>
    <t>21-8</t>
  </si>
  <si>
    <t>18-9</t>
  </si>
  <si>
    <t>23-5</t>
  </si>
  <si>
    <t>15-12</t>
  </si>
  <si>
    <t>LIU</t>
  </si>
  <si>
    <t>24-4</t>
  </si>
  <si>
    <t>16-13</t>
  </si>
  <si>
    <t>Merrimack</t>
  </si>
  <si>
    <t>20-4</t>
  </si>
  <si>
    <t>14-15</t>
  </si>
  <si>
    <t>16-11</t>
  </si>
  <si>
    <t>15-14</t>
  </si>
  <si>
    <t>17-7</t>
  </si>
  <si>
    <t>15-13</t>
  </si>
  <si>
    <t>23-7</t>
  </si>
  <si>
    <t>14-8</t>
  </si>
  <si>
    <t>N.C. State</t>
  </si>
  <si>
    <t>15-3</t>
  </si>
  <si>
    <t>16-10</t>
  </si>
  <si>
    <t>18-7</t>
  </si>
  <si>
    <t>17-12</t>
  </si>
  <si>
    <t>16-5</t>
  </si>
  <si>
    <t>14-6</t>
  </si>
  <si>
    <t>19-9</t>
  </si>
  <si>
    <t>15-4</t>
  </si>
  <si>
    <t>Tarleton St.</t>
  </si>
  <si>
    <t>UC San Diego</t>
  </si>
  <si>
    <t>22-4</t>
  </si>
  <si>
    <t>19-6</t>
  </si>
  <si>
    <t>20-7</t>
  </si>
  <si>
    <t>23-1</t>
  </si>
  <si>
    <t>15-9</t>
  </si>
  <si>
    <t>5-20</t>
  </si>
  <si>
    <t>6-9</t>
  </si>
  <si>
    <t>4-14</t>
  </si>
  <si>
    <t>7-9</t>
  </si>
  <si>
    <t>6-13</t>
  </si>
  <si>
    <t>4-6</t>
  </si>
  <si>
    <t>11-14</t>
  </si>
  <si>
    <t>4-21</t>
  </si>
  <si>
    <t>11-13</t>
  </si>
  <si>
    <t>12-9</t>
  </si>
  <si>
    <t>10-13</t>
  </si>
  <si>
    <t>4-16</t>
  </si>
  <si>
    <t>7-11</t>
  </si>
  <si>
    <t>12-16</t>
  </si>
  <si>
    <t>5-7</t>
  </si>
  <si>
    <t>10-15</t>
  </si>
  <si>
    <t>4-20</t>
  </si>
  <si>
    <t>6-10</t>
  </si>
  <si>
    <t>9-13</t>
  </si>
  <si>
    <t>9-20</t>
  </si>
  <si>
    <t>7-6</t>
  </si>
  <si>
    <t>5-19</t>
  </si>
  <si>
    <t>5-16</t>
  </si>
  <si>
    <t>7-16</t>
  </si>
  <si>
    <t>9-10</t>
  </si>
  <si>
    <t>3-18</t>
  </si>
  <si>
    <t>9-16</t>
  </si>
  <si>
    <t>12-10</t>
  </si>
  <si>
    <t>7-8</t>
  </si>
  <si>
    <t>3-16</t>
  </si>
  <si>
    <t>2-19</t>
  </si>
  <si>
    <t>5-14</t>
  </si>
  <si>
    <t>8-13</t>
  </si>
  <si>
    <t>12-7</t>
  </si>
  <si>
    <t>9-9</t>
  </si>
  <si>
    <t>8-11</t>
  </si>
  <si>
    <t>9-18</t>
  </si>
  <si>
    <t>6-12</t>
  </si>
  <si>
    <t>10-9</t>
  </si>
  <si>
    <t>10-17</t>
  </si>
  <si>
    <t>9-15</t>
  </si>
  <si>
    <t>9-17</t>
  </si>
  <si>
    <t>8-12</t>
  </si>
  <si>
    <t>10-8</t>
  </si>
  <si>
    <t>2-12</t>
  </si>
  <si>
    <t>12-12</t>
  </si>
  <si>
    <t>11-15</t>
  </si>
  <si>
    <t>5-12</t>
  </si>
  <si>
    <t>8-17</t>
  </si>
  <si>
    <t>11-10</t>
  </si>
  <si>
    <t>5-11</t>
  </si>
  <si>
    <t>6-19</t>
  </si>
  <si>
    <t>1-4</t>
  </si>
  <si>
    <t>1-21</t>
  </si>
  <si>
    <t>7-18</t>
  </si>
  <si>
    <t>8-14</t>
  </si>
  <si>
    <t>12-15</t>
  </si>
  <si>
    <t>12-5</t>
  </si>
  <si>
    <t>2-22</t>
  </si>
  <si>
    <t>8-10</t>
  </si>
  <si>
    <t>12-6</t>
  </si>
  <si>
    <t>9-6</t>
  </si>
  <si>
    <t>10-18</t>
  </si>
  <si>
    <t>4-11</t>
  </si>
  <si>
    <t>7-19</t>
  </si>
  <si>
    <t>2-7</t>
  </si>
  <si>
    <t>7-13</t>
  </si>
  <si>
    <t>8-7</t>
  </si>
  <si>
    <t>10-14</t>
  </si>
  <si>
    <t>12-11</t>
  </si>
  <si>
    <t>5-18</t>
  </si>
  <si>
    <t>10-12</t>
  </si>
  <si>
    <t>12-8</t>
  </si>
  <si>
    <t>7-20</t>
  </si>
  <si>
    <t>6-16</t>
  </si>
  <si>
    <t>9-11</t>
  </si>
  <si>
    <t>7-12</t>
  </si>
  <si>
    <t>5-9</t>
  </si>
  <si>
    <t>8-15</t>
  </si>
  <si>
    <t>11-11</t>
  </si>
  <si>
    <t>11-18</t>
  </si>
  <si>
    <t>12-18</t>
  </si>
  <si>
    <t>6-15</t>
  </si>
  <si>
    <t>7-15</t>
  </si>
  <si>
    <t>6-17</t>
  </si>
  <si>
    <t>4-15</t>
  </si>
  <si>
    <t>5-15</t>
  </si>
  <si>
    <t>3-11</t>
  </si>
  <si>
    <t>11-5</t>
  </si>
  <si>
    <t>1-17</t>
  </si>
  <si>
    <t>11-16</t>
  </si>
  <si>
    <t>8-18</t>
  </si>
  <si>
    <t>12-14</t>
  </si>
  <si>
    <t>9-14</t>
  </si>
  <si>
    <t>10-10</t>
  </si>
  <si>
    <t>8-16</t>
  </si>
  <si>
    <t>4-19</t>
  </si>
  <si>
    <t>5-22</t>
  </si>
  <si>
    <t>11-17</t>
  </si>
  <si>
    <t>11-12</t>
  </si>
  <si>
    <t>7-10</t>
  </si>
  <si>
    <t>12-13</t>
  </si>
  <si>
    <t>10-5</t>
  </si>
  <si>
    <t>5-21</t>
  </si>
  <si>
    <t>Abl Christian (23-4)</t>
  </si>
  <si>
    <t>Air Force (5-20)</t>
  </si>
  <si>
    <t>Akron (15-8)</t>
  </si>
  <si>
    <t>Alab A&amp;M (6-9)</t>
  </si>
  <si>
    <t>Alabama (23-6)</t>
  </si>
  <si>
    <t>Alabama St (4-14)</t>
  </si>
  <si>
    <t>Albany (7-9)</t>
  </si>
  <si>
    <t>Alcorn State (6-13)</t>
  </si>
  <si>
    <t>American (4-6)</t>
  </si>
  <si>
    <t>App State (17-11)</t>
  </si>
  <si>
    <t>Arizona St (11-14)</t>
  </si>
  <si>
    <t>Arizona (17-9)</t>
  </si>
  <si>
    <t>Ark Pine Bl (4-21)</t>
  </si>
  <si>
    <t>Arkansas (22-6)</t>
  </si>
  <si>
    <t>Arkansas St (11-13)</t>
  </si>
  <si>
    <t>Army (12-9)</t>
  </si>
  <si>
    <t>Auburn (13-14)</t>
  </si>
  <si>
    <t>Austin Peay (14-13)</t>
  </si>
  <si>
    <t>Ball State (10-13)</t>
  </si>
  <si>
    <t>Baylor (22-2)</t>
  </si>
  <si>
    <t>Bellarmine (13-7)</t>
  </si>
  <si>
    <t>Belmont (26-4)</t>
  </si>
  <si>
    <t>Binghamton (4-14)</t>
  </si>
  <si>
    <t>Boise State (18-8)</t>
  </si>
  <si>
    <t>Boston Col (4-16)</t>
  </si>
  <si>
    <t>Boston U (7-11)</t>
  </si>
  <si>
    <t>Bowling Grn (14-11)</t>
  </si>
  <si>
    <t>Bradley (12-16)</t>
  </si>
  <si>
    <t>BYU (20-6)</t>
  </si>
  <si>
    <t>Bryant (15-6)</t>
  </si>
  <si>
    <t>Bucknell (5-7)</t>
  </si>
  <si>
    <t>Buffalo (16-8)</t>
  </si>
  <si>
    <t>Butler (10-15)</t>
  </si>
  <si>
    <t>Cal Poly (4-20)</t>
  </si>
  <si>
    <t>Cal Baptist (13-10)</t>
  </si>
  <si>
    <t>California (9-20)</t>
  </si>
  <si>
    <t>Campbell (17-10)</t>
  </si>
  <si>
    <t>Canisius (7-6)</t>
  </si>
  <si>
    <t>Central Ark (5-19)</t>
  </si>
  <si>
    <t>Central Conn (5-16)</t>
  </si>
  <si>
    <t>Central FL (11-12)</t>
  </si>
  <si>
    <t>Central Mich (7-16)</t>
  </si>
  <si>
    <t>Col Charlestn (9-10)</t>
  </si>
  <si>
    <t>Charl South (3-18)</t>
  </si>
  <si>
    <t>Charlotte (9-16)</t>
  </si>
  <si>
    <t>Chattanooga (18-8)</t>
  </si>
  <si>
    <t>Chicago St (0-9)</t>
  </si>
  <si>
    <t>Cincinnati (12-10)</t>
  </si>
  <si>
    <t>Clemson (16-7)</t>
  </si>
  <si>
    <t>Cleveland St (19-7)</t>
  </si>
  <si>
    <t>Coastal Car (16-7)</t>
  </si>
  <si>
    <t>Colgate (13-1)</t>
  </si>
  <si>
    <t>Colorado (22-8)</t>
  </si>
  <si>
    <t>Colorado St (18-6)</t>
  </si>
  <si>
    <t>Connecticut (15-7)</t>
  </si>
  <si>
    <t>Coppin State (9-13)</t>
  </si>
  <si>
    <t>Creighton (20-8)</t>
  </si>
  <si>
    <t>CS Bakersfld (15-11)</t>
  </si>
  <si>
    <t>CS Fullerton (6-10)</t>
  </si>
  <si>
    <t>Cal St Nrdge (9-13)</t>
  </si>
  <si>
    <t>Davidson (13-8)</t>
  </si>
  <si>
    <t>Dayton (14-9)</t>
  </si>
  <si>
    <t>Delaware (7-8)</t>
  </si>
  <si>
    <t>Delaware St (3-16)</t>
  </si>
  <si>
    <t>Denver (2-19)</t>
  </si>
  <si>
    <t>DePaul (5-14)</t>
  </si>
  <si>
    <t>Detroit (12-10)</t>
  </si>
  <si>
    <t>Dixie State (8-13)</t>
  </si>
  <si>
    <t>Drake (25-4)</t>
  </si>
  <si>
    <t>Drexel (12-7)</t>
  </si>
  <si>
    <t>Duke (13-11)</t>
  </si>
  <si>
    <t>Duquesne (9-9)</t>
  </si>
  <si>
    <t>E Carolina (8-11)</t>
  </si>
  <si>
    <t>E Tenn St (12-12)</t>
  </si>
  <si>
    <t>E Illinois (9-18)</t>
  </si>
  <si>
    <t>E Kentucky (22-7)</t>
  </si>
  <si>
    <t>E Michigan (6-12)</t>
  </si>
  <si>
    <t>E Washingtn (16-7)</t>
  </si>
  <si>
    <t>Elon (10-9)</t>
  </si>
  <si>
    <t>Evansville (9-16)</t>
  </si>
  <si>
    <t>Fairfield (10-17)</t>
  </si>
  <si>
    <t>F Dickinson (9-15)</t>
  </si>
  <si>
    <t>Florida A&amp;M (8-12)</t>
  </si>
  <si>
    <t>Fla Atlantic (13-10)</t>
  </si>
  <si>
    <t>Florida (14-9)</t>
  </si>
  <si>
    <t>Fla Gulf Cst (10-8)</t>
  </si>
  <si>
    <t>Florida Intl (9-17)</t>
  </si>
  <si>
    <t>Florida St (16-6)</t>
  </si>
  <si>
    <t>Fordham (2-12)</t>
  </si>
  <si>
    <t>Fresno St (12-12)</t>
  </si>
  <si>
    <t>Furman (16-9)</t>
  </si>
  <si>
    <t>Gard-Webb (11-15)</t>
  </si>
  <si>
    <t>Geo Mason (13-9)</t>
  </si>
  <si>
    <t>Geo Wshgtn (5-12)</t>
  </si>
  <si>
    <t>Georgetown (13-12)</t>
  </si>
  <si>
    <t>Georgia (14-12)</t>
  </si>
  <si>
    <t>GA Southern (13-13)</t>
  </si>
  <si>
    <t>Georgia St (16-6)</t>
  </si>
  <si>
    <t>GA Tech (17-8)</t>
  </si>
  <si>
    <t>Gonzaga (26-0)</t>
  </si>
  <si>
    <t>Grambling St (12-12)</t>
  </si>
  <si>
    <t>Grd Canyon (17-6)</t>
  </si>
  <si>
    <t>WI-Grn Bay (8-17)</t>
  </si>
  <si>
    <t>Hampton (11-14)</t>
  </si>
  <si>
    <t>Hartford (15-8)</t>
  </si>
  <si>
    <t>Hawaii (11-10)</t>
  </si>
  <si>
    <t>High Point (9-15)</t>
  </si>
  <si>
    <t>Hofstra (13-10)</t>
  </si>
  <si>
    <t>Holy Cross (5-11)</t>
  </si>
  <si>
    <t>Houston Bap (6-19)</t>
  </si>
  <si>
    <t>Houston (23-3)</t>
  </si>
  <si>
    <t>Howard (1-4)</t>
  </si>
  <si>
    <t>Idaho State (13-11)</t>
  </si>
  <si>
    <t>Idaho (1-21)</t>
  </si>
  <si>
    <t>IL-Chicago (9-13)</t>
  </si>
  <si>
    <t>Illinois (22-6)</t>
  </si>
  <si>
    <t>Illinois St (7-18)</t>
  </si>
  <si>
    <t>Incar Word (8-14)</t>
  </si>
  <si>
    <t>Indiana (12-15)</t>
  </si>
  <si>
    <t>Indiana St (15-10)</t>
  </si>
  <si>
    <t>Iona (12-5)</t>
  </si>
  <si>
    <t>Iowa (21-8)</t>
  </si>
  <si>
    <t>Iowa State (2-22)</t>
  </si>
  <si>
    <t>IUPUI (8-10)</t>
  </si>
  <si>
    <t>Jackson St (12-6)</t>
  </si>
  <si>
    <t>Jacksonville (11-13)</t>
  </si>
  <si>
    <t>Jksnville St (18-9)</t>
  </si>
  <si>
    <t>James Mad (13-7)</t>
  </si>
  <si>
    <t>UMKC (11-13)</t>
  </si>
  <si>
    <t>Kansas (20-8)</t>
  </si>
  <si>
    <t>Kansas St (9-20)</t>
  </si>
  <si>
    <t>Kennesaw St (5-19)</t>
  </si>
  <si>
    <t>Kent State (15-8)</t>
  </si>
  <si>
    <t>Kentucky (9-16)</t>
  </si>
  <si>
    <t>La Salle (9-16)</t>
  </si>
  <si>
    <t>Lafayette (9-6)</t>
  </si>
  <si>
    <t>Lamar (10-18)</t>
  </si>
  <si>
    <t>Lehigh (4-11)</t>
  </si>
  <si>
    <t>Liberty (23-5)</t>
  </si>
  <si>
    <t>Lipscomb (15-12)</t>
  </si>
  <si>
    <t>AR Lit Rock (11-15)</t>
  </si>
  <si>
    <t>LIU (9-9)</t>
  </si>
  <si>
    <t>Lg Beach St (6-12)</t>
  </si>
  <si>
    <t>Longwood (12-16)</t>
  </si>
  <si>
    <t>LSU (18-8)</t>
  </si>
  <si>
    <t>LA Tech (21-7)</t>
  </si>
  <si>
    <t>Louisville (13-7)</t>
  </si>
  <si>
    <t>Loyola-Chi (24-4)</t>
  </si>
  <si>
    <t>Loyola Mymt (13-9)</t>
  </si>
  <si>
    <t>Loyola-MD (6-10)</t>
  </si>
  <si>
    <t>Maine (2-7)</t>
  </si>
  <si>
    <t>Manhattan (7-13)</t>
  </si>
  <si>
    <t>Marist (12-9)</t>
  </si>
  <si>
    <t>Marquette (13-14)</t>
  </si>
  <si>
    <t>Marshall (15-7)</t>
  </si>
  <si>
    <t>Maryland (16-13)</t>
  </si>
  <si>
    <t>Mass Lowell (11-12)</t>
  </si>
  <si>
    <t>U Mass (8-7)</t>
  </si>
  <si>
    <t>McNeese St (10-14)</t>
  </si>
  <si>
    <t>Memphis (16-8)</t>
  </si>
  <si>
    <t>Mercer (18-11)</t>
  </si>
  <si>
    <t>Merrimack (9-9)</t>
  </si>
  <si>
    <t>Miami (FL) (10-17)</t>
  </si>
  <si>
    <t>Miami (OH) (12-11)</t>
  </si>
  <si>
    <t>Michigan St (15-12)</t>
  </si>
  <si>
    <t>Michigan (20-4)</t>
  </si>
  <si>
    <t>Middle Tenn (5-18)</t>
  </si>
  <si>
    <t>WI-Milwkee (10-12)</t>
  </si>
  <si>
    <t>Minnesota (14-15)</t>
  </si>
  <si>
    <t>Mississippi (16-11)</t>
  </si>
  <si>
    <t>Miss State (15-14)</t>
  </si>
  <si>
    <t>Miss Val St (2-22)</t>
  </si>
  <si>
    <t>Missouri St (17-7)</t>
  </si>
  <si>
    <t>Missouri (16-9)</t>
  </si>
  <si>
    <t>Monmouth (12-8)</t>
  </si>
  <si>
    <t>Montana (15-13)</t>
  </si>
  <si>
    <t>Montana St (13-10)</t>
  </si>
  <si>
    <t>Morehead St (23-7)</t>
  </si>
  <si>
    <t>Morgan St (14-8)</t>
  </si>
  <si>
    <t>Mt St Marys (12-10)</t>
  </si>
  <si>
    <t>Murray St (13-13)</t>
  </si>
  <si>
    <t>Navy (15-3)</t>
  </si>
  <si>
    <t>NC State (13-10)</t>
  </si>
  <si>
    <t>Nebraska (7-20)</t>
  </si>
  <si>
    <t>Neb Omaha (5-20)</t>
  </si>
  <si>
    <t>Nevada (16-10)</t>
  </si>
  <si>
    <t>N Hampshire (10-9)</t>
  </si>
  <si>
    <t>New Mexico (6-16)</t>
  </si>
  <si>
    <t>N Mex State (12-8)</t>
  </si>
  <si>
    <t>New Orleans (10-15)</t>
  </si>
  <si>
    <t>Niagara (9-11)</t>
  </si>
  <si>
    <t>Nicholls St (18-7)</t>
  </si>
  <si>
    <t>NJIT (7-12)</t>
  </si>
  <si>
    <t>Norfolk St (16-7)</t>
  </si>
  <si>
    <t>N Alabama (13-11)</t>
  </si>
  <si>
    <t>NC A&amp;T (11-10)</t>
  </si>
  <si>
    <t>NC Central (5-9)</t>
  </si>
  <si>
    <t>N Carolina (18-10)</t>
  </si>
  <si>
    <t>North Dakota (9-17)</t>
  </si>
  <si>
    <t>N Dakota St (15-12)</t>
  </si>
  <si>
    <t>N Florida (8-15)</t>
  </si>
  <si>
    <t>North Texas (17-9)</t>
  </si>
  <si>
    <t>Northeastrn (10-9)</t>
  </si>
  <si>
    <t>N Arizona (6-16)</t>
  </si>
  <si>
    <t>N Colorado (11-11)</t>
  </si>
  <si>
    <t>N Illinois (3-16)</t>
  </si>
  <si>
    <t>N Iowa (10-15)</t>
  </si>
  <si>
    <t>N Kentucky (14-11)</t>
  </si>
  <si>
    <t>NW State (11-18)</t>
  </si>
  <si>
    <t>Northwestern (9-15)</t>
  </si>
  <si>
    <t>Notre Dame (11-15)</t>
  </si>
  <si>
    <t>Oakland (12-18)</t>
  </si>
  <si>
    <t>Ohio (16-7)</t>
  </si>
  <si>
    <t>Ohio State (21-8)</t>
  </si>
  <si>
    <t>Oklahoma (15-10)</t>
  </si>
  <si>
    <t>Oklahoma St (20-8)</t>
  </si>
  <si>
    <t>Old Dominion (15-8)</t>
  </si>
  <si>
    <t>Oral Roberts (16-10)</t>
  </si>
  <si>
    <t>Oregon (20-6)</t>
  </si>
  <si>
    <t>Oregon St (17-12)</t>
  </si>
  <si>
    <t>Pacific (9-9)</t>
  </si>
  <si>
    <t>Penn State (11-14)</t>
  </si>
  <si>
    <t>Pepperdine (12-12)</t>
  </si>
  <si>
    <t>Pittsburgh (10-12)</t>
  </si>
  <si>
    <t>Portland (6-15)</t>
  </si>
  <si>
    <t>Portland St (9-13)</t>
  </si>
  <si>
    <t>Prairie View (16-5)</t>
  </si>
  <si>
    <t>Presbyterian (7-15)</t>
  </si>
  <si>
    <t>Providence (13-13)</t>
  </si>
  <si>
    <t>Purdue (18-9)</t>
  </si>
  <si>
    <t>IPFW (8-15)</t>
  </si>
  <si>
    <t>Quinnipiac (9-13)</t>
  </si>
  <si>
    <t>Radford (15-12)</t>
  </si>
  <si>
    <t>Rhode Island (10-15)</t>
  </si>
  <si>
    <t>Rice (15-13)</t>
  </si>
  <si>
    <t>Richmond (13-8)</t>
  </si>
  <si>
    <t>Rider (6-17)</t>
  </si>
  <si>
    <t>Rob Morris (4-15)</t>
  </si>
  <si>
    <t>Rutgers (15-11)</t>
  </si>
  <si>
    <t>Sac State (8-12)</t>
  </si>
  <si>
    <t>Sacred Hrt (9-9)</t>
  </si>
  <si>
    <t>St Josephs (5-15)</t>
  </si>
  <si>
    <t>Saint Louis (14-6)</t>
  </si>
  <si>
    <t>St Marys (14-9)</t>
  </si>
  <si>
    <t>St Peters (14-11)</t>
  </si>
  <si>
    <t>Sam Hous St (19-9)</t>
  </si>
  <si>
    <t>Samford (6-13)</t>
  </si>
  <si>
    <t>San Diego St (23-4)</t>
  </si>
  <si>
    <t>San Diego (3-11)</t>
  </si>
  <si>
    <t>San Fransco (11-14)</t>
  </si>
  <si>
    <t>San Jose St (5-16)</t>
  </si>
  <si>
    <t>Santa Clara (12-8)</t>
  </si>
  <si>
    <t>SE Missouri (11-16)</t>
  </si>
  <si>
    <t>Seattle (12-11)</t>
  </si>
  <si>
    <t>Seton Hall (14-13)</t>
  </si>
  <si>
    <t>Siena (12-5)</t>
  </si>
  <si>
    <t>SIU Edward (9-17)</t>
  </si>
  <si>
    <t>S Alabama (17-11)</t>
  </si>
  <si>
    <t>S Carolina (6-15)</t>
  </si>
  <si>
    <t>S Car State (1-17)</t>
  </si>
  <si>
    <t>SC Upstate (5-18)</t>
  </si>
  <si>
    <t>South Dakota (14-11)</t>
  </si>
  <si>
    <t>S Dakota St (16-7)</t>
  </si>
  <si>
    <t>S Florida (9-13)</t>
  </si>
  <si>
    <t>SE Louisiana (8-18)</t>
  </si>
  <si>
    <t>USC (22-7)</t>
  </si>
  <si>
    <t>S Illinois (12-14)</t>
  </si>
  <si>
    <t>Southern (8-11)</t>
  </si>
  <si>
    <t>S Methodist (11-5)</t>
  </si>
  <si>
    <t>S Mississippi (8-17)</t>
  </si>
  <si>
    <t>S Utah (20-4)</t>
  </si>
  <si>
    <t>St Bonavent (15-4)</t>
  </si>
  <si>
    <t>St Fran (NY) (9-10)</t>
  </si>
  <si>
    <t>St Fran (PA) (6-16)</t>
  </si>
  <si>
    <t>St Johns (16-11)</t>
  </si>
  <si>
    <t>Stanford (14-13)</t>
  </si>
  <si>
    <t>Ste F Austin (16-5)</t>
  </si>
  <si>
    <t>Stetson (11-14)</t>
  </si>
  <si>
    <t>Stony Brook (9-14)</t>
  </si>
  <si>
    <t>Syracuse (16-9)</t>
  </si>
  <si>
    <t>Tarleton State (10-10)</t>
  </si>
  <si>
    <t>Temple (5-11)</t>
  </si>
  <si>
    <t>TN Martin (8-16)</t>
  </si>
  <si>
    <t>TN State (4-19)</t>
  </si>
  <si>
    <t>TN Tech (5-22)</t>
  </si>
  <si>
    <t>Tennessee (18-8)</t>
  </si>
  <si>
    <t>Texas A&amp;M (8-10)</t>
  </si>
  <si>
    <t>TX A&amp;M-CC (5-19)</t>
  </si>
  <si>
    <t>TX-Arlington (13-13)</t>
  </si>
  <si>
    <t>TX Christian (12-14)</t>
  </si>
  <si>
    <t>TX El Paso (12-12)</t>
  </si>
  <si>
    <t>Texas (19-7)</t>
  </si>
  <si>
    <t>TX-Pan Am (9-10)</t>
  </si>
  <si>
    <t>TX-San Ant (15-11)</t>
  </si>
  <si>
    <t>TX Southern (16-8)</t>
  </si>
  <si>
    <t>Texas State (18-7)</t>
  </si>
  <si>
    <t>Texas Tech (17-10)</t>
  </si>
  <si>
    <t>Citadel (13-12)</t>
  </si>
  <si>
    <t>Toledo (21-8)</t>
  </si>
  <si>
    <t>Towson (4-14)</t>
  </si>
  <si>
    <t>Troy (11-17)</t>
  </si>
  <si>
    <t>Tulane (10-13)</t>
  </si>
  <si>
    <t>Tulsa (11-12)</t>
  </si>
  <si>
    <t>UAB (22-7)</t>
  </si>
  <si>
    <t>UC Davis (10-8)</t>
  </si>
  <si>
    <t>UC Irvine (18-9)</t>
  </si>
  <si>
    <t>UC Riverside (14-8)</t>
  </si>
  <si>
    <t>UC San Diego (7-10)</t>
  </si>
  <si>
    <t>UCSB (22-4)</t>
  </si>
  <si>
    <t>UCLA (17-9)</t>
  </si>
  <si>
    <t>LA Lafayette (17-9)</t>
  </si>
  <si>
    <t>LA Monroe (7-19)</t>
  </si>
  <si>
    <t>Maryland BC (14-6)</t>
  </si>
  <si>
    <t>NC-Asheville (10-10)</t>
  </si>
  <si>
    <t>NC-Grnsboro (21-8)</t>
  </si>
  <si>
    <t>NC-Wilmgton (7-10)</t>
  </si>
  <si>
    <t>UNLV (12-15)</t>
  </si>
  <si>
    <t>Utah State (20-8)</t>
  </si>
  <si>
    <t>Utah (12-13)</t>
  </si>
  <si>
    <t>Utah Val St (11-11)</t>
  </si>
  <si>
    <t>Valparaiso (10-18)</t>
  </si>
  <si>
    <t>Vanderbilt (9-16)</t>
  </si>
  <si>
    <t>VCU (19-6)</t>
  </si>
  <si>
    <t>Vermont (10-5)</t>
  </si>
  <si>
    <t>Villanova (16-6)</t>
  </si>
  <si>
    <t>Virginia (18-6)</t>
  </si>
  <si>
    <t>VA Tech (15-6)</t>
  </si>
  <si>
    <t>VA Military (13-12)</t>
  </si>
  <si>
    <t>Wagner (13-7)</t>
  </si>
  <si>
    <t>Wake Forest (6-16)</t>
  </si>
  <si>
    <t>Washington (5-21)</t>
  </si>
  <si>
    <t>Wash State (14-13)</t>
  </si>
  <si>
    <t>Weber State (17-6)</t>
  </si>
  <si>
    <t>W Virginia (18-9)</t>
  </si>
  <si>
    <t>W Carolina (11-16)</t>
  </si>
  <si>
    <t>W Illinois (7-15)</t>
  </si>
  <si>
    <t>W Kentucky (20-7)</t>
  </si>
  <si>
    <t>W Michigan (5-16)</t>
  </si>
  <si>
    <t>Wichita St (16-5)</t>
  </si>
  <si>
    <t>Wm &amp; Mary (7-10)</t>
  </si>
  <si>
    <t>Winthrop (23-1)</t>
  </si>
  <si>
    <t>Wisconsin (17-12)</t>
  </si>
  <si>
    <t>Wofford (15-9)</t>
  </si>
  <si>
    <t>Wright State (18-6)</t>
  </si>
  <si>
    <t>Wyoming (14-11)</t>
  </si>
  <si>
    <t>Xavier (13-8)</t>
  </si>
  <si>
    <t>Youngs St (15-12)</t>
  </si>
  <si>
    <t>NorthWest</t>
  </si>
  <si>
    <t>SouthWest</t>
  </si>
  <si>
    <t>NorthEast</t>
  </si>
  <si>
    <t>SouthEast</t>
  </si>
  <si>
    <t>1985 through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</si>
</sst>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0.0000"/>
    <numFmt numFmtId="165" formatCode="0.0"/>
    <numFmt numFmtId="166" formatCode="0.000"/>
    <numFmt numFmtId="167" formatCode="[$-409]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80808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5" fillId="0" borderId="14" applyNumberFormat="0" applyFill="0" applyAlignment="0" applyProtection="0"/>
    <xf numFmtId="0" fontId="6" fillId="0" borderId="15" applyNumberFormat="0" applyFill="0" applyAlignment="0" applyProtection="0"/>
    <xf numFmtId="0" fontId="7" fillId="0" borderId="16" applyNumberFormat="0" applyFill="0" applyAlignment="0" applyProtection="0"/>
    <xf numFmtId="0" fontId="7" fillId="0" borderId="0" applyNumberForma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17" applyNumberFormat="0" applyAlignment="0" applyProtection="0"/>
    <xf numFmtId="0" fontId="12" fillId="12" borderId="18" applyNumberFormat="0" applyAlignment="0" applyProtection="0"/>
    <xf numFmtId="0" fontId="13" fillId="12" borderId="17" applyNumberFormat="0" applyAlignment="0" applyProtection="0"/>
    <xf numFmtId="0" fontId="14" fillId="0" borderId="19" applyNumberFormat="0" applyFill="0" applyAlignment="0" applyProtection="0"/>
    <xf numFmtId="0" fontId="15" fillId="13" borderId="20" applyNumberFormat="0" applyAlignment="0" applyProtection="0"/>
    <xf numFmtId="0" fontId="16" fillId="0" borderId="0" applyNumberFormat="0" applyFill="0" applyBorder="0" applyAlignment="0" applyProtection="0"/>
    <xf numFmtId="0" fontId="1" fillId="14" borderId="21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22" applyNumberFormat="0" applyFill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9" fillId="38" borderId="0" applyNumberFormat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5" borderId="0" xfId="0" applyFill="1"/>
    <xf numFmtId="1" fontId="0" fillId="0" borderId="0" xfId="0" applyNumberFormat="1"/>
    <xf numFmtId="1" fontId="0" fillId="6" borderId="0" xfId="0" applyNumberFormat="1" applyFill="1"/>
    <xf numFmtId="0" fontId="2" fillId="0" borderId="0" xfId="2" applyAlignment="1" applyProtection="1">
      <alignment horizontal="left"/>
    </xf>
    <xf numFmtId="0" fontId="2" fillId="0" borderId="0" xfId="2" applyAlignment="1" applyProtection="1"/>
    <xf numFmtId="165" fontId="3" fillId="0" borderId="5" xfId="0" applyNumberFormat="1" applyFont="1" applyBorder="1" applyAlignment="1">
      <alignment horizontal="left" vertical="center"/>
    </xf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2" fontId="0" fillId="0" borderId="12" xfId="0" applyNumberFormat="1" applyBorder="1"/>
    <xf numFmtId="0" fontId="0" fillId="0" borderId="13" xfId="0" applyBorder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2" fontId="0" fillId="0" borderId="24" xfId="0" applyNumberFormat="1" applyBorder="1"/>
    <xf numFmtId="0" fontId="0" fillId="2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2" borderId="27" xfId="0" applyFill="1" applyBorder="1"/>
    <xf numFmtId="0" fontId="0" fillId="0" borderId="28" xfId="0" applyBorder="1"/>
    <xf numFmtId="0" fontId="0" fillId="0" borderId="29" xfId="0" applyBorder="1"/>
    <xf numFmtId="2" fontId="0" fillId="0" borderId="29" xfId="0" applyNumberFormat="1" applyBorder="1"/>
    <xf numFmtId="0" fontId="0" fillId="0" borderId="30" xfId="0" applyBorder="1"/>
    <xf numFmtId="2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 textRotation="90"/>
    </xf>
    <xf numFmtId="0" fontId="2" fillId="0" borderId="0" xfId="2" applyAlignment="1" applyProtection="1">
      <alignment horizontal="center"/>
    </xf>
    <xf numFmtId="0" fontId="0" fillId="0" borderId="0" xfId="0" applyAlignment="1">
      <alignment horizontal="center" vertical="center" textRotation="90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4" fontId="0" fillId="7" borderId="0" xfId="0" applyNumberFormat="1" applyFill="1" applyAlignment="1">
      <alignment horizontal="center"/>
    </xf>
    <xf numFmtId="1" fontId="0" fillId="39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0" xfId="0" applyNumberFormat="1"/>
    <xf numFmtId="0" fontId="0" fillId="41" borderId="0" xfId="0" applyFill="1"/>
    <xf numFmtId="0" fontId="18" fillId="0" borderId="31" xfId="0" applyFont="1" applyBorder="1" applyAlignment="1">
      <alignment vertical="top"/>
    </xf>
    <xf numFmtId="0" fontId="7" fillId="0" borderId="31" xfId="7" applyBorder="1" applyAlignment="1">
      <alignment vertical="top"/>
    </xf>
    <xf numFmtId="0" fontId="0" fillId="41" borderId="31" xfId="0" applyFill="1" applyBorder="1"/>
    <xf numFmtId="9" fontId="0" fillId="41" borderId="31" xfId="0" applyNumberFormat="1" applyFill="1" applyBorder="1" applyAlignment="1">
      <alignment vertical="center" wrapText="1"/>
    </xf>
    <xf numFmtId="166" fontId="0" fillId="0" borderId="1" xfId="1" applyNumberFormat="1" applyFont="1" applyBorder="1" applyAlignment="1">
      <alignment horizontal="center"/>
    </xf>
    <xf numFmtId="166" fontId="0" fillId="0" borderId="0" xfId="0" applyNumberFormat="1" applyAlignment="1">
      <alignment horizontal="left"/>
    </xf>
    <xf numFmtId="165" fontId="0" fillId="0" borderId="0" xfId="0" applyNumberFormat="1"/>
    <xf numFmtId="0" fontId="0" fillId="7" borderId="0" xfId="0" applyFill="1" applyAlignment="1">
      <alignment horizontal="center"/>
    </xf>
    <xf numFmtId="0" fontId="0" fillId="6" borderId="0" xfId="0" applyFill="1"/>
    <xf numFmtId="167" fontId="0" fillId="0" borderId="0" xfId="0" applyNumberFormat="1"/>
    <xf numFmtId="0" fontId="0" fillId="0" borderId="32" xfId="0" applyBorder="1"/>
    <xf numFmtId="0" fontId="0" fillId="0" borderId="0" xfId="0" applyAlignment="1">
      <alignment horizontal="center" vertical="top" textRotation="90"/>
    </xf>
    <xf numFmtId="167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7" borderId="0" xfId="0" applyFill="1"/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42" borderId="0" xfId="0" applyFill="1" applyAlignment="1">
      <alignment horizontal="center"/>
    </xf>
    <xf numFmtId="1" fontId="0" fillId="43" borderId="0" xfId="0" applyNumberFormat="1" applyFill="1" applyAlignment="1">
      <alignment horizontal="center"/>
    </xf>
    <xf numFmtId="164" fontId="0" fillId="7" borderId="0" xfId="0" applyNumberFormat="1" applyFill="1"/>
    <xf numFmtId="6" fontId="0" fillId="0" borderId="0" xfId="0" applyNumberFormat="1" applyAlignment="1">
      <alignment horizontal="left"/>
    </xf>
    <xf numFmtId="6" fontId="0" fillId="0" borderId="0" xfId="0" applyNumberFormat="1"/>
    <xf numFmtId="49" fontId="0" fillId="0" borderId="0" xfId="0" applyNumberFormat="1"/>
    <xf numFmtId="9" fontId="0" fillId="0" borderId="0" xfId="0" applyNumberFormat="1"/>
    <xf numFmtId="9" fontId="0" fillId="7" borderId="0" xfId="0" applyNumberFormat="1" applyFill="1"/>
    <xf numFmtId="0" fontId="2" fillId="0" borderId="6" xfId="2" applyBorder="1" applyAlignment="1" applyProtection="1"/>
    <xf numFmtId="2" fontId="0" fillId="6" borderId="0" xfId="0" applyNumberFormat="1" applyFill="1" applyAlignment="1">
      <alignment horizontal="center"/>
    </xf>
    <xf numFmtId="2" fontId="2" fillId="0" borderId="0" xfId="2" applyNumberFormat="1" applyAlignment="1" applyProtection="1"/>
    <xf numFmtId="2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1" fontId="0" fillId="40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7" borderId="0" xfId="0" applyFill="1" applyAlignment="1">
      <alignment horizontal="center" vertical="center" textRotation="90"/>
    </xf>
    <xf numFmtId="3" fontId="20" fillId="0" borderId="0" xfId="0" applyNumberFormat="1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28">
    <dxf>
      <fill>
        <patternFill>
          <bgColor rgb="FFFF967D"/>
        </patternFill>
      </fill>
    </dxf>
    <dxf>
      <fill>
        <patternFill>
          <bgColor rgb="FF66FF66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numFmt numFmtId="0" formatCode="General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0" formatCode="General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0" formatCode="General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1" formatCode="0"/>
      <alignment horizontal="center" vertical="bottom" textRotation="0" indent="0" justifyLastLine="0" shrinkToFit="0" readingOrder="0"/>
    </dxf>
    <dxf>
      <numFmt numFmtId="167" formatCode="[$-409]d\-mmm\-yy;@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mruColors>
      <color rgb="FF66FF66"/>
      <color rgb="FFFF967D"/>
      <color rgb="FFFF3300"/>
      <color rgb="FF009900"/>
      <color rgb="FFC9E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Binomial!$B$1</c:f>
              <c:strCache>
                <c:ptCount val="1"/>
                <c:pt idx="0">
                  <c:v>Probability</c:v>
                </c:pt>
              </c:strCache>
            </c:strRef>
          </c:tx>
          <c:marker>
            <c:symbol val="circle"/>
            <c:size val="2"/>
          </c:marker>
          <c:xVal>
            <c:numRef>
              <c:f>Binomial!$A$2:$A$65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Binomial!$B$2:$B$65</c:f>
              <c:numCache>
                <c:formatCode>General</c:formatCode>
                <c:ptCount val="64"/>
                <c:pt idx="0">
                  <c:v>8.5070591730235069E-26</c:v>
                </c:pt>
                <c:pt idx="1">
                  <c:v>8.0391709185072825E-24</c:v>
                </c:pt>
                <c:pt idx="2">
                  <c:v>3.7382144771058279E-22</c:v>
                </c:pt>
                <c:pt idx="3">
                  <c:v>1.1401554155172851E-20</c:v>
                </c:pt>
                <c:pt idx="4">
                  <c:v>2.5653496849138917E-19</c:v>
                </c:pt>
                <c:pt idx="5">
                  <c:v>4.5406689422976087E-18</c:v>
                </c:pt>
                <c:pt idx="6">
                  <c:v>6.5839699663314763E-17</c:v>
                </c:pt>
                <c:pt idx="7">
                  <c:v>8.0418490303048913E-16</c:v>
                </c:pt>
                <c:pt idx="8">
                  <c:v>8.4439414818201816E-15</c:v>
                </c:pt>
                <c:pt idx="9">
                  <c:v>7.7402796916684321E-14</c:v>
                </c:pt>
                <c:pt idx="10">
                  <c:v>6.2696265502514393E-13</c:v>
                </c:pt>
                <c:pt idx="11">
                  <c:v>4.5312300976817491E-12</c:v>
                </c:pt>
                <c:pt idx="12">
                  <c:v>2.9452995634931052E-11</c:v>
                </c:pt>
                <c:pt idx="13">
                  <c:v>1.7331955123632616E-10</c:v>
                </c:pt>
                <c:pt idx="14">
                  <c:v>9.2849759590889322E-10</c:v>
                </c:pt>
                <c:pt idx="15">
                  <c:v>4.5496382199535517E-9</c:v>
                </c:pt>
                <c:pt idx="16">
                  <c:v>2.0473371989791056E-8</c:v>
                </c:pt>
                <c:pt idx="17">
                  <c:v>8.4904277957662825E-8</c:v>
                </c:pt>
                <c:pt idx="18">
                  <c:v>3.2546639883770793E-7</c:v>
                </c:pt>
                <c:pt idx="19">
                  <c:v>1.1562622063971182E-6</c:v>
                </c:pt>
                <c:pt idx="20">
                  <c:v>3.8156652811105085E-6</c:v>
                </c:pt>
                <c:pt idx="21">
                  <c:v>1.171954336341081E-5</c:v>
                </c:pt>
                <c:pt idx="22">
                  <c:v>3.3560510540676308E-5</c:v>
                </c:pt>
                <c:pt idx="23">
                  <c:v>8.9737886880504107E-5</c:v>
                </c:pt>
                <c:pt idx="24">
                  <c:v>2.2434471720125996E-4</c:v>
                </c:pt>
                <c:pt idx="25">
                  <c:v>5.2496663825095141E-4</c:v>
                </c:pt>
                <c:pt idx="26">
                  <c:v>1.1508883992424653E-3</c:v>
                </c:pt>
                <c:pt idx="27">
                  <c:v>2.3657150428872888E-3</c:v>
                </c:pt>
                <c:pt idx="28">
                  <c:v>4.5624504398540499E-3</c:v>
                </c:pt>
                <c:pt idx="29">
                  <c:v>8.2596085549082165E-3</c:v>
                </c:pt>
                <c:pt idx="30">
                  <c:v>1.4041334543343935E-2</c:v>
                </c:pt>
                <c:pt idx="31">
                  <c:v>2.2420840641791149E-2</c:v>
                </c:pt>
                <c:pt idx="32">
                  <c:v>3.3631260962686725E-2</c:v>
                </c:pt>
                <c:pt idx="33">
                  <c:v>4.7389504083785769E-2</c:v>
                </c:pt>
                <c:pt idx="34">
                  <c:v>6.2721402463834106E-2</c:v>
                </c:pt>
                <c:pt idx="35">
                  <c:v>7.7953743062193853E-2</c:v>
                </c:pt>
                <c:pt idx="36">
                  <c:v>9.0946033572559482E-2</c:v>
                </c:pt>
                <c:pt idx="37">
                  <c:v>9.9549036748342062E-2</c:v>
                </c:pt>
                <c:pt idx="38">
                  <c:v>0.1021687482417195</c:v>
                </c:pt>
                <c:pt idx="39">
                  <c:v>9.8239181001653311E-2</c:v>
                </c:pt>
                <c:pt idx="40">
                  <c:v>8.8415262901487976E-2</c:v>
                </c:pt>
                <c:pt idx="41">
                  <c:v>7.4398209026861797E-2</c:v>
                </c:pt>
                <c:pt idx="42">
                  <c:v>5.8455735663962817E-2</c:v>
                </c:pt>
                <c:pt idx="43">
                  <c:v>4.2822224963135598E-2</c:v>
                </c:pt>
                <c:pt idx="44">
                  <c:v>2.9196971565774218E-2</c:v>
                </c:pt>
                <c:pt idx="45">
                  <c:v>1.8491415324990351E-2</c:v>
                </c:pt>
                <c:pt idx="46">
                  <c:v>1.0853656821189996E-2</c:v>
                </c:pt>
                <c:pt idx="47">
                  <c:v>5.8886861476669097E-3</c:v>
                </c:pt>
                <c:pt idx="48">
                  <c:v>2.9443430738334575E-3</c:v>
                </c:pt>
                <c:pt idx="49">
                  <c:v>1.3519942685969938E-3</c:v>
                </c:pt>
                <c:pt idx="50">
                  <c:v>5.6783759281073666E-4</c:v>
                </c:pt>
                <c:pt idx="51">
                  <c:v>2.1711437372175192E-4</c:v>
                </c:pt>
                <c:pt idx="52">
                  <c:v>7.5154975519068092E-5</c:v>
                </c:pt>
                <c:pt idx="53">
                  <c:v>2.3397303699332538E-5</c:v>
                </c:pt>
                <c:pt idx="54">
                  <c:v>6.4992510275923523E-6</c:v>
                </c:pt>
                <c:pt idx="55">
                  <c:v>1.5952707067726688E-6</c:v>
                </c:pt>
                <c:pt idx="56">
                  <c:v>3.4184372287985775E-7</c:v>
                </c:pt>
                <c:pt idx="57">
                  <c:v>6.297121210944738E-8</c:v>
                </c:pt>
                <c:pt idx="58">
                  <c:v>9.7713949825005413E-9</c:v>
                </c:pt>
                <c:pt idx="59">
                  <c:v>1.2421264808263331E-9</c:v>
                </c:pt>
                <c:pt idx="60">
                  <c:v>1.2421264808263266E-10</c:v>
                </c:pt>
                <c:pt idx="61">
                  <c:v>9.163228137243419E-12</c:v>
                </c:pt>
                <c:pt idx="62">
                  <c:v>4.4338200664081378E-13</c:v>
                </c:pt>
                <c:pt idx="63">
                  <c:v>1.0556714443828832E-14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4-4280-8078-7890A3D5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9792"/>
        <c:axId val="46330368"/>
      </c:scatterChart>
      <c:valAx>
        <c:axId val="463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30368"/>
        <c:crosses val="autoZero"/>
        <c:crossBetween val="midCat"/>
      </c:valAx>
      <c:valAx>
        <c:axId val="4633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29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2</xdr:row>
      <xdr:rowOff>66675</xdr:rowOff>
    </xdr:from>
    <xdr:to>
      <xdr:col>18</xdr:col>
      <xdr:colOff>285750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2312" totalsRowShown="0" headerRowDxfId="27">
  <autoFilter ref="A1:S2312" xr:uid="{00000000-0009-0000-0100-000001000000}"/>
  <sortState xmlns:xlrd2="http://schemas.microsoft.com/office/spreadsheetml/2017/richdata2" ref="A2:Q2151">
    <sortCondition ref="B1:B2151"/>
  </sortState>
  <tableColumns count="19">
    <tableColumn id="1" xr3:uid="{00000000-0010-0000-0000-000001000000}" name="Date" dataDxfId="26"/>
    <tableColumn id="11" xr3:uid="{00000000-0010-0000-0000-00000B000000}" name="Year" dataDxfId="25"/>
    <tableColumn id="2" xr3:uid="{00000000-0010-0000-0000-000002000000}" name="Round" dataDxfId="24"/>
    <tableColumn id="3" xr3:uid="{00000000-0010-0000-0000-000003000000}" name="Region"/>
    <tableColumn id="4" xr3:uid="{00000000-0010-0000-0000-000004000000}" name="Winning Seed" dataDxfId="23"/>
    <tableColumn id="5" xr3:uid="{00000000-0010-0000-0000-000005000000}" name="Winner"/>
    <tableColumn id="18" xr3:uid="{00000000-0010-0000-0000-000012000000}" name="wConf" dataDxfId="22">
      <calculatedColumnFormula>VLOOKUP(Table1[[#This Row],[Winner]],Ranking!C:D,2,FALSE)</calculatedColumnFormula>
    </tableColumn>
    <tableColumn id="6" xr3:uid="{00000000-0010-0000-0000-000006000000}" name="Winning Score" dataDxfId="21"/>
    <tableColumn id="7" xr3:uid="{00000000-0010-0000-0000-000007000000}" name="Losing Seed" dataDxfId="20"/>
    <tableColumn id="8" xr3:uid="{00000000-0010-0000-0000-000008000000}" name="Loser"/>
    <tableColumn id="19" xr3:uid="{00000000-0010-0000-0000-000013000000}" name="Lconf" dataDxfId="19">
      <calculatedColumnFormula>VLOOKUP(Table1[[#This Row],[Loser]],Ranking!C:D,2,FALSE)</calculatedColumnFormula>
    </tableColumn>
    <tableColumn id="9" xr3:uid="{00000000-0010-0000-0000-000009000000}" name="Losing Score" dataDxfId="18"/>
    <tableColumn id="10" xr3:uid="{00000000-0010-0000-0000-00000A000000}" name="Overtime" dataDxfId="17"/>
    <tableColumn id="12" xr3:uid="{00000000-0010-0000-0000-00000C000000}" name="MV" dataDxfId="16">
      <calculatedColumnFormula>Table1[[#This Row],[Winning Score]]-Table1[[#This Row],[Losing Score]]</calculatedColumnFormula>
    </tableColumn>
    <tableColumn id="13" xr3:uid="{00000000-0010-0000-0000-00000D000000}" name="SeD" dataDxfId="15">
      <calculatedColumnFormula>Table1[[#This Row],[Losing Seed]]-Table1[[#This Row],[Winning Seed]]</calculatedColumnFormula>
    </tableColumn>
    <tableColumn id="14" xr3:uid="{00000000-0010-0000-0000-00000E000000}" name="Upset" dataDxfId="14">
      <calculatedColumnFormula>IF(Table1[[#This Row],[SeD]]&lt;-2,Table1[[#This Row],[Winning Seed]]&amp; " over " &amp;Table1[[#This Row],[Losing Seed]],"")</calculatedColumnFormula>
    </tableColumn>
    <tableColumn id="15" xr3:uid="{00000000-0010-0000-0000-00000F000000}" name="LEW" dataDxfId="13">
      <calculatedColumnFormula>VLOOKUP(Table1[[#This Row],[Losing Seed]],'Seed History'!$N$4:$O$19,2)</calculatedColumnFormula>
    </tableColumn>
    <tableColumn id="16" xr3:uid="{00000000-0010-0000-0000-000010000000}" name="LAW" dataDxfId="12">
      <calculatedColumnFormula>IF(Table1[[#This Row],[Round]]="PI",0,Table1[[#This Row],[Round]]-1)</calculatedColumnFormula>
    </tableColumn>
    <tableColumn id="17" xr3:uid="{00000000-0010-0000-0000-000011000000}" name="LDW" dataDxfId="11">
      <calculatedColumnFormula>Table1[[#This Row],[LAW]]-Table1[[#This Row],[LEW]]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armkenn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tournament.fantasysports.yahoo.com/" TargetMode="External"/><Relationship Id="rId1" Type="http://schemas.openxmlformats.org/officeDocument/2006/relationships/hyperlink" Target="https://cbbbracket.fanduel.com/en/my-picks" TargetMode="External"/><Relationship Id="rId6" Type="http://schemas.openxmlformats.org/officeDocument/2006/relationships/hyperlink" Target="https://www.foxsports.com/fantasy/collegebasketball/tourney/" TargetMode="External"/><Relationship Id="rId5" Type="http://schemas.openxmlformats.org/officeDocument/2006/relationships/hyperlink" Target="http://games.espn.com/tournament-challenge-bracket/2018/en/" TargetMode="External"/><Relationship Id="rId4" Type="http://schemas.openxmlformats.org/officeDocument/2006/relationships/hyperlink" Target="mailto:harmkenn@yahoo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ports-reference.com/cbb/schools/canisiu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spn.go.com/mens-college-basketball/tournament/history/_/team1/514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kenpom.com/index.php?s=TeamNam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projects.fivethirtyeight.com/2018-march-madness-predictions/?addata=espn:frontpage" TargetMode="External"/><Relationship Id="rId1" Type="http://schemas.openxmlformats.org/officeDocument/2006/relationships/hyperlink" Target="https://www.teamrankings.com/ncaa-tournament/bracket-predictions/detail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bracketmatrix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S2312"/>
  <sheetViews>
    <sheetView tabSelected="1" zoomScale="85" zoomScaleNormal="85" workbookViewId="0">
      <pane ySplit="1" topLeftCell="A2284" activePane="bottomLeft" state="frozen"/>
      <selection activeCell="R2189" sqref="R2189"/>
      <selection pane="bottomLeft" activeCell="D2316" sqref="D2316"/>
    </sheetView>
  </sheetViews>
  <sheetFormatPr defaultColWidth="9.140625" defaultRowHeight="15" x14ac:dyDescent="0.25"/>
  <cols>
    <col min="1" max="1" width="9.85546875" style="66" bestFit="1" customWidth="1"/>
    <col min="2" max="2" width="7.28515625" style="51" bestFit="1" customWidth="1"/>
    <col min="3" max="3" width="9" style="1" customWidth="1"/>
    <col min="4" max="4" width="8.7109375" customWidth="1"/>
    <col min="5" max="5" width="8.5703125" style="1" customWidth="1"/>
    <col min="6" max="6" width="19.42578125" bestFit="1" customWidth="1"/>
    <col min="7" max="7" width="9.140625" bestFit="1" customWidth="1"/>
    <col min="8" max="8" width="8.28515625" style="1" customWidth="1"/>
    <col min="9" max="9" width="7.42578125" style="1" customWidth="1"/>
    <col min="10" max="10" width="25.140625" bestFit="1" customWidth="1"/>
    <col min="11" max="11" width="8.28515625" bestFit="1" customWidth="1"/>
    <col min="12" max="12" width="8.140625" style="1" customWidth="1"/>
    <col min="13" max="13" width="11.7109375" style="1" bestFit="1" customWidth="1"/>
    <col min="14" max="16" width="9.140625" style="1"/>
    <col min="18" max="18" width="9.140625" style="1"/>
  </cols>
  <sheetData>
    <row r="1" spans="1:19" s="70" customFormat="1" ht="30" x14ac:dyDescent="0.25">
      <c r="A1" s="69" t="s">
        <v>451</v>
      </c>
      <c r="B1" s="72" t="s">
        <v>466</v>
      </c>
      <c r="C1" s="73" t="s">
        <v>452</v>
      </c>
      <c r="D1" s="70" t="s">
        <v>453</v>
      </c>
      <c r="E1" s="73" t="s">
        <v>454</v>
      </c>
      <c r="F1" s="70" t="s">
        <v>455</v>
      </c>
      <c r="G1" s="70" t="s">
        <v>483</v>
      </c>
      <c r="H1" s="73" t="s">
        <v>456</v>
      </c>
      <c r="I1" s="73" t="s">
        <v>457</v>
      </c>
      <c r="J1" s="70" t="s">
        <v>458</v>
      </c>
      <c r="K1" s="70" t="s">
        <v>484</v>
      </c>
      <c r="L1" s="73" t="s">
        <v>459</v>
      </c>
      <c r="M1" s="73" t="s">
        <v>460</v>
      </c>
      <c r="N1" s="73" t="s">
        <v>474</v>
      </c>
      <c r="O1" s="73" t="s">
        <v>475</v>
      </c>
      <c r="P1" s="73" t="s">
        <v>469</v>
      </c>
      <c r="Q1" s="70" t="s">
        <v>477</v>
      </c>
      <c r="R1" s="73" t="s">
        <v>478</v>
      </c>
      <c r="S1" s="70" t="s">
        <v>479</v>
      </c>
    </row>
    <row r="2" spans="1:19" x14ac:dyDescent="0.25">
      <c r="A2" s="66">
        <v>31120</v>
      </c>
      <c r="B2" s="51">
        <f>YEAR(Table1[[#This Row],[Date]])</f>
        <v>1985</v>
      </c>
      <c r="C2" s="1">
        <v>1</v>
      </c>
      <c r="D2" t="s">
        <v>49</v>
      </c>
      <c r="E2" s="1">
        <v>1</v>
      </c>
      <c r="F2" t="s">
        <v>66</v>
      </c>
      <c r="G2" t="str">
        <f>VLOOKUP(Table1[[#This Row],[Winner]],Ranking!C:D,2,FALSE)</f>
        <v>BE</v>
      </c>
      <c r="H2" s="1">
        <v>68</v>
      </c>
      <c r="I2" s="1">
        <v>16</v>
      </c>
      <c r="J2" t="s">
        <v>248</v>
      </c>
      <c r="K2" t="str">
        <f>VLOOKUP(Table1[[#This Row],[Loser]],Ranking!C:D,2,FALSE)</f>
        <v>Pat</v>
      </c>
      <c r="L2" s="1">
        <v>43</v>
      </c>
      <c r="N2" s="1">
        <f>Table1[[#This Row],[Winning Score]]-Table1[[#This Row],[Losing Score]]</f>
        <v>25</v>
      </c>
      <c r="O2" s="1">
        <f>Table1[[#This Row],[Losing Seed]]-Table1[[#This Row],[Winning Seed]]</f>
        <v>15</v>
      </c>
      <c r="P2" s="1" t="str">
        <f>IF(Table1[[#This Row],[SeD]]&lt;-2,Table1[[#This Row],[Winning Seed]]&amp; " over " &amp;Table1[[#This Row],[Losing Seed]],"")</f>
        <v/>
      </c>
      <c r="Q2">
        <f>VLOOKUP(Table1[[#This Row],[Losing Seed]],'Seed History'!$N$4:$O$19,2)</f>
        <v>6.9444444444444441E-3</v>
      </c>
      <c r="R2" s="1">
        <f>IF(Table1[[#This Row],[Round]]="PI",0,Table1[[#This Row],[Round]]-1)</f>
        <v>0</v>
      </c>
      <c r="S2">
        <f>Table1[[#This Row],[LAW]]-Table1[[#This Row],[LEW]]</f>
        <v>-6.9444444444444441E-3</v>
      </c>
    </row>
    <row r="3" spans="1:19" x14ac:dyDescent="0.25">
      <c r="A3" s="66">
        <v>31120</v>
      </c>
      <c r="B3" s="51">
        <f>YEAR(Table1[[#This Row],[Date]])</f>
        <v>1985</v>
      </c>
      <c r="C3" s="1">
        <v>1</v>
      </c>
      <c r="D3" t="s">
        <v>49</v>
      </c>
      <c r="E3" s="1">
        <v>4</v>
      </c>
      <c r="F3" t="s">
        <v>257</v>
      </c>
      <c r="G3" t="str">
        <f>VLOOKUP(Table1[[#This Row],[Winner]],Ranking!C:D,2,FALSE)</f>
        <v>MVC</v>
      </c>
      <c r="H3" s="1">
        <v>59</v>
      </c>
      <c r="I3" s="1">
        <v>13</v>
      </c>
      <c r="J3" t="s">
        <v>236</v>
      </c>
      <c r="K3" t="str">
        <f>VLOOKUP(Table1[[#This Row],[Loser]],Ranking!C:D,2,FALSE)</f>
        <v>MAAC</v>
      </c>
      <c r="L3" s="1">
        <v>58</v>
      </c>
      <c r="N3" s="1">
        <f>Table1[[#This Row],[Winning Score]]-Table1[[#This Row],[Losing Score]]</f>
        <v>1</v>
      </c>
      <c r="O3" s="1">
        <f>Table1[[#This Row],[Losing Seed]]-Table1[[#This Row],[Winning Seed]]</f>
        <v>9</v>
      </c>
      <c r="P3" s="1" t="str">
        <f>IF(Table1[[#This Row],[SeD]]&lt;-2,Table1[[#This Row],[Winning Seed]]&amp; " over " &amp;Table1[[#This Row],[Losing Seed]],"")</f>
        <v/>
      </c>
      <c r="Q3">
        <f>VLOOKUP(Table1[[#This Row],[Losing Seed]],'Seed History'!$N$4:$O$19,2)</f>
        <v>0.25694444444444442</v>
      </c>
      <c r="R3" s="1">
        <f>IF(Table1[[#This Row],[Round]]="PI",0,Table1[[#This Row],[Round]]-1)</f>
        <v>0</v>
      </c>
      <c r="S3">
        <f>Table1[[#This Row],[LAW]]-Table1[[#This Row],[LEW]]</f>
        <v>-0.25694444444444442</v>
      </c>
    </row>
    <row r="4" spans="1:19" x14ac:dyDescent="0.25">
      <c r="A4" s="66">
        <v>31120</v>
      </c>
      <c r="B4" s="51">
        <f>YEAR(Table1[[#This Row],[Date]])</f>
        <v>1985</v>
      </c>
      <c r="C4" s="1">
        <v>1</v>
      </c>
      <c r="D4" t="s">
        <v>49</v>
      </c>
      <c r="E4" s="1">
        <v>5</v>
      </c>
      <c r="F4" t="s">
        <v>352</v>
      </c>
      <c r="G4" t="str">
        <f>VLOOKUP(Table1[[#This Row],[Winner]],Ranking!C:D,2,FALSE)</f>
        <v>Amer</v>
      </c>
      <c r="H4" s="1">
        <v>85</v>
      </c>
      <c r="I4" s="1">
        <v>12</v>
      </c>
      <c r="J4" t="s">
        <v>317</v>
      </c>
      <c r="K4" t="str">
        <f>VLOOKUP(Table1[[#This Row],[Loser]],Ranking!C:D,2,FALSE)</f>
        <v>CUSA</v>
      </c>
      <c r="L4" s="1">
        <v>68</v>
      </c>
      <c r="N4" s="1">
        <f>Table1[[#This Row],[Winning Score]]-Table1[[#This Row],[Losing Score]]</f>
        <v>17</v>
      </c>
      <c r="O4" s="1">
        <f>Table1[[#This Row],[Losing Seed]]-Table1[[#This Row],[Winning Seed]]</f>
        <v>7</v>
      </c>
      <c r="P4" s="1" t="str">
        <f>IF(Table1[[#This Row],[SeD]]&lt;-2,Table1[[#This Row],[Winning Seed]]&amp; " over " &amp;Table1[[#This Row],[Losing Seed]],"")</f>
        <v/>
      </c>
      <c r="Q4">
        <f>VLOOKUP(Table1[[#This Row],[Losing Seed]],'Seed History'!$N$4:$O$19,2)</f>
        <v>0.52083333333333337</v>
      </c>
      <c r="R4" s="1">
        <f>IF(Table1[[#This Row],[Round]]="PI",0,Table1[[#This Row],[Round]]-1)</f>
        <v>0</v>
      </c>
      <c r="S4">
        <f>Table1[[#This Row],[LAW]]-Table1[[#This Row],[LEW]]</f>
        <v>-0.52083333333333337</v>
      </c>
    </row>
    <row r="5" spans="1:19" x14ac:dyDescent="0.25">
      <c r="A5" s="66">
        <v>31120</v>
      </c>
      <c r="B5" s="51">
        <f>YEAR(Table1[[#This Row],[Date]])</f>
        <v>1985</v>
      </c>
      <c r="C5" s="1">
        <v>1</v>
      </c>
      <c r="D5" t="s">
        <v>49</v>
      </c>
      <c r="E5" s="1">
        <v>8</v>
      </c>
      <c r="F5" t="s">
        <v>373</v>
      </c>
      <c r="G5" t="str">
        <f>VLOOKUP(Table1[[#This Row],[Winner]],Ranking!C:D,2,FALSE)</f>
        <v>Amer</v>
      </c>
      <c r="H5" s="1">
        <v>60</v>
      </c>
      <c r="I5" s="1">
        <v>9</v>
      </c>
      <c r="J5" t="s">
        <v>405</v>
      </c>
      <c r="K5" t="str">
        <f>VLOOKUP(Table1[[#This Row],[Loser]],Ranking!C:D,2,FALSE)</f>
        <v>ACC</v>
      </c>
      <c r="L5" s="1">
        <v>57</v>
      </c>
      <c r="N5" s="1">
        <f>Table1[[#This Row],[Winning Score]]-Table1[[#This Row],[Losing Score]]</f>
        <v>3</v>
      </c>
      <c r="O5" s="1">
        <f>Table1[[#This Row],[Losing Seed]]-Table1[[#This Row],[Winning Seed]]</f>
        <v>1</v>
      </c>
      <c r="P5" s="1" t="str">
        <f>IF(Table1[[#This Row],[SeD]]&lt;-2,Table1[[#This Row],[Winning Seed]]&amp; " over " &amp;Table1[[#This Row],[Losing Seed]],"")</f>
        <v/>
      </c>
      <c r="Q5">
        <f>VLOOKUP(Table1[[#This Row],[Losing Seed]],'Seed History'!$N$4:$O$19,2)</f>
        <v>0.59027777777777779</v>
      </c>
      <c r="R5" s="1">
        <f>IF(Table1[[#This Row],[Round]]="PI",0,Table1[[#This Row],[Round]]-1)</f>
        <v>0</v>
      </c>
      <c r="S5">
        <f>Table1[[#This Row],[LAW]]-Table1[[#This Row],[LEW]]</f>
        <v>-0.59027777777777779</v>
      </c>
    </row>
    <row r="6" spans="1:19" x14ac:dyDescent="0.25">
      <c r="A6" s="66">
        <v>31120</v>
      </c>
      <c r="B6" s="51">
        <f>YEAR(Table1[[#This Row],[Date]])</f>
        <v>1985</v>
      </c>
      <c r="C6" s="1">
        <v>1</v>
      </c>
      <c r="D6" t="s">
        <v>439</v>
      </c>
      <c r="E6" s="1">
        <v>1</v>
      </c>
      <c r="F6" t="s">
        <v>58</v>
      </c>
      <c r="G6" t="str">
        <f>VLOOKUP(Table1[[#This Row],[Winner]],Ranking!C:D,2,FALSE)</f>
        <v>B12</v>
      </c>
      <c r="H6" s="1">
        <v>96</v>
      </c>
      <c r="I6" s="1">
        <v>16</v>
      </c>
      <c r="J6" t="s">
        <v>299</v>
      </c>
      <c r="K6" t="str">
        <f>VLOOKUP(Table1[[#This Row],[Loser]],Ranking!C:D,2,FALSE)</f>
        <v>MEAC</v>
      </c>
      <c r="L6" s="1">
        <v>83</v>
      </c>
      <c r="N6" s="1">
        <f>Table1[[#This Row],[Winning Score]]-Table1[[#This Row],[Losing Score]]</f>
        <v>13</v>
      </c>
      <c r="O6" s="1">
        <f>Table1[[#This Row],[Losing Seed]]-Table1[[#This Row],[Winning Seed]]</f>
        <v>15</v>
      </c>
      <c r="P6" s="1" t="str">
        <f>IF(Table1[[#This Row],[SeD]]&lt;-2,Table1[[#This Row],[Winning Seed]]&amp; " over " &amp;Table1[[#This Row],[Losing Seed]],"")</f>
        <v/>
      </c>
      <c r="Q6">
        <f>VLOOKUP(Table1[[#This Row],[Losing Seed]],'Seed History'!$N$4:$O$19,2)</f>
        <v>6.9444444444444441E-3</v>
      </c>
      <c r="R6" s="1">
        <f>IF(Table1[[#This Row],[Round]]="PI",0,Table1[[#This Row],[Round]]-1)</f>
        <v>0</v>
      </c>
      <c r="S6">
        <f>Table1[[#This Row],[LAW]]-Table1[[#This Row],[LEW]]</f>
        <v>-6.9444444444444441E-3</v>
      </c>
    </row>
    <row r="7" spans="1:19" x14ac:dyDescent="0.25">
      <c r="A7" s="66">
        <v>31120</v>
      </c>
      <c r="B7" s="51">
        <f>YEAR(Table1[[#This Row],[Date]])</f>
        <v>1985</v>
      </c>
      <c r="C7" s="1">
        <v>1</v>
      </c>
      <c r="D7" t="s">
        <v>439</v>
      </c>
      <c r="E7" s="1">
        <v>4</v>
      </c>
      <c r="F7" t="s">
        <v>315</v>
      </c>
      <c r="G7" t="str">
        <f>VLOOKUP(Table1[[#This Row],[Winner]],Ranking!C:D,2,FALSE)</f>
        <v>B10</v>
      </c>
      <c r="H7" s="1">
        <v>75</v>
      </c>
      <c r="I7" s="1">
        <v>13</v>
      </c>
      <c r="J7" t="s">
        <v>237</v>
      </c>
      <c r="K7" t="str">
        <f>VLOOKUP(Table1[[#This Row],[Loser]],Ranking!C:D,2,FALSE)</f>
        <v>B12</v>
      </c>
      <c r="L7" s="1">
        <v>64</v>
      </c>
      <c r="N7" s="1">
        <f>Table1[[#This Row],[Winning Score]]-Table1[[#This Row],[Losing Score]]</f>
        <v>11</v>
      </c>
      <c r="O7" s="1">
        <f>Table1[[#This Row],[Losing Seed]]-Table1[[#This Row],[Winning Seed]]</f>
        <v>9</v>
      </c>
      <c r="P7" s="1" t="str">
        <f>IF(Table1[[#This Row],[SeD]]&lt;-2,Table1[[#This Row],[Winning Seed]]&amp; " over " &amp;Table1[[#This Row],[Losing Seed]],"")</f>
        <v/>
      </c>
      <c r="Q7">
        <f>VLOOKUP(Table1[[#This Row],[Losing Seed]],'Seed History'!$N$4:$O$19,2)</f>
        <v>0.25694444444444442</v>
      </c>
      <c r="R7" s="1">
        <f>IF(Table1[[#This Row],[Round]]="PI",0,Table1[[#This Row],[Round]]-1)</f>
        <v>0</v>
      </c>
      <c r="S7">
        <f>Table1[[#This Row],[LAW]]-Table1[[#This Row],[LEW]]</f>
        <v>-0.25694444444444442</v>
      </c>
    </row>
    <row r="8" spans="1:19" x14ac:dyDescent="0.25">
      <c r="A8" s="66">
        <v>31120</v>
      </c>
      <c r="B8" s="51">
        <f>YEAR(Table1[[#This Row],[Date]])</f>
        <v>1985</v>
      </c>
      <c r="C8" s="1">
        <v>1</v>
      </c>
      <c r="D8" t="s">
        <v>439</v>
      </c>
      <c r="E8" s="1">
        <v>5</v>
      </c>
      <c r="F8" t="s">
        <v>256</v>
      </c>
      <c r="G8" t="str">
        <f>VLOOKUP(Table1[[#This Row],[Winner]],Ranking!C:D,2,FALSE)</f>
        <v>CUSA</v>
      </c>
      <c r="H8" s="1">
        <v>78</v>
      </c>
      <c r="I8" s="1">
        <v>12</v>
      </c>
      <c r="J8" t="s">
        <v>83</v>
      </c>
      <c r="K8" t="str">
        <f>VLOOKUP(Table1[[#This Row],[Loser]],Ranking!C:D,2,FALSE)</f>
        <v>ACC</v>
      </c>
      <c r="L8" s="1">
        <v>54</v>
      </c>
      <c r="N8" s="1">
        <f>Table1[[#This Row],[Winning Score]]-Table1[[#This Row],[Losing Score]]</f>
        <v>24</v>
      </c>
      <c r="O8" s="1">
        <f>Table1[[#This Row],[Losing Seed]]-Table1[[#This Row],[Winning Seed]]</f>
        <v>7</v>
      </c>
      <c r="P8" s="1" t="str">
        <f>IF(Table1[[#This Row],[SeD]]&lt;-2,Table1[[#This Row],[Winning Seed]]&amp; " over " &amp;Table1[[#This Row],[Losing Seed]],"")</f>
        <v/>
      </c>
      <c r="Q8">
        <f>VLOOKUP(Table1[[#This Row],[Losing Seed]],'Seed History'!$N$4:$O$19,2)</f>
        <v>0.52083333333333337</v>
      </c>
      <c r="R8" s="1">
        <f>IF(Table1[[#This Row],[Round]]="PI",0,Table1[[#This Row],[Round]]-1)</f>
        <v>0</v>
      </c>
      <c r="S8">
        <f>Table1[[#This Row],[LAW]]-Table1[[#This Row],[LEW]]</f>
        <v>-0.52083333333333337</v>
      </c>
    </row>
    <row r="9" spans="1:19" x14ac:dyDescent="0.25">
      <c r="A9" s="66">
        <v>31120</v>
      </c>
      <c r="B9" s="51">
        <f>YEAR(Table1[[#This Row],[Date]])</f>
        <v>1985</v>
      </c>
      <c r="C9" s="1">
        <v>1</v>
      </c>
      <c r="D9" t="s">
        <v>461</v>
      </c>
      <c r="E9" s="1">
        <v>2</v>
      </c>
      <c r="F9" t="s">
        <v>298</v>
      </c>
      <c r="G9" t="str">
        <f>VLOOKUP(Table1[[#This Row],[Winner]],Ranking!C:D,2,FALSE)</f>
        <v>ACC</v>
      </c>
      <c r="H9" s="1">
        <v>76</v>
      </c>
      <c r="I9" s="1">
        <v>15</v>
      </c>
      <c r="J9" t="s">
        <v>272</v>
      </c>
      <c r="K9" t="str">
        <f>VLOOKUP(Table1[[#This Row],[Loser]],Ranking!C:D,2,FALSE)</f>
        <v>CUSA</v>
      </c>
      <c r="L9" s="1">
        <v>57</v>
      </c>
      <c r="N9" s="1">
        <f>Table1[[#This Row],[Winning Score]]-Table1[[#This Row],[Losing Score]]</f>
        <v>19</v>
      </c>
      <c r="O9" s="1">
        <f>Table1[[#This Row],[Losing Seed]]-Table1[[#This Row],[Winning Seed]]</f>
        <v>13</v>
      </c>
      <c r="P9" s="1" t="str">
        <f>IF(Table1[[#This Row],[SeD]]&lt;-2,Table1[[#This Row],[Winning Seed]]&amp; " over " &amp;Table1[[#This Row],[Losing Seed]],"")</f>
        <v/>
      </c>
      <c r="Q9">
        <f>VLOOKUP(Table1[[#This Row],[Losing Seed]],'Seed History'!$N$4:$O$19,2)</f>
        <v>7.6388888888888895E-2</v>
      </c>
      <c r="R9" s="1">
        <f>IF(Table1[[#This Row],[Round]]="PI",0,Table1[[#This Row],[Round]]-1)</f>
        <v>0</v>
      </c>
      <c r="S9">
        <f>Table1[[#This Row],[LAW]]-Table1[[#This Row],[LEW]]</f>
        <v>-7.6388888888888895E-2</v>
      </c>
    </row>
    <row r="10" spans="1:19" x14ac:dyDescent="0.25">
      <c r="A10" s="66">
        <v>31120</v>
      </c>
      <c r="B10" s="51">
        <f>YEAR(Table1[[#This Row],[Date]])</f>
        <v>1985</v>
      </c>
      <c r="C10" s="1">
        <v>1</v>
      </c>
      <c r="D10" t="s">
        <v>461</v>
      </c>
      <c r="E10" s="1">
        <v>3</v>
      </c>
      <c r="F10" t="s">
        <v>37</v>
      </c>
      <c r="G10" t="str">
        <f>VLOOKUP(Table1[[#This Row],[Winner]],Ranking!C:D,2,FALSE)</f>
        <v>B12</v>
      </c>
      <c r="H10" s="1">
        <v>49</v>
      </c>
      <c r="I10" s="1">
        <v>14</v>
      </c>
      <c r="J10" t="s">
        <v>314</v>
      </c>
      <c r="K10" t="str">
        <f>VLOOKUP(Table1[[#This Row],[Loser]],Ranking!C:D,2,FALSE)</f>
        <v>MAC</v>
      </c>
      <c r="L10" s="1">
        <v>38</v>
      </c>
      <c r="N10" s="1">
        <f>Table1[[#This Row],[Winning Score]]-Table1[[#This Row],[Losing Score]]</f>
        <v>11</v>
      </c>
      <c r="O10" s="1">
        <f>Table1[[#This Row],[Losing Seed]]-Table1[[#This Row],[Winning Seed]]</f>
        <v>11</v>
      </c>
      <c r="P10" s="1" t="str">
        <f>IF(Table1[[#This Row],[SeD]]&lt;-2,Table1[[#This Row],[Winning Seed]]&amp; " over " &amp;Table1[[#This Row],[Losing Seed]],"")</f>
        <v/>
      </c>
      <c r="Q10">
        <f>VLOOKUP(Table1[[#This Row],[Losing Seed]],'Seed History'!$N$4:$O$19,2)</f>
        <v>0.16666666666666666</v>
      </c>
      <c r="R10" s="1">
        <f>IF(Table1[[#This Row],[Round]]="PI",0,Table1[[#This Row],[Round]]-1)</f>
        <v>0</v>
      </c>
      <c r="S10">
        <f>Table1[[#This Row],[LAW]]-Table1[[#This Row],[LEW]]</f>
        <v>-0.16666666666666666</v>
      </c>
    </row>
    <row r="11" spans="1:19" x14ac:dyDescent="0.25">
      <c r="A11" s="66">
        <v>31120</v>
      </c>
      <c r="B11" s="51">
        <f>YEAR(Table1[[#This Row],[Date]])</f>
        <v>1985</v>
      </c>
      <c r="C11" s="1">
        <v>1</v>
      </c>
      <c r="D11" t="s">
        <v>461</v>
      </c>
      <c r="E11" s="1">
        <v>7</v>
      </c>
      <c r="F11" t="s">
        <v>35</v>
      </c>
      <c r="G11" t="str">
        <f>VLOOKUP(Table1[[#This Row],[Winner]],Ranking!C:D,2,FALSE)</f>
        <v>ACC</v>
      </c>
      <c r="H11" s="1">
        <v>79</v>
      </c>
      <c r="I11" s="1">
        <v>10</v>
      </c>
      <c r="J11" t="s">
        <v>319</v>
      </c>
      <c r="K11" t="str">
        <f>VLOOKUP(Table1[[#This Row],[Loser]],Ranking!C:D,2,FALSE)</f>
        <v>P12</v>
      </c>
      <c r="L11" s="1">
        <v>70</v>
      </c>
      <c r="N11" s="1">
        <f>Table1[[#This Row],[Winning Score]]-Table1[[#This Row],[Losing Score]]</f>
        <v>9</v>
      </c>
      <c r="O11" s="1">
        <f>Table1[[#This Row],[Losing Seed]]-Table1[[#This Row],[Winning Seed]]</f>
        <v>3</v>
      </c>
      <c r="P11" s="1" t="str">
        <f>IF(Table1[[#This Row],[SeD]]&lt;-2,Table1[[#This Row],[Winning Seed]]&amp; " over " &amp;Table1[[#This Row],[Losing Seed]],"")</f>
        <v/>
      </c>
      <c r="Q11">
        <f>VLOOKUP(Table1[[#This Row],[Losing Seed]],'Seed History'!$N$4:$O$19,2)</f>
        <v>0.61805555555555558</v>
      </c>
      <c r="R11" s="1">
        <f>IF(Table1[[#This Row],[Round]]="PI",0,Table1[[#This Row],[Round]]-1)</f>
        <v>0</v>
      </c>
      <c r="S11">
        <f>Table1[[#This Row],[LAW]]-Table1[[#This Row],[LEW]]</f>
        <v>-0.61805555555555558</v>
      </c>
    </row>
    <row r="12" spans="1:19" x14ac:dyDescent="0.25">
      <c r="A12" s="66">
        <v>31120</v>
      </c>
      <c r="B12" s="51">
        <f>YEAR(Table1[[#This Row],[Date]])</f>
        <v>1985</v>
      </c>
      <c r="C12" s="1">
        <v>1</v>
      </c>
      <c r="D12" t="s">
        <v>38</v>
      </c>
      <c r="E12" s="1">
        <v>1</v>
      </c>
      <c r="F12" t="s">
        <v>368</v>
      </c>
      <c r="G12" t="str">
        <f>VLOOKUP(Table1[[#This Row],[Winner]],Ranking!C:D,2,FALSE)</f>
        <v>BE</v>
      </c>
      <c r="H12" s="1">
        <v>83</v>
      </c>
      <c r="I12" s="1">
        <v>16</v>
      </c>
      <c r="J12" t="s">
        <v>361</v>
      </c>
      <c r="K12" t="str">
        <f>VLOOKUP(Table1[[#This Row],[Loser]],Ranking!C:D,2,FALSE)</f>
        <v>SWAC</v>
      </c>
      <c r="L12" s="1">
        <v>59</v>
      </c>
      <c r="N12" s="1">
        <f>Table1[[#This Row],[Winning Score]]-Table1[[#This Row],[Losing Score]]</f>
        <v>24</v>
      </c>
      <c r="O12" s="1">
        <f>Table1[[#This Row],[Losing Seed]]-Table1[[#This Row],[Winning Seed]]</f>
        <v>15</v>
      </c>
      <c r="P12" s="1" t="str">
        <f>IF(Table1[[#This Row],[SeD]]&lt;-2,Table1[[#This Row],[Winning Seed]]&amp; " over " &amp;Table1[[#This Row],[Losing Seed]],"")</f>
        <v/>
      </c>
      <c r="Q12">
        <f>VLOOKUP(Table1[[#This Row],[Losing Seed]],'Seed History'!$N$4:$O$19,2)</f>
        <v>6.9444444444444441E-3</v>
      </c>
      <c r="R12" s="1">
        <f>IF(Table1[[#This Row],[Round]]="PI",0,Table1[[#This Row],[Round]]-1)</f>
        <v>0</v>
      </c>
      <c r="S12">
        <f>Table1[[#This Row],[LAW]]-Table1[[#This Row],[LEW]]</f>
        <v>-6.9444444444444441E-3</v>
      </c>
    </row>
    <row r="13" spans="1:19" x14ac:dyDescent="0.25">
      <c r="A13" s="66">
        <v>31120</v>
      </c>
      <c r="B13" s="51">
        <f>YEAR(Table1[[#This Row],[Date]])</f>
        <v>1985</v>
      </c>
      <c r="C13" s="1">
        <v>1</v>
      </c>
      <c r="D13" t="s">
        <v>38</v>
      </c>
      <c r="E13" s="1">
        <v>4</v>
      </c>
      <c r="F13" t="s">
        <v>396</v>
      </c>
      <c r="G13" t="str">
        <f>VLOOKUP(Table1[[#This Row],[Winner]],Ranking!C:D,2,FALSE)</f>
        <v>MWC</v>
      </c>
      <c r="H13" s="1">
        <v>85</v>
      </c>
      <c r="I13" s="1">
        <v>13</v>
      </c>
      <c r="J13" t="s">
        <v>344</v>
      </c>
      <c r="K13" t="str">
        <f>VLOOKUP(Table1[[#This Row],[Loser]],Ranking!C:D,2,FALSE)</f>
        <v>MWC</v>
      </c>
      <c r="L13" s="1">
        <v>80</v>
      </c>
      <c r="N13" s="1">
        <f>Table1[[#This Row],[Winning Score]]-Table1[[#This Row],[Losing Score]]</f>
        <v>5</v>
      </c>
      <c r="O13" s="1">
        <f>Table1[[#This Row],[Losing Seed]]-Table1[[#This Row],[Winning Seed]]</f>
        <v>9</v>
      </c>
      <c r="P13" s="1" t="str">
        <f>IF(Table1[[#This Row],[SeD]]&lt;-2,Table1[[#This Row],[Winning Seed]]&amp; " over " &amp;Table1[[#This Row],[Losing Seed]],"")</f>
        <v/>
      </c>
      <c r="Q13">
        <f>VLOOKUP(Table1[[#This Row],[Losing Seed]],'Seed History'!$N$4:$O$19,2)</f>
        <v>0.25694444444444442</v>
      </c>
      <c r="R13" s="1">
        <f>IF(Table1[[#This Row],[Round]]="PI",0,Table1[[#This Row],[Round]]-1)</f>
        <v>0</v>
      </c>
      <c r="S13">
        <f>Table1[[#This Row],[LAW]]-Table1[[#This Row],[LEW]]</f>
        <v>-0.25694444444444442</v>
      </c>
    </row>
    <row r="14" spans="1:19" x14ac:dyDescent="0.25">
      <c r="A14" s="66">
        <v>31120</v>
      </c>
      <c r="B14" s="51">
        <f>YEAR(Table1[[#This Row],[Date]])</f>
        <v>1985</v>
      </c>
      <c r="C14" s="1">
        <v>1</v>
      </c>
      <c r="D14" t="s">
        <v>38</v>
      </c>
      <c r="E14" s="1">
        <v>12</v>
      </c>
      <c r="F14" t="s">
        <v>26</v>
      </c>
      <c r="G14" t="str">
        <f>VLOOKUP(Table1[[#This Row],[Winner]],Ranking!C:D,2,FALSE)</f>
        <v>SEC</v>
      </c>
      <c r="H14" s="1">
        <v>66</v>
      </c>
      <c r="I14" s="1">
        <v>5</v>
      </c>
      <c r="J14" t="s">
        <v>409</v>
      </c>
      <c r="K14" t="str">
        <f>VLOOKUP(Table1[[#This Row],[Loser]],Ranking!C:D,2,FALSE)</f>
        <v>P12</v>
      </c>
      <c r="L14" s="1">
        <v>58</v>
      </c>
      <c r="N14" s="1">
        <f>Table1[[#This Row],[Winning Score]]-Table1[[#This Row],[Losing Score]]</f>
        <v>8</v>
      </c>
      <c r="O14" s="1">
        <f>Table1[[#This Row],[Losing Seed]]-Table1[[#This Row],[Winning Seed]]</f>
        <v>-7</v>
      </c>
      <c r="P14" s="1" t="str">
        <f>IF(Table1[[#This Row],[SeD]]&lt;-2,Table1[[#This Row],[Winning Seed]]&amp; " over " &amp;Table1[[#This Row],[Losing Seed]],"")</f>
        <v>12 over 5</v>
      </c>
      <c r="Q14">
        <f>VLOOKUP(Table1[[#This Row],[Losing Seed]],'Seed History'!$N$4:$O$19,2)</f>
        <v>1.1180555555555556</v>
      </c>
      <c r="R14" s="1">
        <f>IF(Table1[[#This Row],[Round]]="PI",0,Table1[[#This Row],[Round]]-1)</f>
        <v>0</v>
      </c>
      <c r="S14">
        <f>Table1[[#This Row],[LAW]]-Table1[[#This Row],[LEW]]</f>
        <v>-1.1180555555555556</v>
      </c>
    </row>
    <row r="15" spans="1:19" x14ac:dyDescent="0.25">
      <c r="A15" s="66">
        <v>31120</v>
      </c>
      <c r="B15" s="51">
        <f>YEAR(Table1[[#This Row],[Date]])</f>
        <v>1985</v>
      </c>
      <c r="C15" s="1">
        <v>1</v>
      </c>
      <c r="D15" t="s">
        <v>461</v>
      </c>
      <c r="E15" s="1">
        <v>11</v>
      </c>
      <c r="F15" t="s">
        <v>129</v>
      </c>
      <c r="G15" t="str">
        <f>VLOOKUP(Table1[[#This Row],[Winner]],Ranking!C:D,2,FALSE)</f>
        <v>SEC</v>
      </c>
      <c r="H15" s="1">
        <v>59</v>
      </c>
      <c r="I15" s="1">
        <v>6</v>
      </c>
      <c r="J15" t="s">
        <v>29</v>
      </c>
      <c r="K15" t="str">
        <f>VLOOKUP(Table1[[#This Row],[Loser]],Ranking!C:D,2,FALSE)</f>
        <v>B10</v>
      </c>
      <c r="L15" s="1">
        <v>58</v>
      </c>
      <c r="N15" s="1">
        <f>Table1[[#This Row],[Winning Score]]-Table1[[#This Row],[Losing Score]]</f>
        <v>1</v>
      </c>
      <c r="O15" s="1">
        <f>Table1[[#This Row],[Losing Seed]]-Table1[[#This Row],[Winning Seed]]</f>
        <v>-5</v>
      </c>
      <c r="P15" s="1" t="str">
        <f>IF(Table1[[#This Row],[SeD]]&lt;-2,Table1[[#This Row],[Winning Seed]]&amp; " over " &amp;Table1[[#This Row],[Losing Seed]],"")</f>
        <v>11 over 6</v>
      </c>
      <c r="Q15">
        <f>VLOOKUP(Table1[[#This Row],[Losing Seed]],'Seed History'!$N$4:$O$19,2)</f>
        <v>1.0625</v>
      </c>
      <c r="R15" s="1">
        <f>IF(Table1[[#This Row],[Round]]="PI",0,Table1[[#This Row],[Round]]-1)</f>
        <v>0</v>
      </c>
      <c r="S15">
        <f>Table1[[#This Row],[LAW]]-Table1[[#This Row],[LEW]]</f>
        <v>-1.0625</v>
      </c>
    </row>
    <row r="16" spans="1:19" x14ac:dyDescent="0.25">
      <c r="A16" s="66">
        <v>31120</v>
      </c>
      <c r="B16" s="51">
        <f>YEAR(Table1[[#This Row],[Date]])</f>
        <v>1985</v>
      </c>
      <c r="C16" s="1">
        <v>1</v>
      </c>
      <c r="D16" t="s">
        <v>439</v>
      </c>
      <c r="E16" s="1">
        <v>9</v>
      </c>
      <c r="F16" t="s">
        <v>233</v>
      </c>
      <c r="G16" t="str">
        <f>VLOOKUP(Table1[[#This Row],[Winner]],Ranking!C:D,2,FALSE)</f>
        <v>MVC</v>
      </c>
      <c r="H16" s="1">
        <v>58</v>
      </c>
      <c r="I16" s="1">
        <v>8</v>
      </c>
      <c r="J16" t="s">
        <v>85</v>
      </c>
      <c r="K16" t="str">
        <f>VLOOKUP(Table1[[#This Row],[Loser]],Ranking!C:D,2,FALSE)</f>
        <v>P12</v>
      </c>
      <c r="L16" s="1">
        <v>55</v>
      </c>
      <c r="N16" s="1">
        <f>Table1[[#This Row],[Winning Score]]-Table1[[#This Row],[Losing Score]]</f>
        <v>3</v>
      </c>
      <c r="O16" s="1">
        <f>Table1[[#This Row],[Losing Seed]]-Table1[[#This Row],[Winning Seed]]</f>
        <v>-1</v>
      </c>
      <c r="P16" s="1" t="str">
        <f>IF(Table1[[#This Row],[SeD]]&lt;-2,Table1[[#This Row],[Winning Seed]]&amp; " over " &amp;Table1[[#This Row],[Losing Seed]],"")</f>
        <v/>
      </c>
      <c r="Q16">
        <f>VLOOKUP(Table1[[#This Row],[Losing Seed]],'Seed History'!$N$4:$O$19,2)</f>
        <v>0.70833333333333337</v>
      </c>
      <c r="R16" s="1">
        <f>IF(Table1[[#This Row],[Round]]="PI",0,Table1[[#This Row],[Round]]-1)</f>
        <v>0</v>
      </c>
      <c r="S16">
        <f>Table1[[#This Row],[LAW]]-Table1[[#This Row],[LEW]]</f>
        <v>-0.70833333333333337</v>
      </c>
    </row>
    <row r="17" spans="1:19" x14ac:dyDescent="0.25">
      <c r="A17" s="66">
        <v>31120</v>
      </c>
      <c r="B17" s="51">
        <f>YEAR(Table1[[#This Row],[Date]])</f>
        <v>1985</v>
      </c>
      <c r="C17" s="1">
        <v>1</v>
      </c>
      <c r="D17" t="s">
        <v>38</v>
      </c>
      <c r="E17" s="1">
        <v>9</v>
      </c>
      <c r="F17" t="s">
        <v>41</v>
      </c>
      <c r="G17" t="str">
        <f>VLOOKUP(Table1[[#This Row],[Winner]],Ranking!C:D,2,FALSE)</f>
        <v>SEC</v>
      </c>
      <c r="H17" s="1">
        <v>63</v>
      </c>
      <c r="I17" s="1">
        <v>8</v>
      </c>
      <c r="J17" t="s">
        <v>69</v>
      </c>
      <c r="K17" t="str">
        <f>VLOOKUP(Table1[[#This Row],[Loser]],Ranking!C:D,2,FALSE)</f>
        <v>B10</v>
      </c>
      <c r="L17" s="1">
        <v>54</v>
      </c>
      <c r="N17" s="1">
        <f>Table1[[#This Row],[Winning Score]]-Table1[[#This Row],[Losing Score]]</f>
        <v>9</v>
      </c>
      <c r="O17" s="1">
        <f>Table1[[#This Row],[Losing Seed]]-Table1[[#This Row],[Winning Seed]]</f>
        <v>-1</v>
      </c>
      <c r="P17" s="1" t="str">
        <f>IF(Table1[[#This Row],[SeD]]&lt;-2,Table1[[#This Row],[Winning Seed]]&amp; " over " &amp;Table1[[#This Row],[Losing Seed]],"")</f>
        <v/>
      </c>
      <c r="Q17">
        <f>VLOOKUP(Table1[[#This Row],[Losing Seed]],'Seed History'!$N$4:$O$19,2)</f>
        <v>0.70833333333333337</v>
      </c>
      <c r="R17" s="1">
        <f>IF(Table1[[#This Row],[Round]]="PI",0,Table1[[#This Row],[Round]]-1)</f>
        <v>0</v>
      </c>
      <c r="S17">
        <f>Table1[[#This Row],[LAW]]-Table1[[#This Row],[LEW]]</f>
        <v>-0.70833333333333337</v>
      </c>
    </row>
    <row r="18" spans="1:19" x14ac:dyDescent="0.25">
      <c r="A18" s="66">
        <v>31121</v>
      </c>
      <c r="B18" s="51">
        <f>YEAR(Table1[[#This Row],[Date]])</f>
        <v>1985</v>
      </c>
      <c r="C18" s="1">
        <v>1</v>
      </c>
      <c r="D18" t="s">
        <v>49</v>
      </c>
      <c r="E18" s="1">
        <v>2</v>
      </c>
      <c r="F18" t="s">
        <v>216</v>
      </c>
      <c r="G18" t="str">
        <f>VLOOKUP(Table1[[#This Row],[Winner]],Ranking!C:D,2,FALSE)</f>
        <v>ACC</v>
      </c>
      <c r="H18" s="1">
        <v>65</v>
      </c>
      <c r="I18" s="1">
        <v>15</v>
      </c>
      <c r="J18" t="s">
        <v>268</v>
      </c>
      <c r="K18" t="str">
        <f>VLOOKUP(Table1[[#This Row],[Loser]],Ranking!C:D,2,FALSE)</f>
        <v>SC</v>
      </c>
      <c r="L18" s="1">
        <v>58</v>
      </c>
      <c r="N18" s="1">
        <f>Table1[[#This Row],[Winning Score]]-Table1[[#This Row],[Losing Score]]</f>
        <v>7</v>
      </c>
      <c r="O18" s="1">
        <f>Table1[[#This Row],[Losing Seed]]-Table1[[#This Row],[Winning Seed]]</f>
        <v>13</v>
      </c>
      <c r="P18" s="1" t="str">
        <f>IF(Table1[[#This Row],[SeD]]&lt;-2,Table1[[#This Row],[Winning Seed]]&amp; " over " &amp;Table1[[#This Row],[Losing Seed]],"")</f>
        <v/>
      </c>
      <c r="Q18">
        <f>VLOOKUP(Table1[[#This Row],[Losing Seed]],'Seed History'!$N$4:$O$19,2)</f>
        <v>7.6388888888888895E-2</v>
      </c>
      <c r="R18" s="1">
        <f>IF(Table1[[#This Row],[Round]]="PI",0,Table1[[#This Row],[Round]]-1)</f>
        <v>0</v>
      </c>
      <c r="S18">
        <f>Table1[[#This Row],[LAW]]-Table1[[#This Row],[LEW]]</f>
        <v>-7.6388888888888895E-2</v>
      </c>
    </row>
    <row r="19" spans="1:19" x14ac:dyDescent="0.25">
      <c r="A19" s="66">
        <v>31121</v>
      </c>
      <c r="B19" s="51">
        <f>YEAR(Table1[[#This Row],[Date]])</f>
        <v>1985</v>
      </c>
      <c r="C19" s="1">
        <v>1</v>
      </c>
      <c r="D19" t="s">
        <v>49</v>
      </c>
      <c r="E19" s="1">
        <v>3</v>
      </c>
      <c r="F19" t="s">
        <v>230</v>
      </c>
      <c r="G19" t="str">
        <f>VLOOKUP(Table1[[#This Row],[Winner]],Ranking!C:D,2,FALSE)</f>
        <v>B10</v>
      </c>
      <c r="H19" s="1">
        <v>76</v>
      </c>
      <c r="I19" s="1">
        <v>14</v>
      </c>
      <c r="J19" t="s">
        <v>306</v>
      </c>
      <c r="K19" t="str">
        <f>VLOOKUP(Table1[[#This Row],[Loser]],Ranking!C:D,2,FALSE)</f>
        <v>CAA</v>
      </c>
      <c r="L19" s="1">
        <v>57</v>
      </c>
      <c r="N19" s="1">
        <f>Table1[[#This Row],[Winning Score]]-Table1[[#This Row],[Losing Score]]</f>
        <v>19</v>
      </c>
      <c r="O19" s="1">
        <f>Table1[[#This Row],[Losing Seed]]-Table1[[#This Row],[Winning Seed]]</f>
        <v>11</v>
      </c>
      <c r="P19" s="1" t="str">
        <f>IF(Table1[[#This Row],[SeD]]&lt;-2,Table1[[#This Row],[Winning Seed]]&amp; " over " &amp;Table1[[#This Row],[Losing Seed]],"")</f>
        <v/>
      </c>
      <c r="Q19">
        <f>VLOOKUP(Table1[[#This Row],[Losing Seed]],'Seed History'!$N$4:$O$19,2)</f>
        <v>0.16666666666666666</v>
      </c>
      <c r="R19" s="1">
        <f>IF(Table1[[#This Row],[Round]]="PI",0,Table1[[#This Row],[Round]]-1)</f>
        <v>0</v>
      </c>
      <c r="S19">
        <f>Table1[[#This Row],[LAW]]-Table1[[#This Row],[LEW]]</f>
        <v>-0.16666666666666666</v>
      </c>
    </row>
    <row r="20" spans="1:19" x14ac:dyDescent="0.25">
      <c r="A20" s="66">
        <v>31121</v>
      </c>
      <c r="B20" s="51">
        <f>YEAR(Table1[[#This Row],[Date]])</f>
        <v>1985</v>
      </c>
      <c r="C20" s="1">
        <v>1</v>
      </c>
      <c r="D20" t="s">
        <v>49</v>
      </c>
      <c r="E20" s="1">
        <v>6</v>
      </c>
      <c r="F20" t="s">
        <v>60</v>
      </c>
      <c r="G20" t="str">
        <f>VLOOKUP(Table1[[#This Row],[Winner]],Ranking!C:D,2,FALSE)</f>
        <v>SEC</v>
      </c>
      <c r="H20" s="1">
        <v>67</v>
      </c>
      <c r="I20" s="1">
        <v>11</v>
      </c>
      <c r="J20" t="s">
        <v>417</v>
      </c>
      <c r="K20" t="str">
        <f>VLOOKUP(Table1[[#This Row],[Loser]],Ranking!C:D,2,FALSE)</f>
        <v>Amer</v>
      </c>
      <c r="L20" s="1">
        <v>59</v>
      </c>
      <c r="N20" s="1">
        <f>Table1[[#This Row],[Winning Score]]-Table1[[#This Row],[Losing Score]]</f>
        <v>8</v>
      </c>
      <c r="O20" s="1">
        <f>Table1[[#This Row],[Losing Seed]]-Table1[[#This Row],[Winning Seed]]</f>
        <v>5</v>
      </c>
      <c r="P20" s="1" t="str">
        <f>IF(Table1[[#This Row],[SeD]]&lt;-2,Table1[[#This Row],[Winning Seed]]&amp; " over " &amp;Table1[[#This Row],[Losing Seed]],"")</f>
        <v/>
      </c>
      <c r="Q20">
        <f>VLOOKUP(Table1[[#This Row],[Losing Seed]],'Seed History'!$N$4:$O$19,2)</f>
        <v>0.63194444444444442</v>
      </c>
      <c r="R20" s="1">
        <f>IF(Table1[[#This Row],[Round]]="PI",0,Table1[[#This Row],[Round]]-1)</f>
        <v>0</v>
      </c>
      <c r="S20">
        <f>Table1[[#This Row],[LAW]]-Table1[[#This Row],[LEW]]</f>
        <v>-0.63194444444444442</v>
      </c>
    </row>
    <row r="21" spans="1:19" x14ac:dyDescent="0.25">
      <c r="A21" s="66">
        <v>31121</v>
      </c>
      <c r="B21" s="51">
        <f>YEAR(Table1[[#This Row],[Date]])</f>
        <v>1985</v>
      </c>
      <c r="C21" s="1">
        <v>1</v>
      </c>
      <c r="D21" t="s">
        <v>49</v>
      </c>
      <c r="E21" s="1">
        <v>7</v>
      </c>
      <c r="F21" t="s">
        <v>86</v>
      </c>
      <c r="G21" t="str">
        <f>VLOOKUP(Table1[[#This Row],[Winner]],Ranking!C:D,2,FALSE)</f>
        <v>ACC</v>
      </c>
      <c r="H21" s="1">
        <v>70</v>
      </c>
      <c r="I21" s="1">
        <v>10</v>
      </c>
      <c r="J21" t="s">
        <v>186</v>
      </c>
      <c r="K21" t="str">
        <f>VLOOKUP(Table1[[#This Row],[Loser]],Ranking!C:D,2,FALSE)</f>
        <v>BE</v>
      </c>
      <c r="L21" s="1">
        <v>65</v>
      </c>
      <c r="N21" s="1">
        <f>Table1[[#This Row],[Winning Score]]-Table1[[#This Row],[Losing Score]]</f>
        <v>5</v>
      </c>
      <c r="O21" s="1">
        <f>Table1[[#This Row],[Losing Seed]]-Table1[[#This Row],[Winning Seed]]</f>
        <v>3</v>
      </c>
      <c r="P21" s="1" t="str">
        <f>IF(Table1[[#This Row],[SeD]]&lt;-2,Table1[[#This Row],[Winning Seed]]&amp; " over " &amp;Table1[[#This Row],[Losing Seed]],"")</f>
        <v/>
      </c>
      <c r="Q21">
        <f>VLOOKUP(Table1[[#This Row],[Losing Seed]],'Seed History'!$N$4:$O$19,2)</f>
        <v>0.61805555555555558</v>
      </c>
      <c r="R21" s="1">
        <f>IF(Table1[[#This Row],[Round]]="PI",0,Table1[[#This Row],[Round]]-1)</f>
        <v>0</v>
      </c>
      <c r="S21">
        <f>Table1[[#This Row],[LAW]]-Table1[[#This Row],[LEW]]</f>
        <v>-0.61805555555555558</v>
      </c>
    </row>
    <row r="22" spans="1:19" x14ac:dyDescent="0.25">
      <c r="A22" s="66">
        <v>31121</v>
      </c>
      <c r="B22" s="51">
        <f>YEAR(Table1[[#This Row],[Date]])</f>
        <v>1985</v>
      </c>
      <c r="C22" s="1">
        <v>1</v>
      </c>
      <c r="D22" t="s">
        <v>439</v>
      </c>
      <c r="E22" s="1">
        <v>2</v>
      </c>
      <c r="F22" t="s">
        <v>267</v>
      </c>
      <c r="G22" t="str">
        <f>VLOOKUP(Table1[[#This Row],[Winner]],Ranking!C:D,2,FALSE)</f>
        <v>Amer</v>
      </c>
      <c r="H22" s="1">
        <v>67</v>
      </c>
      <c r="I22" s="1">
        <v>15</v>
      </c>
      <c r="J22" t="s">
        <v>321</v>
      </c>
      <c r="K22" t="str">
        <f>VLOOKUP(Table1[[#This Row],[Loser]],Ranking!C:D,2,FALSE)</f>
        <v>Ivy</v>
      </c>
      <c r="L22" s="1">
        <v>55</v>
      </c>
      <c r="N22" s="1">
        <f>Table1[[#This Row],[Winning Score]]-Table1[[#This Row],[Losing Score]]</f>
        <v>12</v>
      </c>
      <c r="O22" s="1">
        <f>Table1[[#This Row],[Losing Seed]]-Table1[[#This Row],[Winning Seed]]</f>
        <v>13</v>
      </c>
      <c r="P22" s="1" t="str">
        <f>IF(Table1[[#This Row],[SeD]]&lt;-2,Table1[[#This Row],[Winning Seed]]&amp; " over " &amp;Table1[[#This Row],[Losing Seed]],"")</f>
        <v/>
      </c>
      <c r="Q22">
        <f>VLOOKUP(Table1[[#This Row],[Losing Seed]],'Seed History'!$N$4:$O$19,2)</f>
        <v>7.6388888888888895E-2</v>
      </c>
      <c r="R22" s="1">
        <f>IF(Table1[[#This Row],[Round]]="PI",0,Table1[[#This Row],[Round]]-1)</f>
        <v>0</v>
      </c>
      <c r="S22">
        <f>Table1[[#This Row],[LAW]]-Table1[[#This Row],[LEW]]</f>
        <v>-7.6388888888888895E-2</v>
      </c>
    </row>
    <row r="23" spans="1:19" x14ac:dyDescent="0.25">
      <c r="A23" s="66">
        <v>31121</v>
      </c>
      <c r="B23" s="51">
        <f>YEAR(Table1[[#This Row],[Date]])</f>
        <v>1985</v>
      </c>
      <c r="C23" s="1">
        <v>1</v>
      </c>
      <c r="D23" t="s">
        <v>439</v>
      </c>
      <c r="E23" s="1">
        <v>3</v>
      </c>
      <c r="F23" t="s">
        <v>64</v>
      </c>
      <c r="G23" t="str">
        <f>VLOOKUP(Table1[[#This Row],[Winner]],Ranking!C:D,2,FALSE)</f>
        <v>ACC</v>
      </c>
      <c r="H23" s="1">
        <v>75</v>
      </c>
      <c r="I23" s="1">
        <v>14</v>
      </c>
      <c r="J23" t="s">
        <v>323</v>
      </c>
      <c r="K23" t="str">
        <f>VLOOKUP(Table1[[#This Row],[Loser]],Ranking!C:D,2,FALSE)</f>
        <v>WCC</v>
      </c>
      <c r="L23" s="1">
        <v>62</v>
      </c>
      <c r="N23" s="1">
        <f>Table1[[#This Row],[Winning Score]]-Table1[[#This Row],[Losing Score]]</f>
        <v>13</v>
      </c>
      <c r="O23" s="1">
        <f>Table1[[#This Row],[Losing Seed]]-Table1[[#This Row],[Winning Seed]]</f>
        <v>11</v>
      </c>
      <c r="P23" s="1" t="str">
        <f>IF(Table1[[#This Row],[SeD]]&lt;-2,Table1[[#This Row],[Winning Seed]]&amp; " over " &amp;Table1[[#This Row],[Losing Seed]],"")</f>
        <v/>
      </c>
      <c r="Q23">
        <f>VLOOKUP(Table1[[#This Row],[Losing Seed]],'Seed History'!$N$4:$O$19,2)</f>
        <v>0.16666666666666666</v>
      </c>
      <c r="R23" s="1">
        <f>IF(Table1[[#This Row],[Round]]="PI",0,Table1[[#This Row],[Round]]-1)</f>
        <v>0</v>
      </c>
      <c r="S23">
        <f>Table1[[#This Row],[LAW]]-Table1[[#This Row],[LEW]]</f>
        <v>-0.16666666666666666</v>
      </c>
    </row>
    <row r="24" spans="1:19" x14ac:dyDescent="0.25">
      <c r="A24" s="66">
        <v>31121</v>
      </c>
      <c r="B24" s="51">
        <f>YEAR(Table1[[#This Row],[Date]])</f>
        <v>1985</v>
      </c>
      <c r="C24" s="1">
        <v>1</v>
      </c>
      <c r="D24" t="s">
        <v>439</v>
      </c>
      <c r="E24" s="1">
        <v>7</v>
      </c>
      <c r="F24" t="s">
        <v>68</v>
      </c>
      <c r="G24" t="str">
        <f>VLOOKUP(Table1[[#This Row],[Winner]],Ranking!C:D,2,FALSE)</f>
        <v>CUSA</v>
      </c>
      <c r="H24" s="1">
        <v>70</v>
      </c>
      <c r="I24" s="1">
        <v>10</v>
      </c>
      <c r="J24" t="s">
        <v>271</v>
      </c>
      <c r="K24" t="str">
        <f>VLOOKUP(Table1[[#This Row],[Loser]],Ranking!C:D,2,FALSE)</f>
        <v>B10</v>
      </c>
      <c r="L24" s="1">
        <v>68</v>
      </c>
      <c r="N24" s="1">
        <f>Table1[[#This Row],[Winning Score]]-Table1[[#This Row],[Losing Score]]</f>
        <v>2</v>
      </c>
      <c r="O24" s="1">
        <f>Table1[[#This Row],[Losing Seed]]-Table1[[#This Row],[Winning Seed]]</f>
        <v>3</v>
      </c>
      <c r="P24" s="1" t="str">
        <f>IF(Table1[[#This Row],[SeD]]&lt;-2,Table1[[#This Row],[Winning Seed]]&amp; " over " &amp;Table1[[#This Row],[Losing Seed]],"")</f>
        <v/>
      </c>
      <c r="Q24">
        <f>VLOOKUP(Table1[[#This Row],[Losing Seed]],'Seed History'!$N$4:$O$19,2)</f>
        <v>0.61805555555555558</v>
      </c>
      <c r="R24" s="1">
        <f>IF(Table1[[#This Row],[Round]]="PI",0,Table1[[#This Row],[Round]]-1)</f>
        <v>0</v>
      </c>
      <c r="S24">
        <f>Table1[[#This Row],[LAW]]-Table1[[#This Row],[LEW]]</f>
        <v>-0.61805555555555558</v>
      </c>
    </row>
    <row r="25" spans="1:19" x14ac:dyDescent="0.25">
      <c r="A25" s="66">
        <v>31121</v>
      </c>
      <c r="B25" s="51">
        <f>YEAR(Table1[[#This Row],[Date]])</f>
        <v>1985</v>
      </c>
      <c r="C25" s="1">
        <v>1</v>
      </c>
      <c r="D25" t="s">
        <v>461</v>
      </c>
      <c r="E25" s="1">
        <v>1</v>
      </c>
      <c r="F25" t="s">
        <v>82</v>
      </c>
      <c r="G25" t="str">
        <f>VLOOKUP(Table1[[#This Row],[Winner]],Ranking!C:D,2,FALSE)</f>
        <v>B10</v>
      </c>
      <c r="H25" s="1">
        <v>59</v>
      </c>
      <c r="I25" s="1">
        <v>16</v>
      </c>
      <c r="J25" t="s">
        <v>201</v>
      </c>
      <c r="K25" t="str">
        <f>VLOOKUP(Table1[[#This Row],[Loser]],Ranking!C:D,2,FALSE)</f>
        <v>NEC</v>
      </c>
      <c r="L25" s="1">
        <v>55</v>
      </c>
      <c r="N25" s="1">
        <f>Table1[[#This Row],[Winning Score]]-Table1[[#This Row],[Losing Score]]</f>
        <v>4</v>
      </c>
      <c r="O25" s="1">
        <f>Table1[[#This Row],[Losing Seed]]-Table1[[#This Row],[Winning Seed]]</f>
        <v>15</v>
      </c>
      <c r="P25" s="1" t="str">
        <f>IF(Table1[[#This Row],[SeD]]&lt;-2,Table1[[#This Row],[Winning Seed]]&amp; " over " &amp;Table1[[#This Row],[Losing Seed]],"")</f>
        <v/>
      </c>
      <c r="Q25">
        <f>VLOOKUP(Table1[[#This Row],[Losing Seed]],'Seed History'!$N$4:$O$19,2)</f>
        <v>6.9444444444444441E-3</v>
      </c>
      <c r="R25" s="1">
        <f>IF(Table1[[#This Row],[Round]]="PI",0,Table1[[#This Row],[Round]]-1)</f>
        <v>0</v>
      </c>
      <c r="S25">
        <f>Table1[[#This Row],[LAW]]-Table1[[#This Row],[LEW]]</f>
        <v>-6.9444444444444441E-3</v>
      </c>
    </row>
    <row r="26" spans="1:19" x14ac:dyDescent="0.25">
      <c r="A26" s="66">
        <v>31121</v>
      </c>
      <c r="B26" s="51">
        <f>YEAR(Table1[[#This Row],[Date]])</f>
        <v>1985</v>
      </c>
      <c r="C26" s="1">
        <v>1</v>
      </c>
      <c r="D26" t="s">
        <v>461</v>
      </c>
      <c r="E26" s="1">
        <v>5</v>
      </c>
      <c r="F26" t="s">
        <v>31</v>
      </c>
      <c r="G26" t="str">
        <f>VLOOKUP(Table1[[#This Row],[Winner]],Ranking!C:D,2,FALSE)</f>
        <v>B10</v>
      </c>
      <c r="H26" s="1">
        <v>69</v>
      </c>
      <c r="I26" s="1">
        <v>12</v>
      </c>
      <c r="J26" t="s">
        <v>270</v>
      </c>
      <c r="K26" t="str">
        <f>VLOOKUP(Table1[[#This Row],[Loser]],Ranking!C:D,2,FALSE)</f>
        <v>MAC</v>
      </c>
      <c r="L26" s="1">
        <v>68</v>
      </c>
      <c r="M26" s="1" t="s">
        <v>462</v>
      </c>
      <c r="N26" s="1">
        <f>Table1[[#This Row],[Winning Score]]-Table1[[#This Row],[Losing Score]]</f>
        <v>1</v>
      </c>
      <c r="O26" s="1">
        <f>Table1[[#This Row],[Losing Seed]]-Table1[[#This Row],[Winning Seed]]</f>
        <v>7</v>
      </c>
      <c r="P26" s="1" t="str">
        <f>IF(Table1[[#This Row],[SeD]]&lt;-2,Table1[[#This Row],[Winning Seed]]&amp; " over " &amp;Table1[[#This Row],[Losing Seed]],"")</f>
        <v/>
      </c>
      <c r="Q26">
        <f>VLOOKUP(Table1[[#This Row],[Losing Seed]],'Seed History'!$N$4:$O$19,2)</f>
        <v>0.52083333333333337</v>
      </c>
      <c r="R26" s="1">
        <f>IF(Table1[[#This Row],[Round]]="PI",0,Table1[[#This Row],[Round]]-1)</f>
        <v>0</v>
      </c>
      <c r="S26">
        <f>Table1[[#This Row],[LAW]]-Table1[[#This Row],[LEW]]</f>
        <v>-0.52083333333333337</v>
      </c>
    </row>
    <row r="27" spans="1:19" x14ac:dyDescent="0.25">
      <c r="A27" s="66">
        <v>31121</v>
      </c>
      <c r="B27" s="51">
        <f>YEAR(Table1[[#This Row],[Date]])</f>
        <v>1985</v>
      </c>
      <c r="C27" s="1">
        <v>1</v>
      </c>
      <c r="D27" t="s">
        <v>461</v>
      </c>
      <c r="E27" s="1">
        <v>8</v>
      </c>
      <c r="F27" t="s">
        <v>50</v>
      </c>
      <c r="G27" t="str">
        <f>VLOOKUP(Table1[[#This Row],[Winner]],Ranking!C:D,2,FALSE)</f>
        <v>BE</v>
      </c>
      <c r="H27" s="1">
        <v>51</v>
      </c>
      <c r="I27" s="1">
        <v>9</v>
      </c>
      <c r="J27" t="s">
        <v>57</v>
      </c>
      <c r="K27" t="str">
        <f>VLOOKUP(Table1[[#This Row],[Loser]],Ranking!C:D,2,FALSE)</f>
        <v>A10</v>
      </c>
      <c r="L27" s="1">
        <v>49</v>
      </c>
      <c r="N27" s="1">
        <f>Table1[[#This Row],[Winning Score]]-Table1[[#This Row],[Losing Score]]</f>
        <v>2</v>
      </c>
      <c r="O27" s="1">
        <f>Table1[[#This Row],[Losing Seed]]-Table1[[#This Row],[Winning Seed]]</f>
        <v>1</v>
      </c>
      <c r="P27" s="1" t="str">
        <f>IF(Table1[[#This Row],[SeD]]&lt;-2,Table1[[#This Row],[Winning Seed]]&amp; " over " &amp;Table1[[#This Row],[Losing Seed]],"")</f>
        <v/>
      </c>
      <c r="Q27">
        <f>VLOOKUP(Table1[[#This Row],[Losing Seed]],'Seed History'!$N$4:$O$19,2)</f>
        <v>0.59027777777777779</v>
      </c>
      <c r="R27" s="1">
        <f>IF(Table1[[#This Row],[Round]]="PI",0,Table1[[#This Row],[Round]]-1)</f>
        <v>0</v>
      </c>
      <c r="S27">
        <f>Table1[[#This Row],[LAW]]-Table1[[#This Row],[LEW]]</f>
        <v>-0.59027777777777779</v>
      </c>
    </row>
    <row r="28" spans="1:19" x14ac:dyDescent="0.25">
      <c r="A28" s="66">
        <v>31121</v>
      </c>
      <c r="B28" s="51">
        <f>YEAR(Table1[[#This Row],[Date]])</f>
        <v>1985</v>
      </c>
      <c r="C28" s="1">
        <v>1</v>
      </c>
      <c r="D28" t="s">
        <v>38</v>
      </c>
      <c r="E28" s="1">
        <v>2</v>
      </c>
      <c r="F28" t="s">
        <v>47</v>
      </c>
      <c r="G28" t="str">
        <f>VLOOKUP(Table1[[#This Row],[Winner]],Ranking!C:D,2,FALSE)</f>
        <v>A10</v>
      </c>
      <c r="H28" s="1">
        <v>81</v>
      </c>
      <c r="I28" s="1">
        <v>15</v>
      </c>
      <c r="J28" t="s">
        <v>263</v>
      </c>
      <c r="K28" t="str">
        <f>VLOOKUP(Table1[[#This Row],[Loser]],Ranking!C:D,2,FALSE)</f>
        <v>CUSA</v>
      </c>
      <c r="L28" s="1">
        <v>65</v>
      </c>
      <c r="N28" s="1">
        <f>Table1[[#This Row],[Winning Score]]-Table1[[#This Row],[Losing Score]]</f>
        <v>16</v>
      </c>
      <c r="O28" s="1">
        <f>Table1[[#This Row],[Losing Seed]]-Table1[[#This Row],[Winning Seed]]</f>
        <v>13</v>
      </c>
      <c r="P28" s="1" t="str">
        <f>IF(Table1[[#This Row],[SeD]]&lt;-2,Table1[[#This Row],[Winning Seed]]&amp; " over " &amp;Table1[[#This Row],[Losing Seed]],"")</f>
        <v/>
      </c>
      <c r="Q28">
        <f>VLOOKUP(Table1[[#This Row],[Losing Seed]],'Seed History'!$N$4:$O$19,2)</f>
        <v>7.6388888888888895E-2</v>
      </c>
      <c r="R28" s="1">
        <f>IF(Table1[[#This Row],[Round]]="PI",0,Table1[[#This Row],[Round]]-1)</f>
        <v>0</v>
      </c>
      <c r="S28">
        <f>Table1[[#This Row],[LAW]]-Table1[[#This Row],[LEW]]</f>
        <v>-7.6388888888888895E-2</v>
      </c>
    </row>
    <row r="29" spans="1:19" x14ac:dyDescent="0.25">
      <c r="A29" s="66">
        <v>31121</v>
      </c>
      <c r="B29" s="51">
        <f>YEAR(Table1[[#This Row],[Date]])</f>
        <v>1985</v>
      </c>
      <c r="C29" s="1">
        <v>1</v>
      </c>
      <c r="D29" t="s">
        <v>38</v>
      </c>
      <c r="E29" s="1">
        <v>3</v>
      </c>
      <c r="F29" t="s">
        <v>301</v>
      </c>
      <c r="G29" t="e">
        <f>VLOOKUP(Table1[[#This Row],[Winner]],Ranking!C:D,2,FALSE)</f>
        <v>#N/A</v>
      </c>
      <c r="H29" s="1">
        <v>65</v>
      </c>
      <c r="I29" s="1">
        <v>14</v>
      </c>
      <c r="J29" t="s">
        <v>289</v>
      </c>
      <c r="K29" t="str">
        <f>VLOOKUP(Table1[[#This Row],[Loser]],Ranking!C:D,2,FALSE)</f>
        <v>MWC</v>
      </c>
      <c r="L29" s="1">
        <v>56</v>
      </c>
      <c r="N29" s="1">
        <f>Table1[[#This Row],[Winning Score]]-Table1[[#This Row],[Losing Score]]</f>
        <v>9</v>
      </c>
      <c r="O29" s="1">
        <f>Table1[[#This Row],[Losing Seed]]-Table1[[#This Row],[Winning Seed]]</f>
        <v>11</v>
      </c>
      <c r="P29" s="1" t="str">
        <f>IF(Table1[[#This Row],[SeD]]&lt;-2,Table1[[#This Row],[Winning Seed]]&amp; " over " &amp;Table1[[#This Row],[Losing Seed]],"")</f>
        <v/>
      </c>
      <c r="Q29">
        <f>VLOOKUP(Table1[[#This Row],[Losing Seed]],'Seed History'!$N$4:$O$19,2)</f>
        <v>0.16666666666666666</v>
      </c>
      <c r="R29" s="1">
        <f>IF(Table1[[#This Row],[Round]]="PI",0,Table1[[#This Row],[Round]]-1)</f>
        <v>0</v>
      </c>
      <c r="S29">
        <f>Table1[[#This Row],[LAW]]-Table1[[#This Row],[LEW]]</f>
        <v>-0.16666666666666666</v>
      </c>
    </row>
    <row r="30" spans="1:19" x14ac:dyDescent="0.25">
      <c r="A30" s="66">
        <v>31121</v>
      </c>
      <c r="B30" s="51">
        <f>YEAR(Table1[[#This Row],[Date]])</f>
        <v>1985</v>
      </c>
      <c r="C30" s="1">
        <v>1</v>
      </c>
      <c r="D30" t="s">
        <v>38</v>
      </c>
      <c r="E30" s="1">
        <v>7</v>
      </c>
      <c r="F30" t="s">
        <v>113</v>
      </c>
      <c r="G30" t="str">
        <f>VLOOKUP(Table1[[#This Row],[Winner]],Ranking!C:D,2,FALSE)</f>
        <v>SEC</v>
      </c>
      <c r="H30" s="1">
        <v>50</v>
      </c>
      <c r="I30" s="1">
        <v>10</v>
      </c>
      <c r="J30" t="s">
        <v>48</v>
      </c>
      <c r="K30" t="str">
        <f>VLOOKUP(Table1[[#This Row],[Loser]],Ranking!C:D,2,FALSE)</f>
        <v>P12</v>
      </c>
      <c r="L30" s="1">
        <v>41</v>
      </c>
      <c r="N30" s="1">
        <f>Table1[[#This Row],[Winning Score]]-Table1[[#This Row],[Losing Score]]</f>
        <v>9</v>
      </c>
      <c r="O30" s="1">
        <f>Table1[[#This Row],[Losing Seed]]-Table1[[#This Row],[Winning Seed]]</f>
        <v>3</v>
      </c>
      <c r="P30" s="1" t="str">
        <f>IF(Table1[[#This Row],[SeD]]&lt;-2,Table1[[#This Row],[Winning Seed]]&amp; " over " &amp;Table1[[#This Row],[Losing Seed]],"")</f>
        <v/>
      </c>
      <c r="Q30">
        <f>VLOOKUP(Table1[[#This Row],[Losing Seed]],'Seed History'!$N$4:$O$19,2)</f>
        <v>0.61805555555555558</v>
      </c>
      <c r="R30" s="1">
        <f>IF(Table1[[#This Row],[Round]]="PI",0,Table1[[#This Row],[Round]]-1)</f>
        <v>0</v>
      </c>
      <c r="S30">
        <f>Table1[[#This Row],[LAW]]-Table1[[#This Row],[LEW]]</f>
        <v>-0.61805555555555558</v>
      </c>
    </row>
    <row r="31" spans="1:19" x14ac:dyDescent="0.25">
      <c r="A31" s="66">
        <v>31121</v>
      </c>
      <c r="B31" s="51">
        <f>YEAR(Table1[[#This Row],[Date]])</f>
        <v>1985</v>
      </c>
      <c r="C31" s="1">
        <v>1</v>
      </c>
      <c r="D31" t="s">
        <v>461</v>
      </c>
      <c r="E31" s="1">
        <v>13</v>
      </c>
      <c r="F31" t="s">
        <v>286</v>
      </c>
      <c r="G31" t="str">
        <f>VLOOKUP(Table1[[#This Row],[Winner]],Ranking!C:D,2,FALSE)</f>
        <v>Pat</v>
      </c>
      <c r="H31" s="1">
        <v>78</v>
      </c>
      <c r="I31" s="1">
        <v>4</v>
      </c>
      <c r="J31" t="s">
        <v>52</v>
      </c>
      <c r="K31" t="str">
        <f>VLOOKUP(Table1[[#This Row],[Loser]],Ranking!C:D,2,FALSE)</f>
        <v>SEC</v>
      </c>
      <c r="L31" s="1">
        <v>55</v>
      </c>
      <c r="N31" s="1">
        <f>Table1[[#This Row],[Winning Score]]-Table1[[#This Row],[Losing Score]]</f>
        <v>23</v>
      </c>
      <c r="O31" s="1">
        <f>Table1[[#This Row],[Losing Seed]]-Table1[[#This Row],[Winning Seed]]</f>
        <v>-9</v>
      </c>
      <c r="P31" s="1" t="str">
        <f>IF(Table1[[#This Row],[SeD]]&lt;-2,Table1[[#This Row],[Winning Seed]]&amp; " over " &amp;Table1[[#This Row],[Losing Seed]],"")</f>
        <v>13 over 4</v>
      </c>
      <c r="Q31">
        <f>VLOOKUP(Table1[[#This Row],[Losing Seed]],'Seed History'!$N$4:$O$19,2)</f>
        <v>1.5208333333333333</v>
      </c>
      <c r="R31" s="1">
        <f>IF(Table1[[#This Row],[Round]]="PI",0,Table1[[#This Row],[Round]]-1)</f>
        <v>0</v>
      </c>
      <c r="S31">
        <f>Table1[[#This Row],[LAW]]-Table1[[#This Row],[LEW]]</f>
        <v>-1.5208333333333333</v>
      </c>
    </row>
    <row r="32" spans="1:19" x14ac:dyDescent="0.25">
      <c r="A32" s="66">
        <v>31121</v>
      </c>
      <c r="B32" s="51">
        <f>YEAR(Table1[[#This Row],[Date]])</f>
        <v>1985</v>
      </c>
      <c r="C32" s="1">
        <v>1</v>
      </c>
      <c r="D32" t="s">
        <v>439</v>
      </c>
      <c r="E32" s="1">
        <v>11</v>
      </c>
      <c r="F32" t="s">
        <v>138</v>
      </c>
      <c r="G32" t="str">
        <f>VLOOKUP(Table1[[#This Row],[Winner]],Ranking!C:D,2,FALSE)</f>
        <v>ACC</v>
      </c>
      <c r="H32" s="1">
        <v>55</v>
      </c>
      <c r="I32" s="1">
        <v>6</v>
      </c>
      <c r="J32" t="s">
        <v>92</v>
      </c>
      <c r="K32" t="str">
        <f>VLOOKUP(Table1[[#This Row],[Loser]],Ranking!C:D,2,FALSE)</f>
        <v>B12</v>
      </c>
      <c r="L32" s="1">
        <v>53</v>
      </c>
      <c r="N32" s="1">
        <f>Table1[[#This Row],[Winning Score]]-Table1[[#This Row],[Losing Score]]</f>
        <v>2</v>
      </c>
      <c r="O32" s="1">
        <f>Table1[[#This Row],[Losing Seed]]-Table1[[#This Row],[Winning Seed]]</f>
        <v>-5</v>
      </c>
      <c r="P32" s="1" t="str">
        <f>IF(Table1[[#This Row],[SeD]]&lt;-2,Table1[[#This Row],[Winning Seed]]&amp; " over " &amp;Table1[[#This Row],[Losing Seed]],"")</f>
        <v>11 over 6</v>
      </c>
      <c r="Q32">
        <f>VLOOKUP(Table1[[#This Row],[Losing Seed]],'Seed History'!$N$4:$O$19,2)</f>
        <v>1.0625</v>
      </c>
      <c r="R32" s="1">
        <f>IF(Table1[[#This Row],[Round]]="PI",0,Table1[[#This Row],[Round]]-1)</f>
        <v>0</v>
      </c>
      <c r="S32">
        <f>Table1[[#This Row],[LAW]]-Table1[[#This Row],[LEW]]</f>
        <v>-1.0625</v>
      </c>
    </row>
    <row r="33" spans="1:19" x14ac:dyDescent="0.25">
      <c r="A33" s="66">
        <v>31121</v>
      </c>
      <c r="B33" s="51">
        <f>YEAR(Table1[[#This Row],[Date]])</f>
        <v>1985</v>
      </c>
      <c r="C33" s="1">
        <v>1</v>
      </c>
      <c r="D33" t="s">
        <v>38</v>
      </c>
      <c r="E33" s="1">
        <v>11</v>
      </c>
      <c r="F33" t="s">
        <v>402</v>
      </c>
      <c r="G33" t="str">
        <f>VLOOKUP(Table1[[#This Row],[Winner]],Ranking!C:D,2,FALSE)</f>
        <v>CUSA</v>
      </c>
      <c r="H33" s="1">
        <v>79</v>
      </c>
      <c r="I33" s="1">
        <v>6</v>
      </c>
      <c r="J33" t="s">
        <v>94</v>
      </c>
      <c r="K33" t="str">
        <f>VLOOKUP(Table1[[#This Row],[Loser]],Ranking!C:D,2,FALSE)</f>
        <v>Amer</v>
      </c>
      <c r="L33" s="1">
        <v>75</v>
      </c>
      <c r="N33" s="1">
        <f>Table1[[#This Row],[Winning Score]]-Table1[[#This Row],[Losing Score]]</f>
        <v>4</v>
      </c>
      <c r="O33" s="1">
        <f>Table1[[#This Row],[Losing Seed]]-Table1[[#This Row],[Winning Seed]]</f>
        <v>-5</v>
      </c>
      <c r="P33" s="1" t="str">
        <f>IF(Table1[[#This Row],[SeD]]&lt;-2,Table1[[#This Row],[Winning Seed]]&amp; " over " &amp;Table1[[#This Row],[Losing Seed]],"")</f>
        <v>11 over 6</v>
      </c>
      <c r="Q33">
        <f>VLOOKUP(Table1[[#This Row],[Losing Seed]],'Seed History'!$N$4:$O$19,2)</f>
        <v>1.0625</v>
      </c>
      <c r="R33" s="1">
        <f>IF(Table1[[#This Row],[Round]]="PI",0,Table1[[#This Row],[Round]]-1)</f>
        <v>0</v>
      </c>
      <c r="S33">
        <f>Table1[[#This Row],[LAW]]-Table1[[#This Row],[LEW]]</f>
        <v>-1.0625</v>
      </c>
    </row>
    <row r="34" spans="1:19" x14ac:dyDescent="0.25">
      <c r="A34" s="66">
        <v>31122</v>
      </c>
      <c r="B34" s="51">
        <f>YEAR(Table1[[#This Row],[Date]])</f>
        <v>1985</v>
      </c>
      <c r="C34" s="1">
        <v>2</v>
      </c>
      <c r="D34" t="s">
        <v>49</v>
      </c>
      <c r="E34" s="1">
        <v>1</v>
      </c>
      <c r="F34" t="s">
        <v>66</v>
      </c>
      <c r="G34" t="str">
        <f>VLOOKUP(Table1[[#This Row],[Winner]],Ranking!C:D,2,FALSE)</f>
        <v>BE</v>
      </c>
      <c r="H34" s="1">
        <v>63</v>
      </c>
      <c r="I34" s="1">
        <v>8</v>
      </c>
      <c r="J34" t="s">
        <v>373</v>
      </c>
      <c r="K34" t="str">
        <f>VLOOKUP(Table1[[#This Row],[Loser]],Ranking!C:D,2,FALSE)</f>
        <v>Amer</v>
      </c>
      <c r="L34" s="1">
        <v>46</v>
      </c>
      <c r="N34" s="1">
        <f>Table1[[#This Row],[Winning Score]]-Table1[[#This Row],[Losing Score]]</f>
        <v>17</v>
      </c>
      <c r="O34" s="1">
        <f>Table1[[#This Row],[Losing Seed]]-Table1[[#This Row],[Winning Seed]]</f>
        <v>7</v>
      </c>
      <c r="P34" s="1" t="str">
        <f>IF(Table1[[#This Row],[SeD]]&lt;-2,Table1[[#This Row],[Winning Seed]]&amp; " over " &amp;Table1[[#This Row],[Losing Seed]],"")</f>
        <v/>
      </c>
      <c r="Q34">
        <f>VLOOKUP(Table1[[#This Row],[Losing Seed]],'Seed History'!$N$4:$O$19,2)</f>
        <v>0.70833333333333337</v>
      </c>
      <c r="R34" s="1">
        <f>IF(Table1[[#This Row],[Round]]="PI",0,Table1[[#This Row],[Round]]-1)</f>
        <v>1</v>
      </c>
      <c r="S34">
        <f>Table1[[#This Row],[LAW]]-Table1[[#This Row],[LEW]]</f>
        <v>0.29166666666666663</v>
      </c>
    </row>
    <row r="35" spans="1:19" x14ac:dyDescent="0.25">
      <c r="A35" s="66">
        <v>31122</v>
      </c>
      <c r="B35" s="51">
        <f>YEAR(Table1[[#This Row],[Date]])</f>
        <v>1985</v>
      </c>
      <c r="C35" s="1">
        <v>2</v>
      </c>
      <c r="D35" t="s">
        <v>49</v>
      </c>
      <c r="E35" s="1">
        <v>4</v>
      </c>
      <c r="F35" t="s">
        <v>257</v>
      </c>
      <c r="G35" t="str">
        <f>VLOOKUP(Table1[[#This Row],[Winner]],Ranking!C:D,2,FALSE)</f>
        <v>MVC</v>
      </c>
      <c r="H35" s="1">
        <v>70</v>
      </c>
      <c r="I35" s="1">
        <v>5</v>
      </c>
      <c r="J35" t="s">
        <v>352</v>
      </c>
      <c r="K35" t="str">
        <f>VLOOKUP(Table1[[#This Row],[Loser]],Ranking!C:D,2,FALSE)</f>
        <v>Amer</v>
      </c>
      <c r="L35" s="1">
        <v>57</v>
      </c>
      <c r="N35" s="1">
        <f>Table1[[#This Row],[Winning Score]]-Table1[[#This Row],[Losing Score]]</f>
        <v>13</v>
      </c>
      <c r="O35" s="1">
        <f>Table1[[#This Row],[Losing Seed]]-Table1[[#This Row],[Winning Seed]]</f>
        <v>1</v>
      </c>
      <c r="P35" s="1" t="str">
        <f>IF(Table1[[#This Row],[SeD]]&lt;-2,Table1[[#This Row],[Winning Seed]]&amp; " over " &amp;Table1[[#This Row],[Losing Seed]],"")</f>
        <v/>
      </c>
      <c r="Q35">
        <f>VLOOKUP(Table1[[#This Row],[Losing Seed]],'Seed History'!$N$4:$O$19,2)</f>
        <v>1.1180555555555556</v>
      </c>
      <c r="R35" s="1">
        <f>IF(Table1[[#This Row],[Round]]="PI",0,Table1[[#This Row],[Round]]-1)</f>
        <v>1</v>
      </c>
      <c r="S35">
        <f>Table1[[#This Row],[LAW]]-Table1[[#This Row],[LEW]]</f>
        <v>-0.11805555555555558</v>
      </c>
    </row>
    <row r="36" spans="1:19" x14ac:dyDescent="0.25">
      <c r="A36" s="66">
        <v>31122</v>
      </c>
      <c r="B36" s="51">
        <f>YEAR(Table1[[#This Row],[Date]])</f>
        <v>1985</v>
      </c>
      <c r="C36" s="1">
        <v>2</v>
      </c>
      <c r="D36" t="s">
        <v>439</v>
      </c>
      <c r="E36" s="1">
        <v>1</v>
      </c>
      <c r="F36" t="s">
        <v>58</v>
      </c>
      <c r="G36" t="str">
        <f>VLOOKUP(Table1[[#This Row],[Winner]],Ranking!C:D,2,FALSE)</f>
        <v>B12</v>
      </c>
      <c r="H36" s="1">
        <v>75</v>
      </c>
      <c r="I36" s="1">
        <v>9</v>
      </c>
      <c r="J36" t="s">
        <v>233</v>
      </c>
      <c r="K36" t="str">
        <f>VLOOKUP(Table1[[#This Row],[Loser]],Ranking!C:D,2,FALSE)</f>
        <v>MVC</v>
      </c>
      <c r="L36" s="1">
        <v>69</v>
      </c>
      <c r="N36" s="1">
        <f>Table1[[#This Row],[Winning Score]]-Table1[[#This Row],[Losing Score]]</f>
        <v>6</v>
      </c>
      <c r="O36" s="1">
        <f>Table1[[#This Row],[Losing Seed]]-Table1[[#This Row],[Winning Seed]]</f>
        <v>8</v>
      </c>
      <c r="P36" s="1" t="str">
        <f>IF(Table1[[#This Row],[SeD]]&lt;-2,Table1[[#This Row],[Winning Seed]]&amp; " over " &amp;Table1[[#This Row],[Losing Seed]],"")</f>
        <v/>
      </c>
      <c r="Q36">
        <f>VLOOKUP(Table1[[#This Row],[Losing Seed]],'Seed History'!$N$4:$O$19,2)</f>
        <v>0.59027777777777779</v>
      </c>
      <c r="R36" s="1">
        <f>IF(Table1[[#This Row],[Round]]="PI",0,Table1[[#This Row],[Round]]-1)</f>
        <v>1</v>
      </c>
      <c r="S36">
        <f>Table1[[#This Row],[LAW]]-Table1[[#This Row],[LEW]]</f>
        <v>0.40972222222222221</v>
      </c>
    </row>
    <row r="37" spans="1:19" x14ac:dyDescent="0.25">
      <c r="A37" s="66">
        <v>31122</v>
      </c>
      <c r="B37" s="51">
        <f>YEAR(Table1[[#This Row],[Date]])</f>
        <v>1985</v>
      </c>
      <c r="C37" s="1">
        <v>2</v>
      </c>
      <c r="D37" t="s">
        <v>461</v>
      </c>
      <c r="E37" s="1">
        <v>2</v>
      </c>
      <c r="F37" t="s">
        <v>298</v>
      </c>
      <c r="G37" t="str">
        <f>VLOOKUP(Table1[[#This Row],[Winner]],Ranking!C:D,2,FALSE)</f>
        <v>ACC</v>
      </c>
      <c r="H37" s="1">
        <v>60</v>
      </c>
      <c r="I37" s="1">
        <v>7</v>
      </c>
      <c r="J37" t="s">
        <v>35</v>
      </c>
      <c r="K37" t="str">
        <f>VLOOKUP(Table1[[#This Row],[Loser]],Ranking!C:D,2,FALSE)</f>
        <v>ACC</v>
      </c>
      <c r="L37" s="1">
        <v>58</v>
      </c>
      <c r="N37" s="1">
        <f>Table1[[#This Row],[Winning Score]]-Table1[[#This Row],[Losing Score]]</f>
        <v>2</v>
      </c>
      <c r="O37" s="1">
        <f>Table1[[#This Row],[Losing Seed]]-Table1[[#This Row],[Winning Seed]]</f>
        <v>5</v>
      </c>
      <c r="P37" s="1" t="str">
        <f>IF(Table1[[#This Row],[SeD]]&lt;-2,Table1[[#This Row],[Winning Seed]]&amp; " over " &amp;Table1[[#This Row],[Losing Seed]],"")</f>
        <v/>
      </c>
      <c r="Q37">
        <f>VLOOKUP(Table1[[#This Row],[Losing Seed]],'Seed History'!$N$4:$O$19,2)</f>
        <v>0.90277777777777779</v>
      </c>
      <c r="R37" s="1">
        <f>IF(Table1[[#This Row],[Round]]="PI",0,Table1[[#This Row],[Round]]-1)</f>
        <v>1</v>
      </c>
      <c r="S37">
        <f>Table1[[#This Row],[LAW]]-Table1[[#This Row],[LEW]]</f>
        <v>9.722222222222221E-2</v>
      </c>
    </row>
    <row r="38" spans="1:19" x14ac:dyDescent="0.25">
      <c r="A38" s="66">
        <v>31122</v>
      </c>
      <c r="B38" s="51">
        <f>YEAR(Table1[[#This Row],[Date]])</f>
        <v>1985</v>
      </c>
      <c r="C38" s="1">
        <v>2</v>
      </c>
      <c r="D38" t="s">
        <v>38</v>
      </c>
      <c r="E38" s="1">
        <v>1</v>
      </c>
      <c r="F38" t="s">
        <v>368</v>
      </c>
      <c r="G38" t="str">
        <f>VLOOKUP(Table1[[#This Row],[Winner]],Ranking!C:D,2,FALSE)</f>
        <v>BE</v>
      </c>
      <c r="H38" s="1">
        <v>68</v>
      </c>
      <c r="I38" s="1">
        <v>9</v>
      </c>
      <c r="J38" t="s">
        <v>41</v>
      </c>
      <c r="K38" t="str">
        <f>VLOOKUP(Table1[[#This Row],[Loser]],Ranking!C:D,2,FALSE)</f>
        <v>SEC</v>
      </c>
      <c r="L38" s="1">
        <v>65</v>
      </c>
      <c r="N38" s="1">
        <f>Table1[[#This Row],[Winning Score]]-Table1[[#This Row],[Losing Score]]</f>
        <v>3</v>
      </c>
      <c r="O38" s="1">
        <f>Table1[[#This Row],[Losing Seed]]-Table1[[#This Row],[Winning Seed]]</f>
        <v>8</v>
      </c>
      <c r="P38" s="1" t="str">
        <f>IF(Table1[[#This Row],[SeD]]&lt;-2,Table1[[#This Row],[Winning Seed]]&amp; " over " &amp;Table1[[#This Row],[Losing Seed]],"")</f>
        <v/>
      </c>
      <c r="Q38">
        <f>VLOOKUP(Table1[[#This Row],[Losing Seed]],'Seed History'!$N$4:$O$19,2)</f>
        <v>0.59027777777777779</v>
      </c>
      <c r="R38" s="1">
        <f>IF(Table1[[#This Row],[Round]]="PI",0,Table1[[#This Row],[Round]]-1)</f>
        <v>1</v>
      </c>
      <c r="S38">
        <f>Table1[[#This Row],[LAW]]-Table1[[#This Row],[LEW]]</f>
        <v>0.40972222222222221</v>
      </c>
    </row>
    <row r="39" spans="1:19" x14ac:dyDescent="0.25">
      <c r="A39" s="66">
        <v>31122</v>
      </c>
      <c r="B39" s="51">
        <f>YEAR(Table1[[#This Row],[Date]])</f>
        <v>1985</v>
      </c>
      <c r="C39" s="1">
        <v>2</v>
      </c>
      <c r="D39" t="s">
        <v>461</v>
      </c>
      <c r="E39" s="1">
        <v>11</v>
      </c>
      <c r="F39" t="s">
        <v>129</v>
      </c>
      <c r="G39" t="str">
        <f>VLOOKUP(Table1[[#This Row],[Winner]],Ranking!C:D,2,FALSE)</f>
        <v>SEC</v>
      </c>
      <c r="H39" s="1">
        <v>66</v>
      </c>
      <c r="I39" s="1">
        <v>3</v>
      </c>
      <c r="J39" t="s">
        <v>37</v>
      </c>
      <c r="K39" t="str">
        <f>VLOOKUP(Table1[[#This Row],[Loser]],Ranking!C:D,2,FALSE)</f>
        <v>B12</v>
      </c>
      <c r="L39" s="1">
        <v>64</v>
      </c>
      <c r="N39" s="1">
        <f>Table1[[#This Row],[Winning Score]]-Table1[[#This Row],[Losing Score]]</f>
        <v>2</v>
      </c>
      <c r="O39" s="1">
        <f>Table1[[#This Row],[Losing Seed]]-Table1[[#This Row],[Winning Seed]]</f>
        <v>-8</v>
      </c>
      <c r="P39" s="1" t="str">
        <f>IF(Table1[[#This Row],[SeD]]&lt;-2,Table1[[#This Row],[Winning Seed]]&amp; " over " &amp;Table1[[#This Row],[Losing Seed]],"")</f>
        <v>11 over 3</v>
      </c>
      <c r="Q39">
        <f>VLOOKUP(Table1[[#This Row],[Losing Seed]],'Seed History'!$N$4:$O$19,2)</f>
        <v>1.8472222222222223</v>
      </c>
      <c r="R39" s="1">
        <f>IF(Table1[[#This Row],[Round]]="PI",0,Table1[[#This Row],[Round]]-1)</f>
        <v>1</v>
      </c>
      <c r="S39">
        <f>Table1[[#This Row],[LAW]]-Table1[[#This Row],[LEW]]</f>
        <v>-0.84722222222222232</v>
      </c>
    </row>
    <row r="40" spans="1:19" x14ac:dyDescent="0.25">
      <c r="A40" s="66">
        <v>31122</v>
      </c>
      <c r="B40" s="51">
        <f>YEAR(Table1[[#This Row],[Date]])</f>
        <v>1985</v>
      </c>
      <c r="C40" s="1">
        <v>2</v>
      </c>
      <c r="D40" t="s">
        <v>38</v>
      </c>
      <c r="E40" s="1">
        <v>12</v>
      </c>
      <c r="F40" t="s">
        <v>26</v>
      </c>
      <c r="G40" t="str">
        <f>VLOOKUP(Table1[[#This Row],[Winner]],Ranking!C:D,2,FALSE)</f>
        <v>SEC</v>
      </c>
      <c r="H40" s="1">
        <v>64</v>
      </c>
      <c r="I40" s="1">
        <v>4</v>
      </c>
      <c r="J40" t="s">
        <v>396</v>
      </c>
      <c r="K40" t="str">
        <f>VLOOKUP(Table1[[#This Row],[Loser]],Ranking!C:D,2,FALSE)</f>
        <v>MWC</v>
      </c>
      <c r="L40" s="1">
        <v>61</v>
      </c>
      <c r="N40" s="1">
        <f>Table1[[#This Row],[Winning Score]]-Table1[[#This Row],[Losing Score]]</f>
        <v>3</v>
      </c>
      <c r="O40" s="1">
        <f>Table1[[#This Row],[Losing Seed]]-Table1[[#This Row],[Winning Seed]]</f>
        <v>-8</v>
      </c>
      <c r="P40" s="1" t="str">
        <f>IF(Table1[[#This Row],[SeD]]&lt;-2,Table1[[#This Row],[Winning Seed]]&amp; " over " &amp;Table1[[#This Row],[Losing Seed]],"")</f>
        <v>12 over 4</v>
      </c>
      <c r="Q40">
        <f>VLOOKUP(Table1[[#This Row],[Losing Seed]],'Seed History'!$N$4:$O$19,2)</f>
        <v>1.5208333333333333</v>
      </c>
      <c r="R40" s="1">
        <f>IF(Table1[[#This Row],[Round]]="PI",0,Table1[[#This Row],[Round]]-1)</f>
        <v>1</v>
      </c>
      <c r="S40">
        <f>Table1[[#This Row],[LAW]]-Table1[[#This Row],[LEW]]</f>
        <v>-0.52083333333333326</v>
      </c>
    </row>
    <row r="41" spans="1:19" x14ac:dyDescent="0.25">
      <c r="A41" s="66">
        <v>31122</v>
      </c>
      <c r="B41" s="51">
        <f>YEAR(Table1[[#This Row],[Date]])</f>
        <v>1985</v>
      </c>
      <c r="C41" s="1">
        <v>2</v>
      </c>
      <c r="D41" t="s">
        <v>439</v>
      </c>
      <c r="E41" s="1">
        <v>5</v>
      </c>
      <c r="F41" t="s">
        <v>256</v>
      </c>
      <c r="G41" t="str">
        <f>VLOOKUP(Table1[[#This Row],[Winner]],Ranking!C:D,2,FALSE)</f>
        <v>CUSA</v>
      </c>
      <c r="H41" s="1">
        <v>79</v>
      </c>
      <c r="I41" s="1">
        <v>4</v>
      </c>
      <c r="J41" t="s">
        <v>315</v>
      </c>
      <c r="K41" t="str">
        <f>VLOOKUP(Table1[[#This Row],[Loser]],Ranking!C:D,2,FALSE)</f>
        <v>B10</v>
      </c>
      <c r="L41" s="1">
        <v>67</v>
      </c>
      <c r="N41" s="1">
        <f>Table1[[#This Row],[Winning Score]]-Table1[[#This Row],[Losing Score]]</f>
        <v>12</v>
      </c>
      <c r="O41" s="1">
        <f>Table1[[#This Row],[Losing Seed]]-Table1[[#This Row],[Winning Seed]]</f>
        <v>-1</v>
      </c>
      <c r="P41" s="1" t="str">
        <f>IF(Table1[[#This Row],[SeD]]&lt;-2,Table1[[#This Row],[Winning Seed]]&amp; " over " &amp;Table1[[#This Row],[Losing Seed]],"")</f>
        <v/>
      </c>
      <c r="Q41">
        <f>VLOOKUP(Table1[[#This Row],[Losing Seed]],'Seed History'!$N$4:$O$19,2)</f>
        <v>1.5208333333333333</v>
      </c>
      <c r="R41" s="1">
        <f>IF(Table1[[#This Row],[Round]]="PI",0,Table1[[#This Row],[Round]]-1)</f>
        <v>1</v>
      </c>
      <c r="S41">
        <f>Table1[[#This Row],[LAW]]-Table1[[#This Row],[LEW]]</f>
        <v>-0.52083333333333326</v>
      </c>
    </row>
    <row r="42" spans="1:19" x14ac:dyDescent="0.25">
      <c r="A42" s="66">
        <v>31123</v>
      </c>
      <c r="B42" s="51">
        <f>YEAR(Table1[[#This Row],[Date]])</f>
        <v>1985</v>
      </c>
      <c r="C42" s="1">
        <v>2</v>
      </c>
      <c r="D42" t="s">
        <v>49</v>
      </c>
      <c r="E42" s="1">
        <v>2</v>
      </c>
      <c r="F42" t="s">
        <v>216</v>
      </c>
      <c r="G42" t="str">
        <f>VLOOKUP(Table1[[#This Row],[Winner]],Ranking!C:D,2,FALSE)</f>
        <v>ACC</v>
      </c>
      <c r="H42" s="1">
        <v>70</v>
      </c>
      <c r="I42" s="1">
        <v>7</v>
      </c>
      <c r="J42" t="s">
        <v>86</v>
      </c>
      <c r="K42" t="str">
        <f>VLOOKUP(Table1[[#This Row],[Loser]],Ranking!C:D,2,FALSE)</f>
        <v>ACC</v>
      </c>
      <c r="L42" s="1">
        <v>53</v>
      </c>
      <c r="N42" s="1">
        <f>Table1[[#This Row],[Winning Score]]-Table1[[#This Row],[Losing Score]]</f>
        <v>17</v>
      </c>
      <c r="O42" s="1">
        <f>Table1[[#This Row],[Losing Seed]]-Table1[[#This Row],[Winning Seed]]</f>
        <v>5</v>
      </c>
      <c r="P42" s="1" t="str">
        <f>IF(Table1[[#This Row],[SeD]]&lt;-2,Table1[[#This Row],[Winning Seed]]&amp; " over " &amp;Table1[[#This Row],[Losing Seed]],"")</f>
        <v/>
      </c>
      <c r="Q42">
        <f>VLOOKUP(Table1[[#This Row],[Losing Seed]],'Seed History'!$N$4:$O$19,2)</f>
        <v>0.90277777777777779</v>
      </c>
      <c r="R42" s="1">
        <f>IF(Table1[[#This Row],[Round]]="PI",0,Table1[[#This Row],[Round]]-1)</f>
        <v>1</v>
      </c>
      <c r="S42">
        <f>Table1[[#This Row],[LAW]]-Table1[[#This Row],[LEW]]</f>
        <v>9.722222222222221E-2</v>
      </c>
    </row>
    <row r="43" spans="1:19" x14ac:dyDescent="0.25">
      <c r="A43" s="66">
        <v>31123</v>
      </c>
      <c r="B43" s="51">
        <f>YEAR(Table1[[#This Row],[Date]])</f>
        <v>1985</v>
      </c>
      <c r="C43" s="1">
        <v>2</v>
      </c>
      <c r="D43" t="s">
        <v>49</v>
      </c>
      <c r="E43" s="1">
        <v>3</v>
      </c>
      <c r="F43" t="s">
        <v>230</v>
      </c>
      <c r="G43" t="str">
        <f>VLOOKUP(Table1[[#This Row],[Winner]],Ranking!C:D,2,FALSE)</f>
        <v>B10</v>
      </c>
      <c r="H43" s="1">
        <v>74</v>
      </c>
      <c r="I43" s="1">
        <v>6</v>
      </c>
      <c r="J43" t="s">
        <v>60</v>
      </c>
      <c r="K43" t="str">
        <f>VLOOKUP(Table1[[#This Row],[Loser]],Ranking!C:D,2,FALSE)</f>
        <v>SEC</v>
      </c>
      <c r="L43" s="1">
        <v>58</v>
      </c>
      <c r="N43" s="1">
        <f>Table1[[#This Row],[Winning Score]]-Table1[[#This Row],[Losing Score]]</f>
        <v>16</v>
      </c>
      <c r="O43" s="1">
        <f>Table1[[#This Row],[Losing Seed]]-Table1[[#This Row],[Winning Seed]]</f>
        <v>3</v>
      </c>
      <c r="P43" s="1" t="str">
        <f>IF(Table1[[#This Row],[SeD]]&lt;-2,Table1[[#This Row],[Winning Seed]]&amp; " over " &amp;Table1[[#This Row],[Losing Seed]],"")</f>
        <v/>
      </c>
      <c r="Q43">
        <f>VLOOKUP(Table1[[#This Row],[Losing Seed]],'Seed History'!$N$4:$O$19,2)</f>
        <v>1.0625</v>
      </c>
      <c r="R43" s="1">
        <f>IF(Table1[[#This Row],[Round]]="PI",0,Table1[[#This Row],[Round]]-1)</f>
        <v>1</v>
      </c>
      <c r="S43">
        <f>Table1[[#This Row],[LAW]]-Table1[[#This Row],[LEW]]</f>
        <v>-6.25E-2</v>
      </c>
    </row>
    <row r="44" spans="1:19" x14ac:dyDescent="0.25">
      <c r="A44" s="66">
        <v>31123</v>
      </c>
      <c r="B44" s="51">
        <f>YEAR(Table1[[#This Row],[Date]])</f>
        <v>1985</v>
      </c>
      <c r="C44" s="1">
        <v>2</v>
      </c>
      <c r="D44" t="s">
        <v>439</v>
      </c>
      <c r="E44" s="1">
        <v>2</v>
      </c>
      <c r="F44" t="s">
        <v>267</v>
      </c>
      <c r="G44" t="str">
        <f>VLOOKUP(Table1[[#This Row],[Winner]],Ranking!C:D,2,FALSE)</f>
        <v>Amer</v>
      </c>
      <c r="H44" s="1">
        <v>67</v>
      </c>
      <c r="I44" s="1">
        <v>7</v>
      </c>
      <c r="J44" t="s">
        <v>68</v>
      </c>
      <c r="K44" t="str">
        <f>VLOOKUP(Table1[[#This Row],[Loser]],Ranking!C:D,2,FALSE)</f>
        <v>CUSA</v>
      </c>
      <c r="L44" s="1">
        <v>66</v>
      </c>
      <c r="M44" s="1" t="s">
        <v>462</v>
      </c>
      <c r="N44" s="1">
        <f>Table1[[#This Row],[Winning Score]]-Table1[[#This Row],[Losing Score]]</f>
        <v>1</v>
      </c>
      <c r="O44" s="1">
        <f>Table1[[#This Row],[Losing Seed]]-Table1[[#This Row],[Winning Seed]]</f>
        <v>5</v>
      </c>
      <c r="P44" s="1" t="str">
        <f>IF(Table1[[#This Row],[SeD]]&lt;-2,Table1[[#This Row],[Winning Seed]]&amp; " over " &amp;Table1[[#This Row],[Losing Seed]],"")</f>
        <v/>
      </c>
      <c r="Q44">
        <f>VLOOKUP(Table1[[#This Row],[Losing Seed]],'Seed History'!$N$4:$O$19,2)</f>
        <v>0.90277777777777779</v>
      </c>
      <c r="R44" s="1">
        <f>IF(Table1[[#This Row],[Round]]="PI",0,Table1[[#This Row],[Round]]-1)</f>
        <v>1</v>
      </c>
      <c r="S44">
        <f>Table1[[#This Row],[LAW]]-Table1[[#This Row],[LEW]]</f>
        <v>9.722222222222221E-2</v>
      </c>
    </row>
    <row r="45" spans="1:19" x14ac:dyDescent="0.25">
      <c r="A45" s="66">
        <v>31123</v>
      </c>
      <c r="B45" s="51">
        <f>YEAR(Table1[[#This Row],[Date]])</f>
        <v>1985</v>
      </c>
      <c r="C45" s="1">
        <v>2</v>
      </c>
      <c r="D45" t="s">
        <v>461</v>
      </c>
      <c r="E45" s="1">
        <v>5</v>
      </c>
      <c r="F45" t="s">
        <v>31</v>
      </c>
      <c r="G45" t="str">
        <f>VLOOKUP(Table1[[#This Row],[Winner]],Ranking!C:D,2,FALSE)</f>
        <v>B10</v>
      </c>
      <c r="H45" s="1">
        <v>64</v>
      </c>
      <c r="I45" s="1">
        <v>13</v>
      </c>
      <c r="J45" t="s">
        <v>286</v>
      </c>
      <c r="K45" t="str">
        <f>VLOOKUP(Table1[[#This Row],[Loser]],Ranking!C:D,2,FALSE)</f>
        <v>Pat</v>
      </c>
      <c r="L45" s="1">
        <v>59</v>
      </c>
      <c r="N45" s="1">
        <f>Table1[[#This Row],[Winning Score]]-Table1[[#This Row],[Losing Score]]</f>
        <v>5</v>
      </c>
      <c r="O45" s="1">
        <f>Table1[[#This Row],[Losing Seed]]-Table1[[#This Row],[Winning Seed]]</f>
        <v>8</v>
      </c>
      <c r="P45" s="1" t="str">
        <f>IF(Table1[[#This Row],[SeD]]&lt;-2,Table1[[#This Row],[Winning Seed]]&amp; " over " &amp;Table1[[#This Row],[Losing Seed]],"")</f>
        <v/>
      </c>
      <c r="Q45">
        <f>VLOOKUP(Table1[[#This Row],[Losing Seed]],'Seed History'!$N$4:$O$19,2)</f>
        <v>0.25694444444444442</v>
      </c>
      <c r="R45" s="1">
        <f>IF(Table1[[#This Row],[Round]]="PI",0,Table1[[#This Row],[Round]]-1)</f>
        <v>1</v>
      </c>
      <c r="S45">
        <f>Table1[[#This Row],[LAW]]-Table1[[#This Row],[LEW]]</f>
        <v>0.74305555555555558</v>
      </c>
    </row>
    <row r="46" spans="1:19" x14ac:dyDescent="0.25">
      <c r="A46" s="66">
        <v>31123</v>
      </c>
      <c r="B46" s="51">
        <f>YEAR(Table1[[#This Row],[Date]])</f>
        <v>1985</v>
      </c>
      <c r="C46" s="1">
        <v>2</v>
      </c>
      <c r="D46" t="s">
        <v>38</v>
      </c>
      <c r="E46" s="1">
        <v>3</v>
      </c>
      <c r="F46" t="s">
        <v>301</v>
      </c>
      <c r="G46" t="e">
        <f>VLOOKUP(Table1[[#This Row],[Winner]],Ranking!C:D,2,FALSE)</f>
        <v>#N/A</v>
      </c>
      <c r="H46" s="1">
        <v>86</v>
      </c>
      <c r="I46" s="1">
        <v>11</v>
      </c>
      <c r="J46" t="s">
        <v>402</v>
      </c>
      <c r="K46" t="str">
        <f>VLOOKUP(Table1[[#This Row],[Loser]],Ranking!C:D,2,FALSE)</f>
        <v>CUSA</v>
      </c>
      <c r="L46" s="1">
        <v>73</v>
      </c>
      <c r="N46" s="1">
        <f>Table1[[#This Row],[Winning Score]]-Table1[[#This Row],[Losing Score]]</f>
        <v>13</v>
      </c>
      <c r="O46" s="1">
        <f>Table1[[#This Row],[Losing Seed]]-Table1[[#This Row],[Winning Seed]]</f>
        <v>8</v>
      </c>
      <c r="P46" s="1" t="str">
        <f>IF(Table1[[#This Row],[SeD]]&lt;-2,Table1[[#This Row],[Winning Seed]]&amp; " over " &amp;Table1[[#This Row],[Losing Seed]],"")</f>
        <v/>
      </c>
      <c r="Q46">
        <f>VLOOKUP(Table1[[#This Row],[Losing Seed]],'Seed History'!$N$4:$O$19,2)</f>
        <v>0.63194444444444442</v>
      </c>
      <c r="R46" s="1">
        <f>IF(Table1[[#This Row],[Round]]="PI",0,Table1[[#This Row],[Round]]-1)</f>
        <v>1</v>
      </c>
      <c r="S46">
        <f>Table1[[#This Row],[LAW]]-Table1[[#This Row],[LEW]]</f>
        <v>0.36805555555555558</v>
      </c>
    </row>
    <row r="47" spans="1:19" x14ac:dyDescent="0.25">
      <c r="A47" s="66">
        <v>31123</v>
      </c>
      <c r="B47" s="51">
        <f>YEAR(Table1[[#This Row],[Date]])</f>
        <v>1985</v>
      </c>
      <c r="C47" s="1">
        <v>2</v>
      </c>
      <c r="D47" t="s">
        <v>439</v>
      </c>
      <c r="E47" s="1">
        <v>11</v>
      </c>
      <c r="F47" t="s">
        <v>138</v>
      </c>
      <c r="G47" t="str">
        <f>VLOOKUP(Table1[[#This Row],[Winner]],Ranking!C:D,2,FALSE)</f>
        <v>ACC</v>
      </c>
      <c r="H47" s="1">
        <v>74</v>
      </c>
      <c r="I47" s="1">
        <v>3</v>
      </c>
      <c r="J47" t="s">
        <v>64</v>
      </c>
      <c r="K47" t="str">
        <f>VLOOKUP(Table1[[#This Row],[Loser]],Ranking!C:D,2,FALSE)</f>
        <v>ACC</v>
      </c>
      <c r="L47" s="1">
        <v>73</v>
      </c>
      <c r="N47" s="1">
        <f>Table1[[#This Row],[Winning Score]]-Table1[[#This Row],[Losing Score]]</f>
        <v>1</v>
      </c>
      <c r="O47" s="1">
        <f>Table1[[#This Row],[Losing Seed]]-Table1[[#This Row],[Winning Seed]]</f>
        <v>-8</v>
      </c>
      <c r="P47" s="1" t="str">
        <f>IF(Table1[[#This Row],[SeD]]&lt;-2,Table1[[#This Row],[Winning Seed]]&amp; " over " &amp;Table1[[#This Row],[Losing Seed]],"")</f>
        <v>11 over 3</v>
      </c>
      <c r="Q47">
        <f>VLOOKUP(Table1[[#This Row],[Losing Seed]],'Seed History'!$N$4:$O$19,2)</f>
        <v>1.8472222222222223</v>
      </c>
      <c r="R47" s="1">
        <f>IF(Table1[[#This Row],[Round]]="PI",0,Table1[[#This Row],[Round]]-1)</f>
        <v>1</v>
      </c>
      <c r="S47">
        <f>Table1[[#This Row],[LAW]]-Table1[[#This Row],[LEW]]</f>
        <v>-0.84722222222222232</v>
      </c>
    </row>
    <row r="48" spans="1:19" x14ac:dyDescent="0.25">
      <c r="A48" s="66">
        <v>31123</v>
      </c>
      <c r="B48" s="51">
        <f>YEAR(Table1[[#This Row],[Date]])</f>
        <v>1985</v>
      </c>
      <c r="C48" s="1">
        <v>2</v>
      </c>
      <c r="D48" t="s">
        <v>461</v>
      </c>
      <c r="E48" s="1">
        <v>8</v>
      </c>
      <c r="F48" t="s">
        <v>50</v>
      </c>
      <c r="G48" t="str">
        <f>VLOOKUP(Table1[[#This Row],[Winner]],Ranking!C:D,2,FALSE)</f>
        <v>BE</v>
      </c>
      <c r="H48" s="1">
        <v>59</v>
      </c>
      <c r="I48" s="1">
        <v>1</v>
      </c>
      <c r="J48" t="s">
        <v>82</v>
      </c>
      <c r="K48" t="str">
        <f>VLOOKUP(Table1[[#This Row],[Loser]],Ranking!C:D,2,FALSE)</f>
        <v>B10</v>
      </c>
      <c r="L48" s="1">
        <v>55</v>
      </c>
      <c r="N48" s="1">
        <f>Table1[[#This Row],[Winning Score]]-Table1[[#This Row],[Losing Score]]</f>
        <v>4</v>
      </c>
      <c r="O48" s="1">
        <f>Table1[[#This Row],[Losing Seed]]-Table1[[#This Row],[Winning Seed]]</f>
        <v>-7</v>
      </c>
      <c r="P48" s="1" t="str">
        <f>IF(Table1[[#This Row],[SeD]]&lt;-2,Table1[[#This Row],[Winning Seed]]&amp; " over " &amp;Table1[[#This Row],[Losing Seed]],"")</f>
        <v>8 over 1</v>
      </c>
      <c r="Q48">
        <f>VLOOKUP(Table1[[#This Row],[Losing Seed]],'Seed History'!$N$4:$O$19,2)</f>
        <v>3.3263888888888888</v>
      </c>
      <c r="R48" s="1">
        <f>IF(Table1[[#This Row],[Round]]="PI",0,Table1[[#This Row],[Round]]-1)</f>
        <v>1</v>
      </c>
      <c r="S48">
        <f>Table1[[#This Row],[LAW]]-Table1[[#This Row],[LEW]]</f>
        <v>-2.3263888888888888</v>
      </c>
    </row>
    <row r="49" spans="1:19" x14ac:dyDescent="0.25">
      <c r="A49" s="66">
        <v>31123</v>
      </c>
      <c r="B49" s="51">
        <f>YEAR(Table1[[#This Row],[Date]])</f>
        <v>1985</v>
      </c>
      <c r="C49" s="1">
        <v>2</v>
      </c>
      <c r="D49" t="s">
        <v>38</v>
      </c>
      <c r="E49" s="1">
        <v>7</v>
      </c>
      <c r="F49" t="s">
        <v>113</v>
      </c>
      <c r="G49" t="str">
        <f>VLOOKUP(Table1[[#This Row],[Winner]],Ranking!C:D,2,FALSE)</f>
        <v>SEC</v>
      </c>
      <c r="H49" s="1">
        <v>63</v>
      </c>
      <c r="I49" s="1">
        <v>2</v>
      </c>
      <c r="J49" t="s">
        <v>47</v>
      </c>
      <c r="K49" t="str">
        <f>VLOOKUP(Table1[[#This Row],[Loser]],Ranking!C:D,2,FALSE)</f>
        <v>A10</v>
      </c>
      <c r="L49" s="1">
        <v>59</v>
      </c>
      <c r="N49" s="1">
        <f>Table1[[#This Row],[Winning Score]]-Table1[[#This Row],[Losing Score]]</f>
        <v>4</v>
      </c>
      <c r="O49" s="1">
        <f>Table1[[#This Row],[Losing Seed]]-Table1[[#This Row],[Winning Seed]]</f>
        <v>-5</v>
      </c>
      <c r="P49" s="1" t="str">
        <f>IF(Table1[[#This Row],[SeD]]&lt;-2,Table1[[#This Row],[Winning Seed]]&amp; " over " &amp;Table1[[#This Row],[Losing Seed]],"")</f>
        <v>7 over 2</v>
      </c>
      <c r="Q49">
        <f>VLOOKUP(Table1[[#This Row],[Losing Seed]],'Seed History'!$N$4:$O$19,2)</f>
        <v>2.3472222222222223</v>
      </c>
      <c r="R49" s="1">
        <f>IF(Table1[[#This Row],[Round]]="PI",0,Table1[[#This Row],[Round]]-1)</f>
        <v>1</v>
      </c>
      <c r="S49">
        <f>Table1[[#This Row],[LAW]]-Table1[[#This Row],[LEW]]</f>
        <v>-1.3472222222222223</v>
      </c>
    </row>
    <row r="50" spans="1:19" x14ac:dyDescent="0.25">
      <c r="A50" s="66">
        <v>31127</v>
      </c>
      <c r="B50" s="51">
        <f>YEAR(Table1[[#This Row],[Date]])</f>
        <v>1985</v>
      </c>
      <c r="C50" s="1">
        <v>3</v>
      </c>
      <c r="D50" t="s">
        <v>49</v>
      </c>
      <c r="E50" s="1">
        <v>1</v>
      </c>
      <c r="F50" t="s">
        <v>66</v>
      </c>
      <c r="G50" t="str">
        <f>VLOOKUP(Table1[[#This Row],[Winner]],Ranking!C:D,2,FALSE)</f>
        <v>BE</v>
      </c>
      <c r="H50" s="1">
        <v>65</v>
      </c>
      <c r="I50" s="1">
        <v>4</v>
      </c>
      <c r="J50" t="s">
        <v>257</v>
      </c>
      <c r="K50" t="str">
        <f>VLOOKUP(Table1[[#This Row],[Loser]],Ranking!C:D,2,FALSE)</f>
        <v>MVC</v>
      </c>
      <c r="L50" s="1">
        <v>53</v>
      </c>
      <c r="N50" s="1">
        <f>Table1[[#This Row],[Winning Score]]-Table1[[#This Row],[Losing Score]]</f>
        <v>12</v>
      </c>
      <c r="O50" s="1">
        <f>Table1[[#This Row],[Losing Seed]]-Table1[[#This Row],[Winning Seed]]</f>
        <v>3</v>
      </c>
      <c r="P50" s="1" t="str">
        <f>IF(Table1[[#This Row],[SeD]]&lt;-2,Table1[[#This Row],[Winning Seed]]&amp; " over " &amp;Table1[[#This Row],[Losing Seed]],"")</f>
        <v/>
      </c>
      <c r="Q50">
        <f>VLOOKUP(Table1[[#This Row],[Losing Seed]],'Seed History'!$N$4:$O$19,2)</f>
        <v>1.5208333333333333</v>
      </c>
      <c r="R50" s="1">
        <f>IF(Table1[[#This Row],[Round]]="PI",0,Table1[[#This Row],[Round]]-1)</f>
        <v>2</v>
      </c>
      <c r="S50">
        <f>Table1[[#This Row],[LAW]]-Table1[[#This Row],[LEW]]</f>
        <v>0.47916666666666674</v>
      </c>
    </row>
    <row r="51" spans="1:19" x14ac:dyDescent="0.25">
      <c r="A51" s="66">
        <v>31127</v>
      </c>
      <c r="B51" s="51">
        <f>YEAR(Table1[[#This Row],[Date]])</f>
        <v>1985</v>
      </c>
      <c r="C51" s="1">
        <v>3</v>
      </c>
      <c r="D51" t="s">
        <v>49</v>
      </c>
      <c r="E51" s="1">
        <v>2</v>
      </c>
      <c r="F51" t="s">
        <v>216</v>
      </c>
      <c r="G51" t="str">
        <f>VLOOKUP(Table1[[#This Row],[Winner]],Ranking!C:D,2,FALSE)</f>
        <v>ACC</v>
      </c>
      <c r="H51" s="1">
        <v>61</v>
      </c>
      <c r="I51" s="1">
        <v>3</v>
      </c>
      <c r="J51" t="s">
        <v>230</v>
      </c>
      <c r="K51" t="str">
        <f>VLOOKUP(Table1[[#This Row],[Loser]],Ranking!C:D,2,FALSE)</f>
        <v>B10</v>
      </c>
      <c r="L51" s="1">
        <v>53</v>
      </c>
      <c r="N51" s="1">
        <f>Table1[[#This Row],[Winning Score]]-Table1[[#This Row],[Losing Score]]</f>
        <v>8</v>
      </c>
      <c r="O51" s="1">
        <f>Table1[[#This Row],[Losing Seed]]-Table1[[#This Row],[Winning Seed]]</f>
        <v>1</v>
      </c>
      <c r="P51" s="1" t="str">
        <f>IF(Table1[[#This Row],[SeD]]&lt;-2,Table1[[#This Row],[Winning Seed]]&amp; " over " &amp;Table1[[#This Row],[Losing Seed]],"")</f>
        <v/>
      </c>
      <c r="Q51">
        <f>VLOOKUP(Table1[[#This Row],[Losing Seed]],'Seed History'!$N$4:$O$19,2)</f>
        <v>1.8472222222222223</v>
      </c>
      <c r="R51" s="1">
        <f>IF(Table1[[#This Row],[Round]]="PI",0,Table1[[#This Row],[Round]]-1)</f>
        <v>2</v>
      </c>
      <c r="S51">
        <f>Table1[[#This Row],[LAW]]-Table1[[#This Row],[LEW]]</f>
        <v>0.15277777777777768</v>
      </c>
    </row>
    <row r="52" spans="1:19" x14ac:dyDescent="0.25">
      <c r="A52" s="66">
        <v>31127</v>
      </c>
      <c r="B52" s="51">
        <f>YEAR(Table1[[#This Row],[Date]])</f>
        <v>1985</v>
      </c>
      <c r="C52" s="1">
        <v>3</v>
      </c>
      <c r="D52" t="s">
        <v>439</v>
      </c>
      <c r="E52" s="1">
        <v>1</v>
      </c>
      <c r="F52" t="s">
        <v>58</v>
      </c>
      <c r="G52" t="str">
        <f>VLOOKUP(Table1[[#This Row],[Winner]],Ranking!C:D,2,FALSE)</f>
        <v>B12</v>
      </c>
      <c r="H52" s="1">
        <v>86</v>
      </c>
      <c r="I52" s="1">
        <v>5</v>
      </c>
      <c r="J52" t="s">
        <v>256</v>
      </c>
      <c r="K52" t="str">
        <f>VLOOKUP(Table1[[#This Row],[Loser]],Ranking!C:D,2,FALSE)</f>
        <v>CUSA</v>
      </c>
      <c r="L52" s="1">
        <v>84</v>
      </c>
      <c r="M52" s="1" t="s">
        <v>462</v>
      </c>
      <c r="N52" s="1">
        <f>Table1[[#This Row],[Winning Score]]-Table1[[#This Row],[Losing Score]]</f>
        <v>2</v>
      </c>
      <c r="O52" s="1">
        <f>Table1[[#This Row],[Losing Seed]]-Table1[[#This Row],[Winning Seed]]</f>
        <v>4</v>
      </c>
      <c r="P52" s="1" t="str">
        <f>IF(Table1[[#This Row],[SeD]]&lt;-2,Table1[[#This Row],[Winning Seed]]&amp; " over " &amp;Table1[[#This Row],[Losing Seed]],"")</f>
        <v/>
      </c>
      <c r="Q52">
        <f>VLOOKUP(Table1[[#This Row],[Losing Seed]],'Seed History'!$N$4:$O$19,2)</f>
        <v>1.1180555555555556</v>
      </c>
      <c r="R52" s="1">
        <f>IF(Table1[[#This Row],[Round]]="PI",0,Table1[[#This Row],[Round]]-1)</f>
        <v>2</v>
      </c>
      <c r="S52">
        <f>Table1[[#This Row],[LAW]]-Table1[[#This Row],[LEW]]</f>
        <v>0.88194444444444442</v>
      </c>
    </row>
    <row r="53" spans="1:19" x14ac:dyDescent="0.25">
      <c r="A53" s="66">
        <v>31127</v>
      </c>
      <c r="B53" s="51">
        <f>YEAR(Table1[[#This Row],[Date]])</f>
        <v>1985</v>
      </c>
      <c r="C53" s="1">
        <v>3</v>
      </c>
      <c r="D53" t="s">
        <v>439</v>
      </c>
      <c r="E53" s="1">
        <v>2</v>
      </c>
      <c r="F53" t="s">
        <v>267</v>
      </c>
      <c r="G53" t="str">
        <f>VLOOKUP(Table1[[#This Row],[Winner]],Ranking!C:D,2,FALSE)</f>
        <v>Amer</v>
      </c>
      <c r="H53" s="1">
        <v>59</v>
      </c>
      <c r="I53" s="1">
        <v>11</v>
      </c>
      <c r="J53" t="s">
        <v>138</v>
      </c>
      <c r="K53" t="str">
        <f>VLOOKUP(Table1[[#This Row],[Loser]],Ranking!C:D,2,FALSE)</f>
        <v>ACC</v>
      </c>
      <c r="L53" s="1">
        <v>57</v>
      </c>
      <c r="N53" s="1">
        <f>Table1[[#This Row],[Winning Score]]-Table1[[#This Row],[Losing Score]]</f>
        <v>2</v>
      </c>
      <c r="O53" s="1">
        <f>Table1[[#This Row],[Losing Seed]]-Table1[[#This Row],[Winning Seed]]</f>
        <v>9</v>
      </c>
      <c r="P53" s="1" t="str">
        <f>IF(Table1[[#This Row],[SeD]]&lt;-2,Table1[[#This Row],[Winning Seed]]&amp; " over " &amp;Table1[[#This Row],[Losing Seed]],"")</f>
        <v/>
      </c>
      <c r="Q53">
        <f>VLOOKUP(Table1[[#This Row],[Losing Seed]],'Seed History'!$N$4:$O$19,2)</f>
        <v>0.63194444444444442</v>
      </c>
      <c r="R53" s="1">
        <f>IF(Table1[[#This Row],[Round]]="PI",0,Table1[[#This Row],[Round]]-1)</f>
        <v>2</v>
      </c>
      <c r="S53">
        <f>Table1[[#This Row],[LAW]]-Table1[[#This Row],[LEW]]</f>
        <v>1.3680555555555556</v>
      </c>
    </row>
    <row r="54" spans="1:19" x14ac:dyDescent="0.25">
      <c r="A54" s="66">
        <v>31128</v>
      </c>
      <c r="B54" s="51">
        <f>YEAR(Table1[[#This Row],[Date]])</f>
        <v>1985</v>
      </c>
      <c r="C54" s="1">
        <v>3</v>
      </c>
      <c r="D54" t="s">
        <v>461</v>
      </c>
      <c r="E54" s="1">
        <v>2</v>
      </c>
      <c r="F54" t="s">
        <v>298</v>
      </c>
      <c r="G54" t="str">
        <f>VLOOKUP(Table1[[#This Row],[Winner]],Ranking!C:D,2,FALSE)</f>
        <v>ACC</v>
      </c>
      <c r="H54" s="1">
        <v>62</v>
      </c>
      <c r="I54" s="1">
        <v>11</v>
      </c>
      <c r="J54" t="s">
        <v>129</v>
      </c>
      <c r="K54" t="str">
        <f>VLOOKUP(Table1[[#This Row],[Loser]],Ranking!C:D,2,FALSE)</f>
        <v>SEC</v>
      </c>
      <c r="L54" s="1">
        <v>56</v>
      </c>
      <c r="N54" s="1">
        <f>Table1[[#This Row],[Winning Score]]-Table1[[#This Row],[Losing Score]]</f>
        <v>6</v>
      </c>
      <c r="O54" s="1">
        <f>Table1[[#This Row],[Losing Seed]]-Table1[[#This Row],[Winning Seed]]</f>
        <v>9</v>
      </c>
      <c r="P54" s="1" t="str">
        <f>IF(Table1[[#This Row],[SeD]]&lt;-2,Table1[[#This Row],[Winning Seed]]&amp; " over " &amp;Table1[[#This Row],[Losing Seed]],"")</f>
        <v/>
      </c>
      <c r="Q54">
        <f>VLOOKUP(Table1[[#This Row],[Losing Seed]],'Seed History'!$N$4:$O$19,2)</f>
        <v>0.63194444444444442</v>
      </c>
      <c r="R54" s="1">
        <f>IF(Table1[[#This Row],[Round]]="PI",0,Table1[[#This Row],[Round]]-1)</f>
        <v>2</v>
      </c>
      <c r="S54">
        <f>Table1[[#This Row],[LAW]]-Table1[[#This Row],[LEW]]</f>
        <v>1.3680555555555556</v>
      </c>
    </row>
    <row r="55" spans="1:19" x14ac:dyDescent="0.25">
      <c r="A55" s="66">
        <v>31128</v>
      </c>
      <c r="B55" s="51">
        <f>YEAR(Table1[[#This Row],[Date]])</f>
        <v>1985</v>
      </c>
      <c r="C55" s="1">
        <v>3</v>
      </c>
      <c r="D55" t="s">
        <v>38</v>
      </c>
      <c r="E55" s="1">
        <v>1</v>
      </c>
      <c r="F55" t="s">
        <v>368</v>
      </c>
      <c r="G55" t="str">
        <f>VLOOKUP(Table1[[#This Row],[Winner]],Ranking!C:D,2,FALSE)</f>
        <v>BE</v>
      </c>
      <c r="H55" s="1">
        <v>86</v>
      </c>
      <c r="I55" s="1">
        <v>12</v>
      </c>
      <c r="J55" t="s">
        <v>26</v>
      </c>
      <c r="K55" t="str">
        <f>VLOOKUP(Table1[[#This Row],[Loser]],Ranking!C:D,2,FALSE)</f>
        <v>SEC</v>
      </c>
      <c r="L55" s="1">
        <v>70</v>
      </c>
      <c r="N55" s="1">
        <f>Table1[[#This Row],[Winning Score]]-Table1[[#This Row],[Losing Score]]</f>
        <v>16</v>
      </c>
      <c r="O55" s="1">
        <f>Table1[[#This Row],[Losing Seed]]-Table1[[#This Row],[Winning Seed]]</f>
        <v>11</v>
      </c>
      <c r="P55" s="1" t="str">
        <f>IF(Table1[[#This Row],[SeD]]&lt;-2,Table1[[#This Row],[Winning Seed]]&amp; " over " &amp;Table1[[#This Row],[Losing Seed]],"")</f>
        <v/>
      </c>
      <c r="Q55">
        <f>VLOOKUP(Table1[[#This Row],[Losing Seed]],'Seed History'!$N$4:$O$19,2)</f>
        <v>0.52083333333333337</v>
      </c>
      <c r="R55" s="1">
        <f>IF(Table1[[#This Row],[Round]]="PI",0,Table1[[#This Row],[Round]]-1)</f>
        <v>2</v>
      </c>
      <c r="S55">
        <f>Table1[[#This Row],[LAW]]-Table1[[#This Row],[LEW]]</f>
        <v>1.4791666666666665</v>
      </c>
    </row>
    <row r="56" spans="1:19" x14ac:dyDescent="0.25">
      <c r="A56" s="66">
        <v>31128</v>
      </c>
      <c r="B56" s="51">
        <f>YEAR(Table1[[#This Row],[Date]])</f>
        <v>1985</v>
      </c>
      <c r="C56" s="1">
        <v>3</v>
      </c>
      <c r="D56" t="s">
        <v>38</v>
      </c>
      <c r="E56" s="1">
        <v>3</v>
      </c>
      <c r="F56" t="s">
        <v>301</v>
      </c>
      <c r="G56" t="e">
        <f>VLOOKUP(Table1[[#This Row],[Winner]],Ranking!C:D,2,FALSE)</f>
        <v>#N/A</v>
      </c>
      <c r="H56" s="1">
        <v>61</v>
      </c>
      <c r="I56" s="1">
        <v>7</v>
      </c>
      <c r="J56" t="s">
        <v>113</v>
      </c>
      <c r="K56" t="str">
        <f>VLOOKUP(Table1[[#This Row],[Loser]],Ranking!C:D,2,FALSE)</f>
        <v>SEC</v>
      </c>
      <c r="L56" s="1">
        <v>55</v>
      </c>
      <c r="N56" s="1">
        <f>Table1[[#This Row],[Winning Score]]-Table1[[#This Row],[Losing Score]]</f>
        <v>6</v>
      </c>
      <c r="O56" s="1">
        <f>Table1[[#This Row],[Losing Seed]]-Table1[[#This Row],[Winning Seed]]</f>
        <v>4</v>
      </c>
      <c r="P56" s="1" t="str">
        <f>IF(Table1[[#This Row],[SeD]]&lt;-2,Table1[[#This Row],[Winning Seed]]&amp; " over " &amp;Table1[[#This Row],[Losing Seed]],"")</f>
        <v/>
      </c>
      <c r="Q56">
        <f>VLOOKUP(Table1[[#This Row],[Losing Seed]],'Seed History'!$N$4:$O$19,2)</f>
        <v>0.90277777777777779</v>
      </c>
      <c r="R56" s="1">
        <f>IF(Table1[[#This Row],[Round]]="PI",0,Table1[[#This Row],[Round]]-1)</f>
        <v>2</v>
      </c>
      <c r="S56">
        <f>Table1[[#This Row],[LAW]]-Table1[[#This Row],[LEW]]</f>
        <v>1.0972222222222223</v>
      </c>
    </row>
    <row r="57" spans="1:19" x14ac:dyDescent="0.25">
      <c r="A57" s="66">
        <v>31128</v>
      </c>
      <c r="B57" s="51">
        <f>YEAR(Table1[[#This Row],[Date]])</f>
        <v>1985</v>
      </c>
      <c r="C57" s="1">
        <v>3</v>
      </c>
      <c r="D57" t="s">
        <v>461</v>
      </c>
      <c r="E57" s="1">
        <v>8</v>
      </c>
      <c r="F57" t="s">
        <v>50</v>
      </c>
      <c r="G57" t="str">
        <f>VLOOKUP(Table1[[#This Row],[Winner]],Ranking!C:D,2,FALSE)</f>
        <v>BE</v>
      </c>
      <c r="H57" s="1">
        <v>46</v>
      </c>
      <c r="I57" s="1">
        <v>5</v>
      </c>
      <c r="J57" t="s">
        <v>31</v>
      </c>
      <c r="K57" t="str">
        <f>VLOOKUP(Table1[[#This Row],[Loser]],Ranking!C:D,2,FALSE)</f>
        <v>B10</v>
      </c>
      <c r="L57" s="1">
        <v>43</v>
      </c>
      <c r="N57" s="1">
        <f>Table1[[#This Row],[Winning Score]]-Table1[[#This Row],[Losing Score]]</f>
        <v>3</v>
      </c>
      <c r="O57" s="1">
        <f>Table1[[#This Row],[Losing Seed]]-Table1[[#This Row],[Winning Seed]]</f>
        <v>-3</v>
      </c>
      <c r="P57" s="1" t="str">
        <f>IF(Table1[[#This Row],[SeD]]&lt;-2,Table1[[#This Row],[Winning Seed]]&amp; " over " &amp;Table1[[#This Row],[Losing Seed]],"")</f>
        <v>8 over 5</v>
      </c>
      <c r="Q57">
        <f>VLOOKUP(Table1[[#This Row],[Losing Seed]],'Seed History'!$N$4:$O$19,2)</f>
        <v>1.1180555555555556</v>
      </c>
      <c r="R57" s="1">
        <f>IF(Table1[[#This Row],[Round]]="PI",0,Table1[[#This Row],[Round]]-1)</f>
        <v>2</v>
      </c>
      <c r="S57">
        <f>Table1[[#This Row],[LAW]]-Table1[[#This Row],[LEW]]</f>
        <v>0.88194444444444442</v>
      </c>
    </row>
    <row r="58" spans="1:19" x14ac:dyDescent="0.25">
      <c r="A58" s="66">
        <v>31129</v>
      </c>
      <c r="B58" s="51">
        <f>YEAR(Table1[[#This Row],[Date]])</f>
        <v>1985</v>
      </c>
      <c r="C58" s="1">
        <v>4</v>
      </c>
      <c r="D58" t="s">
        <v>49</v>
      </c>
      <c r="E58" s="1">
        <v>1</v>
      </c>
      <c r="F58" t="s">
        <v>66</v>
      </c>
      <c r="G58" t="str">
        <f>VLOOKUP(Table1[[#This Row],[Winner]],Ranking!C:D,2,FALSE)</f>
        <v>BE</v>
      </c>
      <c r="H58" s="1">
        <v>60</v>
      </c>
      <c r="I58" s="1">
        <v>2</v>
      </c>
      <c r="J58" t="s">
        <v>216</v>
      </c>
      <c r="K58" t="str">
        <f>VLOOKUP(Table1[[#This Row],[Loser]],Ranking!C:D,2,FALSE)</f>
        <v>ACC</v>
      </c>
      <c r="L58" s="1">
        <v>54</v>
      </c>
      <c r="N58" s="1">
        <f>Table1[[#This Row],[Winning Score]]-Table1[[#This Row],[Losing Score]]</f>
        <v>6</v>
      </c>
      <c r="O58" s="1">
        <f>Table1[[#This Row],[Losing Seed]]-Table1[[#This Row],[Winning Seed]]</f>
        <v>1</v>
      </c>
      <c r="P58" s="1" t="str">
        <f>IF(Table1[[#This Row],[SeD]]&lt;-2,Table1[[#This Row],[Winning Seed]]&amp; " over " &amp;Table1[[#This Row],[Losing Seed]],"")</f>
        <v/>
      </c>
      <c r="Q58">
        <f>VLOOKUP(Table1[[#This Row],[Losing Seed]],'Seed History'!$N$4:$O$19,2)</f>
        <v>2.3472222222222223</v>
      </c>
      <c r="R58" s="1">
        <f>IF(Table1[[#This Row],[Round]]="PI",0,Table1[[#This Row],[Round]]-1)</f>
        <v>3</v>
      </c>
      <c r="S58">
        <f>Table1[[#This Row],[LAW]]-Table1[[#This Row],[LEW]]</f>
        <v>0.65277777777777768</v>
      </c>
    </row>
    <row r="59" spans="1:19" x14ac:dyDescent="0.25">
      <c r="A59" s="66">
        <v>31129</v>
      </c>
      <c r="B59" s="51">
        <f>YEAR(Table1[[#This Row],[Date]])</f>
        <v>1985</v>
      </c>
      <c r="C59" s="1">
        <v>4</v>
      </c>
      <c r="D59" t="s">
        <v>439</v>
      </c>
      <c r="E59" s="1">
        <v>2</v>
      </c>
      <c r="F59" t="s">
        <v>267</v>
      </c>
      <c r="G59" t="str">
        <f>VLOOKUP(Table1[[#This Row],[Winner]],Ranking!C:D,2,FALSE)</f>
        <v>Amer</v>
      </c>
      <c r="H59" s="1">
        <v>63</v>
      </c>
      <c r="I59" s="1">
        <v>1</v>
      </c>
      <c r="J59" t="s">
        <v>58</v>
      </c>
      <c r="K59" t="str">
        <f>VLOOKUP(Table1[[#This Row],[Loser]],Ranking!C:D,2,FALSE)</f>
        <v>B12</v>
      </c>
      <c r="L59" s="1">
        <v>61</v>
      </c>
      <c r="N59" s="1">
        <f>Table1[[#This Row],[Winning Score]]-Table1[[#This Row],[Losing Score]]</f>
        <v>2</v>
      </c>
      <c r="O59" s="1">
        <f>Table1[[#This Row],[Losing Seed]]-Table1[[#This Row],[Winning Seed]]</f>
        <v>-1</v>
      </c>
      <c r="P59" s="1" t="str">
        <f>IF(Table1[[#This Row],[SeD]]&lt;-2,Table1[[#This Row],[Winning Seed]]&amp; " over " &amp;Table1[[#This Row],[Losing Seed]],"")</f>
        <v/>
      </c>
      <c r="Q59">
        <f>VLOOKUP(Table1[[#This Row],[Losing Seed]],'Seed History'!$N$4:$O$19,2)</f>
        <v>3.3263888888888888</v>
      </c>
      <c r="R59" s="1">
        <f>IF(Table1[[#This Row],[Round]]="PI",0,Table1[[#This Row],[Round]]-1)</f>
        <v>3</v>
      </c>
      <c r="S59">
        <f>Table1[[#This Row],[LAW]]-Table1[[#This Row],[LEW]]</f>
        <v>-0.32638888888888884</v>
      </c>
    </row>
    <row r="60" spans="1:19" x14ac:dyDescent="0.25">
      <c r="A60" s="66">
        <v>31130</v>
      </c>
      <c r="B60" s="51">
        <f>YEAR(Table1[[#This Row],[Date]])</f>
        <v>1985</v>
      </c>
      <c r="C60" s="1">
        <v>4</v>
      </c>
      <c r="D60" t="s">
        <v>38</v>
      </c>
      <c r="E60" s="1">
        <v>1</v>
      </c>
      <c r="F60" t="s">
        <v>368</v>
      </c>
      <c r="G60" t="str">
        <f>VLOOKUP(Table1[[#This Row],[Winner]],Ranking!C:D,2,FALSE)</f>
        <v>BE</v>
      </c>
      <c r="H60" s="1">
        <v>69</v>
      </c>
      <c r="I60" s="1">
        <v>3</v>
      </c>
      <c r="J60" t="s">
        <v>301</v>
      </c>
      <c r="K60" t="e">
        <f>VLOOKUP(Table1[[#This Row],[Loser]],Ranking!C:D,2,FALSE)</f>
        <v>#N/A</v>
      </c>
      <c r="L60" s="1">
        <v>60</v>
      </c>
      <c r="N60" s="1">
        <f>Table1[[#This Row],[Winning Score]]-Table1[[#This Row],[Losing Score]]</f>
        <v>9</v>
      </c>
      <c r="O60" s="1">
        <f>Table1[[#This Row],[Losing Seed]]-Table1[[#This Row],[Winning Seed]]</f>
        <v>2</v>
      </c>
      <c r="P60" s="1" t="str">
        <f>IF(Table1[[#This Row],[SeD]]&lt;-2,Table1[[#This Row],[Winning Seed]]&amp; " over " &amp;Table1[[#This Row],[Losing Seed]],"")</f>
        <v/>
      </c>
      <c r="Q60">
        <f>VLOOKUP(Table1[[#This Row],[Losing Seed]],'Seed History'!$N$4:$O$19,2)</f>
        <v>1.8472222222222223</v>
      </c>
      <c r="R60" s="1">
        <f>IF(Table1[[#This Row],[Round]]="PI",0,Table1[[#This Row],[Round]]-1)</f>
        <v>3</v>
      </c>
      <c r="S60">
        <f>Table1[[#This Row],[LAW]]-Table1[[#This Row],[LEW]]</f>
        <v>1.1527777777777777</v>
      </c>
    </row>
    <row r="61" spans="1:19" x14ac:dyDescent="0.25">
      <c r="A61" s="66">
        <v>31130</v>
      </c>
      <c r="B61" s="51">
        <f>YEAR(Table1[[#This Row],[Date]])</f>
        <v>1985</v>
      </c>
      <c r="C61" s="1">
        <v>4</v>
      </c>
      <c r="D61" t="s">
        <v>461</v>
      </c>
      <c r="E61" s="1">
        <v>8</v>
      </c>
      <c r="F61" t="s">
        <v>50</v>
      </c>
      <c r="G61" t="str">
        <f>VLOOKUP(Table1[[#This Row],[Winner]],Ranking!C:D,2,FALSE)</f>
        <v>BE</v>
      </c>
      <c r="H61" s="1">
        <v>56</v>
      </c>
      <c r="I61" s="1">
        <v>2</v>
      </c>
      <c r="J61" t="s">
        <v>298</v>
      </c>
      <c r="K61" t="str">
        <f>VLOOKUP(Table1[[#This Row],[Loser]],Ranking!C:D,2,FALSE)</f>
        <v>ACC</v>
      </c>
      <c r="L61" s="1">
        <v>44</v>
      </c>
      <c r="N61" s="1">
        <f>Table1[[#This Row],[Winning Score]]-Table1[[#This Row],[Losing Score]]</f>
        <v>12</v>
      </c>
      <c r="O61" s="1">
        <f>Table1[[#This Row],[Losing Seed]]-Table1[[#This Row],[Winning Seed]]</f>
        <v>-6</v>
      </c>
      <c r="P61" s="1" t="str">
        <f>IF(Table1[[#This Row],[SeD]]&lt;-2,Table1[[#This Row],[Winning Seed]]&amp; " over " &amp;Table1[[#This Row],[Losing Seed]],"")</f>
        <v>8 over 2</v>
      </c>
      <c r="Q61">
        <f>VLOOKUP(Table1[[#This Row],[Losing Seed]],'Seed History'!$N$4:$O$19,2)</f>
        <v>2.3472222222222223</v>
      </c>
      <c r="R61" s="1">
        <f>IF(Table1[[#This Row],[Round]]="PI",0,Table1[[#This Row],[Round]]-1)</f>
        <v>3</v>
      </c>
      <c r="S61">
        <f>Table1[[#This Row],[LAW]]-Table1[[#This Row],[LEW]]</f>
        <v>0.65277777777777768</v>
      </c>
    </row>
    <row r="62" spans="1:19" x14ac:dyDescent="0.25">
      <c r="A62" s="66">
        <v>31136</v>
      </c>
      <c r="B62" s="51">
        <f>YEAR(Table1[[#This Row],[Date]])</f>
        <v>1985</v>
      </c>
      <c r="C62" s="1">
        <v>5</v>
      </c>
      <c r="D62" t="s">
        <v>467</v>
      </c>
      <c r="E62" s="1">
        <v>1</v>
      </c>
      <c r="F62" t="s">
        <v>66</v>
      </c>
      <c r="G62" t="str">
        <f>VLOOKUP(Table1[[#This Row],[Winner]],Ranking!C:D,2,FALSE)</f>
        <v>BE</v>
      </c>
      <c r="H62" s="1">
        <v>77</v>
      </c>
      <c r="I62" s="1">
        <v>1</v>
      </c>
      <c r="J62" t="s">
        <v>368</v>
      </c>
      <c r="K62" t="str">
        <f>VLOOKUP(Table1[[#This Row],[Loser]],Ranking!C:D,2,FALSE)</f>
        <v>BE</v>
      </c>
      <c r="L62" s="1">
        <v>59</v>
      </c>
      <c r="N62" s="1">
        <f>Table1[[#This Row],[Winning Score]]-Table1[[#This Row],[Losing Score]]</f>
        <v>18</v>
      </c>
      <c r="O62" s="1">
        <f>Table1[[#This Row],[Losing Seed]]-Table1[[#This Row],[Winning Seed]]</f>
        <v>0</v>
      </c>
      <c r="P62" s="1" t="str">
        <f>IF(Table1[[#This Row],[SeD]]&lt;-2,Table1[[#This Row],[Winning Seed]]&amp; " over " &amp;Table1[[#This Row],[Losing Seed]],"")</f>
        <v/>
      </c>
      <c r="Q62">
        <f>VLOOKUP(Table1[[#This Row],[Losing Seed]],'Seed History'!$N$4:$O$19,2)</f>
        <v>3.3263888888888888</v>
      </c>
      <c r="R62" s="1">
        <f>IF(Table1[[#This Row],[Round]]="PI",0,Table1[[#This Row],[Round]]-1)</f>
        <v>4</v>
      </c>
      <c r="S62">
        <f>Table1[[#This Row],[LAW]]-Table1[[#This Row],[LEW]]</f>
        <v>0.67361111111111116</v>
      </c>
    </row>
    <row r="63" spans="1:19" x14ac:dyDescent="0.25">
      <c r="A63" s="66">
        <v>31136</v>
      </c>
      <c r="B63" s="51">
        <f>YEAR(Table1[[#This Row],[Date]])</f>
        <v>1985</v>
      </c>
      <c r="C63" s="1">
        <v>5</v>
      </c>
      <c r="D63" t="s">
        <v>467</v>
      </c>
      <c r="E63" s="1">
        <v>8</v>
      </c>
      <c r="F63" t="s">
        <v>50</v>
      </c>
      <c r="G63" t="str">
        <f>VLOOKUP(Table1[[#This Row],[Winner]],Ranking!C:D,2,FALSE)</f>
        <v>BE</v>
      </c>
      <c r="H63" s="1">
        <v>52</v>
      </c>
      <c r="I63" s="1">
        <v>2</v>
      </c>
      <c r="J63" t="s">
        <v>267</v>
      </c>
      <c r="K63" t="str">
        <f>VLOOKUP(Table1[[#This Row],[Loser]],Ranking!C:D,2,FALSE)</f>
        <v>Amer</v>
      </c>
      <c r="L63" s="1">
        <v>45</v>
      </c>
      <c r="N63" s="1">
        <f>Table1[[#This Row],[Winning Score]]-Table1[[#This Row],[Losing Score]]</f>
        <v>7</v>
      </c>
      <c r="O63" s="1">
        <f>Table1[[#This Row],[Losing Seed]]-Table1[[#This Row],[Winning Seed]]</f>
        <v>-6</v>
      </c>
      <c r="P63" s="1" t="str">
        <f>IF(Table1[[#This Row],[SeD]]&lt;-2,Table1[[#This Row],[Winning Seed]]&amp; " over " &amp;Table1[[#This Row],[Losing Seed]],"")</f>
        <v>8 over 2</v>
      </c>
      <c r="Q63">
        <f>VLOOKUP(Table1[[#This Row],[Losing Seed]],'Seed History'!$N$4:$O$19,2)</f>
        <v>2.3472222222222223</v>
      </c>
      <c r="R63" s="1">
        <f>IF(Table1[[#This Row],[Round]]="PI",0,Table1[[#This Row],[Round]]-1)</f>
        <v>4</v>
      </c>
      <c r="S63">
        <f>Table1[[#This Row],[LAW]]-Table1[[#This Row],[LEW]]</f>
        <v>1.6527777777777777</v>
      </c>
    </row>
    <row r="64" spans="1:19" x14ac:dyDescent="0.25">
      <c r="A64" s="66">
        <v>31138</v>
      </c>
      <c r="B64" s="51">
        <f>YEAR(Table1[[#This Row],[Date]])</f>
        <v>1985</v>
      </c>
      <c r="C64" s="1">
        <v>6</v>
      </c>
      <c r="D64" t="s">
        <v>468</v>
      </c>
      <c r="E64" s="1">
        <v>8</v>
      </c>
      <c r="F64" t="s">
        <v>50</v>
      </c>
      <c r="G64" t="str">
        <f>VLOOKUP(Table1[[#This Row],[Winner]],Ranking!C:D,2,FALSE)</f>
        <v>BE</v>
      </c>
      <c r="H64" s="1">
        <v>66</v>
      </c>
      <c r="I64" s="1">
        <v>1</v>
      </c>
      <c r="J64" t="s">
        <v>66</v>
      </c>
      <c r="K64" t="str">
        <f>VLOOKUP(Table1[[#This Row],[Loser]],Ranking!C:D,2,FALSE)</f>
        <v>BE</v>
      </c>
      <c r="L64" s="1">
        <v>64</v>
      </c>
      <c r="N64" s="1">
        <f>Table1[[#This Row],[Winning Score]]-Table1[[#This Row],[Losing Score]]</f>
        <v>2</v>
      </c>
      <c r="O64" s="1">
        <f>Table1[[#This Row],[Losing Seed]]-Table1[[#This Row],[Winning Seed]]</f>
        <v>-7</v>
      </c>
      <c r="P64" s="1" t="str">
        <f>IF(Table1[[#This Row],[SeD]]&lt;-2,Table1[[#This Row],[Winning Seed]]&amp; " over " &amp;Table1[[#This Row],[Losing Seed]],"")</f>
        <v>8 over 1</v>
      </c>
      <c r="Q64">
        <f>VLOOKUP(Table1[[#This Row],[Losing Seed]],'Seed History'!$N$4:$O$19,2)</f>
        <v>3.3263888888888888</v>
      </c>
      <c r="R64" s="1">
        <f>IF(Table1[[#This Row],[Round]]="PI",0,Table1[[#This Row],[Round]]-1)</f>
        <v>5</v>
      </c>
      <c r="S64">
        <f>Table1[[#This Row],[LAW]]-Table1[[#This Row],[LEW]]</f>
        <v>1.6736111111111112</v>
      </c>
    </row>
    <row r="65" spans="1:19" x14ac:dyDescent="0.25">
      <c r="A65" s="66">
        <v>31484</v>
      </c>
      <c r="B65" s="51">
        <f>YEAR(Table1[[#This Row],[Date]])</f>
        <v>1986</v>
      </c>
      <c r="C65" s="1">
        <v>1</v>
      </c>
      <c r="D65" t="s">
        <v>49</v>
      </c>
      <c r="E65" s="1">
        <v>1</v>
      </c>
      <c r="F65" t="s">
        <v>64</v>
      </c>
      <c r="G65" t="str">
        <f>VLOOKUP(Table1[[#This Row],[Winner]],Ranking!C:D,2,FALSE)</f>
        <v>ACC</v>
      </c>
      <c r="H65" s="1">
        <v>85</v>
      </c>
      <c r="I65" s="1">
        <v>16</v>
      </c>
      <c r="J65" t="s">
        <v>276</v>
      </c>
      <c r="K65" t="str">
        <f>VLOOKUP(Table1[[#This Row],[Loser]],Ranking!C:D,2,FALSE)</f>
        <v>SWAC</v>
      </c>
      <c r="L65" s="1">
        <v>78</v>
      </c>
      <c r="N65" s="1">
        <f>Table1[[#This Row],[Winning Score]]-Table1[[#This Row],[Losing Score]]</f>
        <v>7</v>
      </c>
      <c r="O65" s="1">
        <f>Table1[[#This Row],[Losing Seed]]-Table1[[#This Row],[Winning Seed]]</f>
        <v>15</v>
      </c>
      <c r="P65" s="1" t="str">
        <f>IF(Table1[[#This Row],[SeD]]&lt;-2,Table1[[#This Row],[Winning Seed]]&amp; " over " &amp;Table1[[#This Row],[Losing Seed]],"")</f>
        <v/>
      </c>
      <c r="Q65">
        <f>VLOOKUP(Table1[[#This Row],[Losing Seed]],'Seed History'!$N$4:$O$19,2)</f>
        <v>6.9444444444444441E-3</v>
      </c>
      <c r="R65" s="1">
        <f>IF(Table1[[#This Row],[Round]]="PI",0,Table1[[#This Row],[Round]]-1)</f>
        <v>0</v>
      </c>
      <c r="S65">
        <f>Table1[[#This Row],[LAW]]-Table1[[#This Row],[LEW]]</f>
        <v>-6.9444444444444441E-3</v>
      </c>
    </row>
    <row r="66" spans="1:19" x14ac:dyDescent="0.25">
      <c r="A66" s="66">
        <v>31484</v>
      </c>
      <c r="B66" s="51">
        <f>YEAR(Table1[[#This Row],[Date]])</f>
        <v>1986</v>
      </c>
      <c r="C66" s="1">
        <v>1</v>
      </c>
      <c r="D66" t="s">
        <v>49</v>
      </c>
      <c r="E66" s="1">
        <v>4</v>
      </c>
      <c r="F66" t="s">
        <v>58</v>
      </c>
      <c r="G66" t="str">
        <f>VLOOKUP(Table1[[#This Row],[Winner]],Ranking!C:D,2,FALSE)</f>
        <v>B12</v>
      </c>
      <c r="H66" s="1">
        <v>80</v>
      </c>
      <c r="I66" s="1">
        <v>13</v>
      </c>
      <c r="J66" t="s">
        <v>306</v>
      </c>
      <c r="K66" t="str">
        <f>VLOOKUP(Table1[[#This Row],[Loser]],Ranking!C:D,2,FALSE)</f>
        <v>CAA</v>
      </c>
      <c r="L66" s="1">
        <v>74</v>
      </c>
      <c r="N66" s="1">
        <f>Table1[[#This Row],[Winning Score]]-Table1[[#This Row],[Losing Score]]</f>
        <v>6</v>
      </c>
      <c r="O66" s="1">
        <f>Table1[[#This Row],[Losing Seed]]-Table1[[#This Row],[Winning Seed]]</f>
        <v>9</v>
      </c>
      <c r="P66" s="1" t="str">
        <f>IF(Table1[[#This Row],[SeD]]&lt;-2,Table1[[#This Row],[Winning Seed]]&amp; " over " &amp;Table1[[#This Row],[Losing Seed]],"")</f>
        <v/>
      </c>
      <c r="Q66">
        <f>VLOOKUP(Table1[[#This Row],[Losing Seed]],'Seed History'!$N$4:$O$19,2)</f>
        <v>0.25694444444444442</v>
      </c>
      <c r="R66" s="1">
        <f>IF(Table1[[#This Row],[Round]]="PI",0,Table1[[#This Row],[Round]]-1)</f>
        <v>0</v>
      </c>
      <c r="S66">
        <f>Table1[[#This Row],[LAW]]-Table1[[#This Row],[LEW]]</f>
        <v>-0.25694444444444442</v>
      </c>
    </row>
    <row r="67" spans="1:19" x14ac:dyDescent="0.25">
      <c r="A67" s="66">
        <v>31484</v>
      </c>
      <c r="B67" s="51">
        <f>YEAR(Table1[[#This Row],[Date]])</f>
        <v>1986</v>
      </c>
      <c r="C67" s="1">
        <v>1</v>
      </c>
      <c r="D67" t="s">
        <v>49</v>
      </c>
      <c r="E67" s="1">
        <v>8</v>
      </c>
      <c r="F67" t="s">
        <v>317</v>
      </c>
      <c r="G67" t="str">
        <f>VLOOKUP(Table1[[#This Row],[Winner]],Ranking!C:D,2,FALSE)</f>
        <v>CUSA</v>
      </c>
      <c r="H67" s="1">
        <v>72</v>
      </c>
      <c r="I67" s="1">
        <v>9</v>
      </c>
      <c r="J67" t="s">
        <v>412</v>
      </c>
      <c r="K67" t="str">
        <f>VLOOKUP(Table1[[#This Row],[Loser]],Ranking!C:D,2,FALSE)</f>
        <v>B12</v>
      </c>
      <c r="L67" s="1">
        <v>64</v>
      </c>
      <c r="N67" s="1">
        <f>Table1[[#This Row],[Winning Score]]-Table1[[#This Row],[Losing Score]]</f>
        <v>8</v>
      </c>
      <c r="O67" s="1">
        <f>Table1[[#This Row],[Losing Seed]]-Table1[[#This Row],[Winning Seed]]</f>
        <v>1</v>
      </c>
      <c r="P67" s="1" t="str">
        <f>IF(Table1[[#This Row],[SeD]]&lt;-2,Table1[[#This Row],[Winning Seed]]&amp; " over " &amp;Table1[[#This Row],[Losing Seed]],"")</f>
        <v/>
      </c>
      <c r="Q67">
        <f>VLOOKUP(Table1[[#This Row],[Losing Seed]],'Seed History'!$N$4:$O$19,2)</f>
        <v>0.59027777777777779</v>
      </c>
      <c r="R67" s="1">
        <f>IF(Table1[[#This Row],[Round]]="PI",0,Table1[[#This Row],[Round]]-1)</f>
        <v>0</v>
      </c>
      <c r="S67">
        <f>Table1[[#This Row],[LAW]]-Table1[[#This Row],[LEW]]</f>
        <v>-0.59027777777777779</v>
      </c>
    </row>
    <row r="68" spans="1:19" x14ac:dyDescent="0.25">
      <c r="A68" s="66">
        <v>31484</v>
      </c>
      <c r="B68" s="51">
        <f>YEAR(Table1[[#This Row],[Date]])</f>
        <v>1986</v>
      </c>
      <c r="C68" s="1">
        <v>1</v>
      </c>
      <c r="D68" t="s">
        <v>439</v>
      </c>
      <c r="E68" s="1">
        <v>1</v>
      </c>
      <c r="F68" t="s">
        <v>37</v>
      </c>
      <c r="G68" t="str">
        <f>VLOOKUP(Table1[[#This Row],[Winner]],Ranking!C:D,2,FALSE)</f>
        <v>B12</v>
      </c>
      <c r="H68" s="1">
        <v>71</v>
      </c>
      <c r="I68" s="1">
        <v>16</v>
      </c>
      <c r="J68" t="s">
        <v>299</v>
      </c>
      <c r="K68" t="str">
        <f>VLOOKUP(Table1[[#This Row],[Loser]],Ranking!C:D,2,FALSE)</f>
        <v>MEAC</v>
      </c>
      <c r="L68" s="1">
        <v>46</v>
      </c>
      <c r="N68" s="1">
        <f>Table1[[#This Row],[Winning Score]]-Table1[[#This Row],[Losing Score]]</f>
        <v>25</v>
      </c>
      <c r="O68" s="1">
        <f>Table1[[#This Row],[Losing Seed]]-Table1[[#This Row],[Winning Seed]]</f>
        <v>15</v>
      </c>
      <c r="P68" s="1" t="str">
        <f>IF(Table1[[#This Row],[SeD]]&lt;-2,Table1[[#This Row],[Winning Seed]]&amp; " over " &amp;Table1[[#This Row],[Losing Seed]],"")</f>
        <v/>
      </c>
      <c r="Q68">
        <f>VLOOKUP(Table1[[#This Row],[Losing Seed]],'Seed History'!$N$4:$O$19,2)</f>
        <v>6.9444444444444441E-3</v>
      </c>
      <c r="R68" s="1">
        <f>IF(Table1[[#This Row],[Round]]="PI",0,Table1[[#This Row],[Round]]-1)</f>
        <v>0</v>
      </c>
      <c r="S68">
        <f>Table1[[#This Row],[LAW]]-Table1[[#This Row],[LEW]]</f>
        <v>-6.9444444444444441E-3</v>
      </c>
    </row>
    <row r="69" spans="1:19" x14ac:dyDescent="0.25">
      <c r="A69" s="66">
        <v>31484</v>
      </c>
      <c r="B69" s="51">
        <f>YEAR(Table1[[#This Row],[Date]])</f>
        <v>1986</v>
      </c>
      <c r="C69" s="1">
        <v>1</v>
      </c>
      <c r="D69" t="s">
        <v>439</v>
      </c>
      <c r="E69" s="1">
        <v>4</v>
      </c>
      <c r="F69" t="s">
        <v>66</v>
      </c>
      <c r="G69" t="str">
        <f>VLOOKUP(Table1[[#This Row],[Winner]],Ranking!C:D,2,FALSE)</f>
        <v>BE</v>
      </c>
      <c r="H69" s="1">
        <v>70</v>
      </c>
      <c r="I69" s="1">
        <v>13</v>
      </c>
      <c r="J69" t="s">
        <v>92</v>
      </c>
      <c r="K69" t="str">
        <f>VLOOKUP(Table1[[#This Row],[Loser]],Ranking!C:D,2,FALSE)</f>
        <v>B12</v>
      </c>
      <c r="L69" s="1">
        <v>64</v>
      </c>
      <c r="N69" s="1">
        <f>Table1[[#This Row],[Winning Score]]-Table1[[#This Row],[Losing Score]]</f>
        <v>6</v>
      </c>
      <c r="O69" s="1">
        <f>Table1[[#This Row],[Losing Seed]]-Table1[[#This Row],[Winning Seed]]</f>
        <v>9</v>
      </c>
      <c r="P69" s="1" t="str">
        <f>IF(Table1[[#This Row],[SeD]]&lt;-2,Table1[[#This Row],[Winning Seed]]&amp; " over " &amp;Table1[[#This Row],[Losing Seed]],"")</f>
        <v/>
      </c>
      <c r="Q69">
        <f>VLOOKUP(Table1[[#This Row],[Losing Seed]],'Seed History'!$N$4:$O$19,2)</f>
        <v>0.25694444444444442</v>
      </c>
      <c r="R69" s="1">
        <f>IF(Table1[[#This Row],[Round]]="PI",0,Table1[[#This Row],[Round]]-1)</f>
        <v>0</v>
      </c>
      <c r="S69">
        <f>Table1[[#This Row],[LAW]]-Table1[[#This Row],[LEW]]</f>
        <v>-0.25694444444444442</v>
      </c>
    </row>
    <row r="70" spans="1:19" x14ac:dyDescent="0.25">
      <c r="A70" s="66">
        <v>31484</v>
      </c>
      <c r="B70" s="51">
        <f>YEAR(Table1[[#This Row],[Date]])</f>
        <v>1986</v>
      </c>
      <c r="C70" s="1">
        <v>1</v>
      </c>
      <c r="D70" t="s">
        <v>439</v>
      </c>
      <c r="E70" s="1">
        <v>5</v>
      </c>
      <c r="F70" t="s">
        <v>271</v>
      </c>
      <c r="G70" t="str">
        <f>VLOOKUP(Table1[[#This Row],[Winner]],Ranking!C:D,2,FALSE)</f>
        <v>B10</v>
      </c>
      <c r="H70" s="1">
        <v>72</v>
      </c>
      <c r="I70" s="1">
        <v>12</v>
      </c>
      <c r="J70" t="s">
        <v>409</v>
      </c>
      <c r="K70" t="str">
        <f>VLOOKUP(Table1[[#This Row],[Loser]],Ranking!C:D,2,FALSE)</f>
        <v>P12</v>
      </c>
      <c r="L70" s="1">
        <v>70</v>
      </c>
      <c r="N70" s="1">
        <f>Table1[[#This Row],[Winning Score]]-Table1[[#This Row],[Losing Score]]</f>
        <v>2</v>
      </c>
      <c r="O70" s="1">
        <f>Table1[[#This Row],[Losing Seed]]-Table1[[#This Row],[Winning Seed]]</f>
        <v>7</v>
      </c>
      <c r="P70" s="1" t="str">
        <f>IF(Table1[[#This Row],[SeD]]&lt;-2,Table1[[#This Row],[Winning Seed]]&amp; " over " &amp;Table1[[#This Row],[Losing Seed]],"")</f>
        <v/>
      </c>
      <c r="Q70">
        <f>VLOOKUP(Table1[[#This Row],[Losing Seed]],'Seed History'!$N$4:$O$19,2)</f>
        <v>0.52083333333333337</v>
      </c>
      <c r="R70" s="1">
        <f>IF(Table1[[#This Row],[Round]]="PI",0,Table1[[#This Row],[Round]]-1)</f>
        <v>0</v>
      </c>
      <c r="S70">
        <f>Table1[[#This Row],[LAW]]-Table1[[#This Row],[LEW]]</f>
        <v>-0.52083333333333337</v>
      </c>
    </row>
    <row r="71" spans="1:19" x14ac:dyDescent="0.25">
      <c r="A71" s="66">
        <v>31484</v>
      </c>
      <c r="B71" s="51">
        <f>YEAR(Table1[[#This Row],[Date]])</f>
        <v>1986</v>
      </c>
      <c r="C71" s="1">
        <v>1</v>
      </c>
      <c r="D71" t="s">
        <v>461</v>
      </c>
      <c r="E71" s="1">
        <v>2</v>
      </c>
      <c r="F71" t="s">
        <v>216</v>
      </c>
      <c r="G71" t="str">
        <f>VLOOKUP(Table1[[#This Row],[Winner]],Ranking!C:D,2,FALSE)</f>
        <v>ACC</v>
      </c>
      <c r="H71" s="1">
        <v>68</v>
      </c>
      <c r="I71" s="1">
        <v>15</v>
      </c>
      <c r="J71" t="s">
        <v>261</v>
      </c>
      <c r="K71" t="str">
        <f>VLOOKUP(Table1[[#This Row],[Loser]],Ranking!C:D,2,FALSE)</f>
        <v>MAAC</v>
      </c>
      <c r="L71" s="1">
        <v>53</v>
      </c>
      <c r="N71" s="1">
        <f>Table1[[#This Row],[Winning Score]]-Table1[[#This Row],[Losing Score]]</f>
        <v>15</v>
      </c>
      <c r="O71" s="1">
        <f>Table1[[#This Row],[Losing Seed]]-Table1[[#This Row],[Winning Seed]]</f>
        <v>13</v>
      </c>
      <c r="P71" s="1" t="str">
        <f>IF(Table1[[#This Row],[SeD]]&lt;-2,Table1[[#This Row],[Winning Seed]]&amp; " over " &amp;Table1[[#This Row],[Losing Seed]],"")</f>
        <v/>
      </c>
      <c r="Q71">
        <f>VLOOKUP(Table1[[#This Row],[Losing Seed]],'Seed History'!$N$4:$O$19,2)</f>
        <v>7.6388888888888895E-2</v>
      </c>
      <c r="R71" s="1">
        <f>IF(Table1[[#This Row],[Round]]="PI",0,Table1[[#This Row],[Round]]-1)</f>
        <v>0</v>
      </c>
      <c r="S71">
        <f>Table1[[#This Row],[LAW]]-Table1[[#This Row],[LEW]]</f>
        <v>-7.6388888888888895E-2</v>
      </c>
    </row>
    <row r="72" spans="1:19" x14ac:dyDescent="0.25">
      <c r="A72" s="66">
        <v>31484</v>
      </c>
      <c r="B72" s="51">
        <f>YEAR(Table1[[#This Row],[Date]])</f>
        <v>1986</v>
      </c>
      <c r="C72" s="1">
        <v>1</v>
      </c>
      <c r="D72" t="s">
        <v>461</v>
      </c>
      <c r="E72" s="1">
        <v>3</v>
      </c>
      <c r="F72" t="s">
        <v>267</v>
      </c>
      <c r="G72" t="str">
        <f>VLOOKUP(Table1[[#This Row],[Winner]],Ranking!C:D,2,FALSE)</f>
        <v>Amer</v>
      </c>
      <c r="H72" s="1">
        <v>95</v>
      </c>
      <c r="I72" s="1">
        <v>14</v>
      </c>
      <c r="J72" t="s">
        <v>132</v>
      </c>
      <c r="K72" t="str">
        <f>VLOOKUP(Table1[[#This Row],[Loser]],Ranking!C:D,2,FALSE)</f>
        <v>MAC</v>
      </c>
      <c r="L72" s="1">
        <v>63</v>
      </c>
      <c r="N72" s="1">
        <f>Table1[[#This Row],[Winning Score]]-Table1[[#This Row],[Losing Score]]</f>
        <v>32</v>
      </c>
      <c r="O72" s="1">
        <f>Table1[[#This Row],[Losing Seed]]-Table1[[#This Row],[Winning Seed]]</f>
        <v>11</v>
      </c>
      <c r="P72" s="1" t="str">
        <f>IF(Table1[[#This Row],[SeD]]&lt;-2,Table1[[#This Row],[Winning Seed]]&amp; " over " &amp;Table1[[#This Row],[Losing Seed]],"")</f>
        <v/>
      </c>
      <c r="Q72">
        <f>VLOOKUP(Table1[[#This Row],[Losing Seed]],'Seed History'!$N$4:$O$19,2)</f>
        <v>0.16666666666666666</v>
      </c>
      <c r="R72" s="1">
        <f>IF(Table1[[#This Row],[Round]]="PI",0,Table1[[#This Row],[Round]]-1)</f>
        <v>0</v>
      </c>
      <c r="S72">
        <f>Table1[[#This Row],[LAW]]-Table1[[#This Row],[LEW]]</f>
        <v>-0.16666666666666666</v>
      </c>
    </row>
    <row r="73" spans="1:19" x14ac:dyDescent="0.25">
      <c r="A73" s="66">
        <v>31484</v>
      </c>
      <c r="B73" s="51">
        <f>YEAR(Table1[[#This Row],[Date]])</f>
        <v>1986</v>
      </c>
      <c r="C73" s="1">
        <v>1</v>
      </c>
      <c r="D73" t="s">
        <v>38</v>
      </c>
      <c r="E73" s="1">
        <v>2</v>
      </c>
      <c r="F73" t="s">
        <v>54</v>
      </c>
      <c r="G73" t="str">
        <f>VLOOKUP(Table1[[#This Row],[Winner]],Ranking!C:D,2,FALSE)</f>
        <v>ACC</v>
      </c>
      <c r="H73" s="1">
        <v>93</v>
      </c>
      <c r="I73" s="1">
        <v>15</v>
      </c>
      <c r="J73" t="s">
        <v>189</v>
      </c>
      <c r="K73" t="str">
        <f>VLOOKUP(Table1[[#This Row],[Loser]],Ranking!C:D,2,FALSE)</f>
        <v>CAA</v>
      </c>
      <c r="L73" s="1">
        <v>73</v>
      </c>
      <c r="N73" s="1">
        <f>Table1[[#This Row],[Winning Score]]-Table1[[#This Row],[Losing Score]]</f>
        <v>20</v>
      </c>
      <c r="O73" s="1">
        <f>Table1[[#This Row],[Losing Seed]]-Table1[[#This Row],[Winning Seed]]</f>
        <v>13</v>
      </c>
      <c r="P73" s="1" t="str">
        <f>IF(Table1[[#This Row],[SeD]]&lt;-2,Table1[[#This Row],[Winning Seed]]&amp; " over " &amp;Table1[[#This Row],[Losing Seed]],"")</f>
        <v/>
      </c>
      <c r="Q73">
        <f>VLOOKUP(Table1[[#This Row],[Losing Seed]],'Seed History'!$N$4:$O$19,2)</f>
        <v>7.6388888888888895E-2</v>
      </c>
      <c r="R73" s="1">
        <f>IF(Table1[[#This Row],[Round]]="PI",0,Table1[[#This Row],[Round]]-1)</f>
        <v>0</v>
      </c>
      <c r="S73">
        <f>Table1[[#This Row],[LAW]]-Table1[[#This Row],[LEW]]</f>
        <v>-7.6388888888888895E-2</v>
      </c>
    </row>
    <row r="74" spans="1:19" x14ac:dyDescent="0.25">
      <c r="A74" s="66">
        <v>31484</v>
      </c>
      <c r="B74" s="51">
        <f>YEAR(Table1[[#This Row],[Date]])</f>
        <v>1986</v>
      </c>
      <c r="C74" s="1">
        <v>1</v>
      </c>
      <c r="D74" t="s">
        <v>38</v>
      </c>
      <c r="E74" s="1">
        <v>3</v>
      </c>
      <c r="F74" t="s">
        <v>298</v>
      </c>
      <c r="G74" t="str">
        <f>VLOOKUP(Table1[[#This Row],[Winner]],Ranking!C:D,2,FALSE)</f>
        <v>ACC</v>
      </c>
      <c r="H74" s="1">
        <v>84</v>
      </c>
      <c r="I74" s="1">
        <v>14</v>
      </c>
      <c r="J74" t="s">
        <v>65</v>
      </c>
      <c r="K74" t="str">
        <f>VLOOKUP(Table1[[#This Row],[Loser]],Ranking!C:D,2,FALSE)</f>
        <v>P12</v>
      </c>
      <c r="L74" s="1">
        <v>72</v>
      </c>
      <c r="N74" s="1">
        <f>Table1[[#This Row],[Winning Score]]-Table1[[#This Row],[Losing Score]]</f>
        <v>12</v>
      </c>
      <c r="O74" s="1">
        <f>Table1[[#This Row],[Losing Seed]]-Table1[[#This Row],[Winning Seed]]</f>
        <v>11</v>
      </c>
      <c r="P74" s="1" t="str">
        <f>IF(Table1[[#This Row],[SeD]]&lt;-2,Table1[[#This Row],[Winning Seed]]&amp; " over " &amp;Table1[[#This Row],[Losing Seed]],"")</f>
        <v/>
      </c>
      <c r="Q74">
        <f>VLOOKUP(Table1[[#This Row],[Losing Seed]],'Seed History'!$N$4:$O$19,2)</f>
        <v>0.16666666666666666</v>
      </c>
      <c r="R74" s="1">
        <f>IF(Table1[[#This Row],[Round]]="PI",0,Table1[[#This Row],[Round]]-1)</f>
        <v>0</v>
      </c>
      <c r="S74">
        <f>Table1[[#This Row],[LAW]]-Table1[[#This Row],[LEW]]</f>
        <v>-0.16666666666666666</v>
      </c>
    </row>
    <row r="75" spans="1:19" x14ac:dyDescent="0.25">
      <c r="A75" s="66">
        <v>31484</v>
      </c>
      <c r="B75" s="51">
        <f>YEAR(Table1[[#This Row],[Date]])</f>
        <v>1986</v>
      </c>
      <c r="C75" s="1">
        <v>1</v>
      </c>
      <c r="D75" t="s">
        <v>38</v>
      </c>
      <c r="E75" s="1">
        <v>6</v>
      </c>
      <c r="F75" t="s">
        <v>68</v>
      </c>
      <c r="G75" t="str">
        <f>VLOOKUP(Table1[[#This Row],[Winner]],Ranking!C:D,2,FALSE)</f>
        <v>CUSA</v>
      </c>
      <c r="H75" s="1">
        <v>66</v>
      </c>
      <c r="I75" s="1">
        <v>11</v>
      </c>
      <c r="J75" t="s">
        <v>277</v>
      </c>
      <c r="K75" t="str">
        <f>VLOOKUP(Table1[[#This Row],[Loser]],Ranking!C:D,2,FALSE)</f>
        <v>SEC</v>
      </c>
      <c r="L75" s="1">
        <v>64</v>
      </c>
      <c r="N75" s="1">
        <f>Table1[[#This Row],[Winning Score]]-Table1[[#This Row],[Losing Score]]</f>
        <v>2</v>
      </c>
      <c r="O75" s="1">
        <f>Table1[[#This Row],[Losing Seed]]-Table1[[#This Row],[Winning Seed]]</f>
        <v>5</v>
      </c>
      <c r="P75" s="1" t="str">
        <f>IF(Table1[[#This Row],[SeD]]&lt;-2,Table1[[#This Row],[Winning Seed]]&amp; " over " &amp;Table1[[#This Row],[Losing Seed]],"")</f>
        <v/>
      </c>
      <c r="Q75">
        <f>VLOOKUP(Table1[[#This Row],[Losing Seed]],'Seed History'!$N$4:$O$19,2)</f>
        <v>0.63194444444444442</v>
      </c>
      <c r="R75" s="1">
        <f>IF(Table1[[#This Row],[Round]]="PI",0,Table1[[#This Row],[Round]]-1)</f>
        <v>0</v>
      </c>
      <c r="S75">
        <f>Table1[[#This Row],[LAW]]-Table1[[#This Row],[LEW]]</f>
        <v>-0.63194444444444442</v>
      </c>
    </row>
    <row r="76" spans="1:19" x14ac:dyDescent="0.25">
      <c r="A76" s="66">
        <v>31484</v>
      </c>
      <c r="B76" s="51">
        <f>YEAR(Table1[[#This Row],[Date]])</f>
        <v>1986</v>
      </c>
      <c r="C76" s="1">
        <v>1</v>
      </c>
      <c r="D76" t="s">
        <v>38</v>
      </c>
      <c r="E76" s="1">
        <v>7</v>
      </c>
      <c r="F76" t="s">
        <v>142</v>
      </c>
      <c r="G76" t="str">
        <f>VLOOKUP(Table1[[#This Row],[Winner]],Ranking!C:D,2,FALSE)</f>
        <v>MVC</v>
      </c>
      <c r="H76" s="1">
        <v>83</v>
      </c>
      <c r="I76" s="1">
        <v>10</v>
      </c>
      <c r="J76" t="s">
        <v>402</v>
      </c>
      <c r="K76" t="str">
        <f>VLOOKUP(Table1[[#This Row],[Loser]],Ranking!C:D,2,FALSE)</f>
        <v>CUSA</v>
      </c>
      <c r="L76" s="1">
        <v>65</v>
      </c>
      <c r="N76" s="1">
        <f>Table1[[#This Row],[Winning Score]]-Table1[[#This Row],[Losing Score]]</f>
        <v>18</v>
      </c>
      <c r="O76" s="1">
        <f>Table1[[#This Row],[Losing Seed]]-Table1[[#This Row],[Winning Seed]]</f>
        <v>3</v>
      </c>
      <c r="P76" s="1" t="str">
        <f>IF(Table1[[#This Row],[SeD]]&lt;-2,Table1[[#This Row],[Winning Seed]]&amp; " over " &amp;Table1[[#This Row],[Losing Seed]],"")</f>
        <v/>
      </c>
      <c r="Q76">
        <f>VLOOKUP(Table1[[#This Row],[Losing Seed]],'Seed History'!$N$4:$O$19,2)</f>
        <v>0.61805555555555558</v>
      </c>
      <c r="R76" s="1">
        <f>IF(Table1[[#This Row],[Round]]="PI",0,Table1[[#This Row],[Round]]-1)</f>
        <v>0</v>
      </c>
      <c r="S76">
        <f>Table1[[#This Row],[LAW]]-Table1[[#This Row],[LEW]]</f>
        <v>-0.61805555555555558</v>
      </c>
    </row>
    <row r="77" spans="1:19" x14ac:dyDescent="0.25">
      <c r="A77" s="66">
        <v>31484</v>
      </c>
      <c r="B77" s="51">
        <f>YEAR(Table1[[#This Row],[Date]])</f>
        <v>1986</v>
      </c>
      <c r="C77" s="1">
        <v>1</v>
      </c>
      <c r="D77" t="s">
        <v>49</v>
      </c>
      <c r="E77" s="1">
        <v>12</v>
      </c>
      <c r="F77" t="s">
        <v>186</v>
      </c>
      <c r="G77" t="str">
        <f>VLOOKUP(Table1[[#This Row],[Winner]],Ranking!C:D,2,FALSE)</f>
        <v>BE</v>
      </c>
      <c r="H77" s="1">
        <v>72</v>
      </c>
      <c r="I77" s="1">
        <v>5</v>
      </c>
      <c r="J77" t="s">
        <v>61</v>
      </c>
      <c r="K77" t="str">
        <f>VLOOKUP(Table1[[#This Row],[Loser]],Ranking!C:D,2,FALSE)</f>
        <v>ACC</v>
      </c>
      <c r="L77" s="1">
        <v>68</v>
      </c>
      <c r="N77" s="1">
        <f>Table1[[#This Row],[Winning Score]]-Table1[[#This Row],[Losing Score]]</f>
        <v>4</v>
      </c>
      <c r="O77" s="1">
        <f>Table1[[#This Row],[Losing Seed]]-Table1[[#This Row],[Winning Seed]]</f>
        <v>-7</v>
      </c>
      <c r="P77" s="1" t="str">
        <f>IF(Table1[[#This Row],[SeD]]&lt;-2,Table1[[#This Row],[Winning Seed]]&amp; " over " &amp;Table1[[#This Row],[Losing Seed]],"")</f>
        <v>12 over 5</v>
      </c>
      <c r="Q77">
        <f>VLOOKUP(Table1[[#This Row],[Losing Seed]],'Seed History'!$N$4:$O$19,2)</f>
        <v>1.1180555555555556</v>
      </c>
      <c r="R77" s="1">
        <f>IF(Table1[[#This Row],[Round]]="PI",0,Table1[[#This Row],[Round]]-1)</f>
        <v>0</v>
      </c>
      <c r="S77">
        <f>Table1[[#This Row],[LAW]]-Table1[[#This Row],[LEW]]</f>
        <v>-1.1180555555555556</v>
      </c>
    </row>
    <row r="78" spans="1:19" x14ac:dyDescent="0.25">
      <c r="A78" s="66">
        <v>31484</v>
      </c>
      <c r="B78" s="51">
        <f>YEAR(Table1[[#This Row],[Date]])</f>
        <v>1986</v>
      </c>
      <c r="C78" s="1">
        <v>1</v>
      </c>
      <c r="D78" t="s">
        <v>461</v>
      </c>
      <c r="E78" s="1">
        <v>11</v>
      </c>
      <c r="F78" t="s">
        <v>52</v>
      </c>
      <c r="G78" t="str">
        <f>VLOOKUP(Table1[[#This Row],[Winner]],Ranking!C:D,2,FALSE)</f>
        <v>SEC</v>
      </c>
      <c r="H78" s="1">
        <v>94</v>
      </c>
      <c r="I78" s="1">
        <v>6</v>
      </c>
      <c r="J78" t="s">
        <v>29</v>
      </c>
      <c r="K78" t="str">
        <f>VLOOKUP(Table1[[#This Row],[Loser]],Ranking!C:D,2,FALSE)</f>
        <v>B10</v>
      </c>
      <c r="L78" s="1">
        <v>87</v>
      </c>
      <c r="M78" s="1" t="s">
        <v>463</v>
      </c>
      <c r="N78" s="1">
        <f>Table1[[#This Row],[Winning Score]]-Table1[[#This Row],[Losing Score]]</f>
        <v>7</v>
      </c>
      <c r="O78" s="1">
        <f>Table1[[#This Row],[Losing Seed]]-Table1[[#This Row],[Winning Seed]]</f>
        <v>-5</v>
      </c>
      <c r="P78" s="1" t="str">
        <f>IF(Table1[[#This Row],[SeD]]&lt;-2,Table1[[#This Row],[Winning Seed]]&amp; " over " &amp;Table1[[#This Row],[Losing Seed]],"")</f>
        <v>11 over 6</v>
      </c>
      <c r="Q78">
        <f>VLOOKUP(Table1[[#This Row],[Losing Seed]],'Seed History'!$N$4:$O$19,2)</f>
        <v>1.0625</v>
      </c>
      <c r="R78" s="1">
        <f>IF(Table1[[#This Row],[Round]]="PI",0,Table1[[#This Row],[Round]]-1)</f>
        <v>0</v>
      </c>
      <c r="S78">
        <f>Table1[[#This Row],[LAW]]-Table1[[#This Row],[LEW]]</f>
        <v>-1.0625</v>
      </c>
    </row>
    <row r="79" spans="1:19" x14ac:dyDescent="0.25">
      <c r="A79" s="66">
        <v>31484</v>
      </c>
      <c r="B79" s="51">
        <f>YEAR(Table1[[#This Row],[Date]])</f>
        <v>1986</v>
      </c>
      <c r="C79" s="1">
        <v>1</v>
      </c>
      <c r="D79" t="s">
        <v>461</v>
      </c>
      <c r="E79" s="1">
        <v>10</v>
      </c>
      <c r="F79" t="s">
        <v>50</v>
      </c>
      <c r="G79" t="str">
        <f>VLOOKUP(Table1[[#This Row],[Winner]],Ranking!C:D,2,FALSE)</f>
        <v>BE</v>
      </c>
      <c r="H79" s="1">
        <v>71</v>
      </c>
      <c r="I79" s="1">
        <v>7</v>
      </c>
      <c r="J79" t="s">
        <v>405</v>
      </c>
      <c r="K79" t="str">
        <f>VLOOKUP(Table1[[#This Row],[Loser]],Ranking!C:D,2,FALSE)</f>
        <v>ACC</v>
      </c>
      <c r="L79" s="1">
        <v>62</v>
      </c>
      <c r="N79" s="1">
        <f>Table1[[#This Row],[Winning Score]]-Table1[[#This Row],[Losing Score]]</f>
        <v>9</v>
      </c>
      <c r="O79" s="1">
        <f>Table1[[#This Row],[Losing Seed]]-Table1[[#This Row],[Winning Seed]]</f>
        <v>-3</v>
      </c>
      <c r="P79" s="1" t="str">
        <f>IF(Table1[[#This Row],[SeD]]&lt;-2,Table1[[#This Row],[Winning Seed]]&amp; " over " &amp;Table1[[#This Row],[Losing Seed]],"")</f>
        <v>10 over 7</v>
      </c>
      <c r="Q79">
        <f>VLOOKUP(Table1[[#This Row],[Losing Seed]],'Seed History'!$N$4:$O$19,2)</f>
        <v>0.90277777777777779</v>
      </c>
      <c r="R79" s="1">
        <f>IF(Table1[[#This Row],[Round]]="PI",0,Table1[[#This Row],[Round]]-1)</f>
        <v>0</v>
      </c>
      <c r="S79">
        <f>Table1[[#This Row],[LAW]]-Table1[[#This Row],[LEW]]</f>
        <v>-0.90277777777777779</v>
      </c>
    </row>
    <row r="80" spans="1:19" x14ac:dyDescent="0.25">
      <c r="A80" s="66">
        <v>31484</v>
      </c>
      <c r="B80" s="51">
        <f>YEAR(Table1[[#This Row],[Date]])</f>
        <v>1986</v>
      </c>
      <c r="C80" s="1">
        <v>1</v>
      </c>
      <c r="D80" t="s">
        <v>439</v>
      </c>
      <c r="E80" s="1">
        <v>9</v>
      </c>
      <c r="F80" t="s">
        <v>373</v>
      </c>
      <c r="G80" t="str">
        <f>VLOOKUP(Table1[[#This Row],[Winner]],Ranking!C:D,2,FALSE)</f>
        <v>Amer</v>
      </c>
      <c r="H80" s="1">
        <v>61</v>
      </c>
      <c r="I80" s="1">
        <v>8</v>
      </c>
      <c r="J80" t="s">
        <v>240</v>
      </c>
      <c r="K80" t="str">
        <f>VLOOKUP(Table1[[#This Row],[Loser]],Ranking!C:D,2,FALSE)</f>
        <v>ASun</v>
      </c>
      <c r="L80" s="1">
        <v>50</v>
      </c>
      <c r="M80" s="1" t="s">
        <v>462</v>
      </c>
      <c r="N80" s="1">
        <f>Table1[[#This Row],[Winning Score]]-Table1[[#This Row],[Losing Score]]</f>
        <v>11</v>
      </c>
      <c r="O80" s="1">
        <f>Table1[[#This Row],[Losing Seed]]-Table1[[#This Row],[Winning Seed]]</f>
        <v>-1</v>
      </c>
      <c r="P80" s="1" t="str">
        <f>IF(Table1[[#This Row],[SeD]]&lt;-2,Table1[[#This Row],[Winning Seed]]&amp; " over " &amp;Table1[[#This Row],[Losing Seed]],"")</f>
        <v/>
      </c>
      <c r="Q80">
        <f>VLOOKUP(Table1[[#This Row],[Losing Seed]],'Seed History'!$N$4:$O$19,2)</f>
        <v>0.70833333333333337</v>
      </c>
      <c r="R80" s="1">
        <f>IF(Table1[[#This Row],[Round]]="PI",0,Table1[[#This Row],[Round]]-1)</f>
        <v>0</v>
      </c>
      <c r="S80">
        <f>Table1[[#This Row],[LAW]]-Table1[[#This Row],[LEW]]</f>
        <v>-0.70833333333333337</v>
      </c>
    </row>
    <row r="81" spans="1:19" x14ac:dyDescent="0.25">
      <c r="A81" s="66">
        <v>31485</v>
      </c>
      <c r="B81" s="51">
        <f>YEAR(Table1[[#This Row],[Date]])</f>
        <v>1986</v>
      </c>
      <c r="C81" s="1">
        <v>1</v>
      </c>
      <c r="D81" t="s">
        <v>49</v>
      </c>
      <c r="E81" s="1">
        <v>14</v>
      </c>
      <c r="F81" t="s">
        <v>171</v>
      </c>
      <c r="G81" t="str">
        <f>VLOOKUP(Table1[[#This Row],[Winner]],Ranking!C:D,2,FALSE)</f>
        <v>Horz</v>
      </c>
      <c r="H81" s="1">
        <v>83</v>
      </c>
      <c r="I81" s="1">
        <v>3</v>
      </c>
      <c r="J81" t="s">
        <v>36</v>
      </c>
      <c r="K81" t="str">
        <f>VLOOKUP(Table1[[#This Row],[Loser]],Ranking!C:D,2,FALSE)</f>
        <v>B10</v>
      </c>
      <c r="L81" s="1">
        <v>79</v>
      </c>
      <c r="N81" s="1">
        <f>Table1[[#This Row],[Winning Score]]-Table1[[#This Row],[Losing Score]]</f>
        <v>4</v>
      </c>
      <c r="O81" s="1">
        <f>Table1[[#This Row],[Losing Seed]]-Table1[[#This Row],[Winning Seed]]</f>
        <v>-11</v>
      </c>
      <c r="P81" s="1" t="str">
        <f>IF(Table1[[#This Row],[SeD]]&lt;-2,Table1[[#This Row],[Winning Seed]]&amp; " over " &amp;Table1[[#This Row],[Losing Seed]],"")</f>
        <v>14 over 3</v>
      </c>
      <c r="Q81">
        <f>VLOOKUP(Table1[[#This Row],[Losing Seed]],'Seed History'!$N$4:$O$19,2)</f>
        <v>1.8472222222222223</v>
      </c>
      <c r="R81" s="1">
        <f>IF(Table1[[#This Row],[Round]]="PI",0,Table1[[#This Row],[Round]]-1)</f>
        <v>0</v>
      </c>
      <c r="S81">
        <f>Table1[[#This Row],[LAW]]-Table1[[#This Row],[LEW]]</f>
        <v>-1.8472222222222223</v>
      </c>
    </row>
    <row r="82" spans="1:19" x14ac:dyDescent="0.25">
      <c r="A82" s="66">
        <v>31485</v>
      </c>
      <c r="B82" s="51">
        <f>YEAR(Table1[[#This Row],[Date]])</f>
        <v>1986</v>
      </c>
      <c r="C82" s="1">
        <v>1</v>
      </c>
      <c r="D82" t="s">
        <v>439</v>
      </c>
      <c r="E82" s="1">
        <v>14</v>
      </c>
      <c r="F82" t="s">
        <v>472</v>
      </c>
      <c r="G82" t="str">
        <f>VLOOKUP(Table1[[#This Row],[Winner]],Ranking!C:D,2,FALSE)</f>
        <v>SB</v>
      </c>
      <c r="H82" s="1">
        <v>90</v>
      </c>
      <c r="I82" s="1">
        <v>3</v>
      </c>
      <c r="J82" t="s">
        <v>35</v>
      </c>
      <c r="K82" t="str">
        <f>VLOOKUP(Table1[[#This Row],[Loser]],Ranking!C:D,2,FALSE)</f>
        <v>ACC</v>
      </c>
      <c r="L82" s="1">
        <v>83</v>
      </c>
      <c r="N82" s="1">
        <f>Table1[[#This Row],[Winning Score]]-Table1[[#This Row],[Losing Score]]</f>
        <v>7</v>
      </c>
      <c r="O82" s="1">
        <f>Table1[[#This Row],[Losing Seed]]-Table1[[#This Row],[Winning Seed]]</f>
        <v>-11</v>
      </c>
      <c r="P82" s="1" t="str">
        <f>IF(Table1[[#This Row],[SeD]]&lt;-2,Table1[[#This Row],[Winning Seed]]&amp; " over " &amp;Table1[[#This Row],[Losing Seed]],"")</f>
        <v>14 over 3</v>
      </c>
      <c r="Q82">
        <f>VLOOKUP(Table1[[#This Row],[Losing Seed]],'Seed History'!$N$4:$O$19,2)</f>
        <v>1.8472222222222223</v>
      </c>
      <c r="R82" s="1">
        <f>IF(Table1[[#This Row],[Round]]="PI",0,Table1[[#This Row],[Round]]-1)</f>
        <v>0</v>
      </c>
      <c r="S82">
        <f>Table1[[#This Row],[LAW]]-Table1[[#This Row],[LEW]]</f>
        <v>-1.8472222222222223</v>
      </c>
    </row>
    <row r="83" spans="1:19" x14ac:dyDescent="0.25">
      <c r="A83" s="66">
        <v>31485</v>
      </c>
      <c r="B83" s="51">
        <f>YEAR(Table1[[#This Row],[Date]])</f>
        <v>1986</v>
      </c>
      <c r="C83" s="1">
        <v>1</v>
      </c>
      <c r="D83" t="s">
        <v>49</v>
      </c>
      <c r="E83" s="1">
        <v>2</v>
      </c>
      <c r="F83" t="s">
        <v>86</v>
      </c>
      <c r="G83" t="str">
        <f>VLOOKUP(Table1[[#This Row],[Winner]],Ranking!C:D,2,FALSE)</f>
        <v>ACC</v>
      </c>
      <c r="H83" s="1">
        <v>101</v>
      </c>
      <c r="I83" s="1">
        <v>15</v>
      </c>
      <c r="J83" t="s">
        <v>144</v>
      </c>
      <c r="K83" t="str">
        <f>VLOOKUP(Table1[[#This Row],[Loser]],Ranking!C:D,2,FALSE)</f>
        <v>Ivy</v>
      </c>
      <c r="L83" s="1">
        <v>52</v>
      </c>
      <c r="N83" s="1">
        <f>Table1[[#This Row],[Winning Score]]-Table1[[#This Row],[Losing Score]]</f>
        <v>49</v>
      </c>
      <c r="O83" s="1">
        <f>Table1[[#This Row],[Losing Seed]]-Table1[[#This Row],[Winning Seed]]</f>
        <v>13</v>
      </c>
      <c r="P83" s="1" t="str">
        <f>IF(Table1[[#This Row],[SeD]]&lt;-2,Table1[[#This Row],[Winning Seed]]&amp; " over " &amp;Table1[[#This Row],[Losing Seed]],"")</f>
        <v/>
      </c>
      <c r="Q83">
        <f>VLOOKUP(Table1[[#This Row],[Losing Seed]],'Seed History'!$N$4:$O$19,2)</f>
        <v>7.6388888888888895E-2</v>
      </c>
      <c r="R83" s="1">
        <f>IF(Table1[[#This Row],[Round]]="PI",0,Table1[[#This Row],[Round]]-1)</f>
        <v>0</v>
      </c>
      <c r="S83">
        <f>Table1[[#This Row],[LAW]]-Table1[[#This Row],[LEW]]</f>
        <v>-7.6388888888888895E-2</v>
      </c>
    </row>
    <row r="84" spans="1:19" x14ac:dyDescent="0.25">
      <c r="A84" s="66">
        <v>31485</v>
      </c>
      <c r="B84" s="51">
        <f>YEAR(Table1[[#This Row],[Date]])</f>
        <v>1986</v>
      </c>
      <c r="C84" s="1">
        <v>1</v>
      </c>
      <c r="D84" t="s">
        <v>49</v>
      </c>
      <c r="E84" s="1">
        <v>6</v>
      </c>
      <c r="F84" t="s">
        <v>337</v>
      </c>
      <c r="G84" t="str">
        <f>VLOOKUP(Table1[[#This Row],[Winner]],Ranking!C:D,2,FALSE)</f>
        <v>A10</v>
      </c>
      <c r="H84" s="1">
        <v>60</v>
      </c>
      <c r="I84" s="1">
        <v>11</v>
      </c>
      <c r="J84" t="s">
        <v>331</v>
      </c>
      <c r="K84" t="str">
        <f>VLOOKUP(Table1[[#This Row],[Loser]],Ranking!C:D,2,FALSE)</f>
        <v>A10</v>
      </c>
      <c r="L84" s="1">
        <v>59</v>
      </c>
      <c r="N84" s="1">
        <f>Table1[[#This Row],[Winning Score]]-Table1[[#This Row],[Losing Score]]</f>
        <v>1</v>
      </c>
      <c r="O84" s="1">
        <f>Table1[[#This Row],[Losing Seed]]-Table1[[#This Row],[Winning Seed]]</f>
        <v>5</v>
      </c>
      <c r="P84" s="1" t="str">
        <f>IF(Table1[[#This Row],[SeD]]&lt;-2,Table1[[#This Row],[Winning Seed]]&amp; " over " &amp;Table1[[#This Row],[Losing Seed]],"")</f>
        <v/>
      </c>
      <c r="Q84">
        <f>VLOOKUP(Table1[[#This Row],[Losing Seed]],'Seed History'!$N$4:$O$19,2)</f>
        <v>0.63194444444444442</v>
      </c>
      <c r="R84" s="1">
        <f>IF(Table1[[#This Row],[Round]]="PI",0,Table1[[#This Row],[Round]]-1)</f>
        <v>0</v>
      </c>
      <c r="S84">
        <f>Table1[[#This Row],[LAW]]-Table1[[#This Row],[LEW]]</f>
        <v>-0.63194444444444442</v>
      </c>
    </row>
    <row r="85" spans="1:19" x14ac:dyDescent="0.25">
      <c r="A85" s="66">
        <v>31485</v>
      </c>
      <c r="B85" s="51">
        <f>YEAR(Table1[[#This Row],[Date]])</f>
        <v>1986</v>
      </c>
      <c r="C85" s="1">
        <v>1</v>
      </c>
      <c r="D85" t="s">
        <v>49</v>
      </c>
      <c r="E85" s="1">
        <v>7</v>
      </c>
      <c r="F85" t="s">
        <v>286</v>
      </c>
      <c r="G85" t="str">
        <f>VLOOKUP(Table1[[#This Row],[Winner]],Ranking!C:D,2,FALSE)</f>
        <v>Pat</v>
      </c>
      <c r="H85" s="1">
        <v>87</v>
      </c>
      <c r="I85" s="1">
        <v>10</v>
      </c>
      <c r="J85" t="s">
        <v>94</v>
      </c>
      <c r="K85" t="str">
        <f>VLOOKUP(Table1[[#This Row],[Loser]],Ranking!C:D,2,FALSE)</f>
        <v>Amer</v>
      </c>
      <c r="L85" s="1">
        <v>68</v>
      </c>
      <c r="N85" s="1">
        <f>Table1[[#This Row],[Winning Score]]-Table1[[#This Row],[Losing Score]]</f>
        <v>19</v>
      </c>
      <c r="O85" s="1">
        <f>Table1[[#This Row],[Losing Seed]]-Table1[[#This Row],[Winning Seed]]</f>
        <v>3</v>
      </c>
      <c r="P85" s="1" t="str">
        <f>IF(Table1[[#This Row],[SeD]]&lt;-2,Table1[[#This Row],[Winning Seed]]&amp; " over " &amp;Table1[[#This Row],[Losing Seed]],"")</f>
        <v/>
      </c>
      <c r="Q85">
        <f>VLOOKUP(Table1[[#This Row],[Losing Seed]],'Seed History'!$N$4:$O$19,2)</f>
        <v>0.61805555555555558</v>
      </c>
      <c r="R85" s="1">
        <f>IF(Table1[[#This Row],[Round]]="PI",0,Table1[[#This Row],[Round]]-1)</f>
        <v>0</v>
      </c>
      <c r="S85">
        <f>Table1[[#This Row],[LAW]]-Table1[[#This Row],[LEW]]</f>
        <v>-0.61805555555555558</v>
      </c>
    </row>
    <row r="86" spans="1:19" x14ac:dyDescent="0.25">
      <c r="A86" s="66">
        <v>31485</v>
      </c>
      <c r="B86" s="51">
        <f>YEAR(Table1[[#This Row],[Date]])</f>
        <v>1986</v>
      </c>
      <c r="C86" s="1">
        <v>1</v>
      </c>
      <c r="D86" t="s">
        <v>439</v>
      </c>
      <c r="E86" s="1">
        <v>2</v>
      </c>
      <c r="F86" t="s">
        <v>82</v>
      </c>
      <c r="G86" t="str">
        <f>VLOOKUP(Table1[[#This Row],[Winner]],Ranking!C:D,2,FALSE)</f>
        <v>B10</v>
      </c>
      <c r="H86" s="1">
        <v>70</v>
      </c>
      <c r="I86" s="1">
        <v>15</v>
      </c>
      <c r="J86" t="s">
        <v>111</v>
      </c>
      <c r="K86" t="str">
        <f>VLOOKUP(Table1[[#This Row],[Loser]],Ranking!C:D,2,FALSE)</f>
        <v>MAC</v>
      </c>
      <c r="L86" s="1">
        <v>64</v>
      </c>
      <c r="N86" s="1">
        <f>Table1[[#This Row],[Winning Score]]-Table1[[#This Row],[Losing Score]]</f>
        <v>6</v>
      </c>
      <c r="O86" s="1">
        <f>Table1[[#This Row],[Losing Seed]]-Table1[[#This Row],[Winning Seed]]</f>
        <v>13</v>
      </c>
      <c r="P86" s="1" t="str">
        <f>IF(Table1[[#This Row],[SeD]]&lt;-2,Table1[[#This Row],[Winning Seed]]&amp; " over " &amp;Table1[[#This Row],[Losing Seed]],"")</f>
        <v/>
      </c>
      <c r="Q86">
        <f>VLOOKUP(Table1[[#This Row],[Losing Seed]],'Seed History'!$N$4:$O$19,2)</f>
        <v>7.6388888888888895E-2</v>
      </c>
      <c r="R86" s="1">
        <f>IF(Table1[[#This Row],[Round]]="PI",0,Table1[[#This Row],[Round]]-1)</f>
        <v>0</v>
      </c>
      <c r="S86">
        <f>Table1[[#This Row],[LAW]]-Table1[[#This Row],[LEW]]</f>
        <v>-7.6388888888888895E-2</v>
      </c>
    </row>
    <row r="87" spans="1:19" x14ac:dyDescent="0.25">
      <c r="A87" s="66">
        <v>31485</v>
      </c>
      <c r="B87" s="51">
        <f>YEAR(Table1[[#This Row],[Date]])</f>
        <v>1986</v>
      </c>
      <c r="C87" s="1">
        <v>1</v>
      </c>
      <c r="D87" t="s">
        <v>439</v>
      </c>
      <c r="E87" s="1">
        <v>6</v>
      </c>
      <c r="F87" t="s">
        <v>301</v>
      </c>
      <c r="G87" t="e">
        <f>VLOOKUP(Table1[[#This Row],[Winner]],Ranking!C:D,2,FALSE)</f>
        <v>#N/A</v>
      </c>
      <c r="H87" s="1">
        <v>66</v>
      </c>
      <c r="I87" s="1">
        <v>11</v>
      </c>
      <c r="J87" t="s">
        <v>69</v>
      </c>
      <c r="K87" t="str">
        <f>VLOOKUP(Table1[[#This Row],[Loser]],Ranking!C:D,2,FALSE)</f>
        <v>B10</v>
      </c>
      <c r="L87" s="1">
        <v>64</v>
      </c>
      <c r="N87" s="1">
        <f>Table1[[#This Row],[Winning Score]]-Table1[[#This Row],[Losing Score]]</f>
        <v>2</v>
      </c>
      <c r="O87" s="1">
        <f>Table1[[#This Row],[Losing Seed]]-Table1[[#This Row],[Winning Seed]]</f>
        <v>5</v>
      </c>
      <c r="P87" s="1" t="str">
        <f>IF(Table1[[#This Row],[SeD]]&lt;-2,Table1[[#This Row],[Winning Seed]]&amp; " over " &amp;Table1[[#This Row],[Losing Seed]],"")</f>
        <v/>
      </c>
      <c r="Q87">
        <f>VLOOKUP(Table1[[#This Row],[Losing Seed]],'Seed History'!$N$4:$O$19,2)</f>
        <v>0.63194444444444442</v>
      </c>
      <c r="R87" s="1">
        <f>IF(Table1[[#This Row],[Round]]="PI",0,Table1[[#This Row],[Round]]-1)</f>
        <v>0</v>
      </c>
      <c r="S87">
        <f>Table1[[#This Row],[LAW]]-Table1[[#This Row],[LEW]]</f>
        <v>-0.63194444444444442</v>
      </c>
    </row>
    <row r="88" spans="1:19" x14ac:dyDescent="0.25">
      <c r="A88" s="66">
        <v>31485</v>
      </c>
      <c r="B88" s="51">
        <f>YEAR(Table1[[#This Row],[Date]])</f>
        <v>1986</v>
      </c>
      <c r="C88" s="1">
        <v>1</v>
      </c>
      <c r="D88" t="s">
        <v>439</v>
      </c>
      <c r="E88" s="1">
        <v>7</v>
      </c>
      <c r="F88" t="s">
        <v>237</v>
      </c>
      <c r="G88" t="str">
        <f>VLOOKUP(Table1[[#This Row],[Winner]],Ranking!C:D,2,FALSE)</f>
        <v>B12</v>
      </c>
      <c r="H88" s="1">
        <v>81</v>
      </c>
      <c r="I88" s="1">
        <v>10</v>
      </c>
      <c r="J88" t="s">
        <v>270</v>
      </c>
      <c r="K88" t="str">
        <f>VLOOKUP(Table1[[#This Row],[Loser]],Ranking!C:D,2,FALSE)</f>
        <v>MAC</v>
      </c>
      <c r="L88" s="1">
        <v>79</v>
      </c>
      <c r="M88" s="1" t="s">
        <v>462</v>
      </c>
      <c r="N88" s="1">
        <f>Table1[[#This Row],[Winning Score]]-Table1[[#This Row],[Losing Score]]</f>
        <v>2</v>
      </c>
      <c r="O88" s="1">
        <f>Table1[[#This Row],[Losing Seed]]-Table1[[#This Row],[Winning Seed]]</f>
        <v>3</v>
      </c>
      <c r="P88" s="1" t="str">
        <f>IF(Table1[[#This Row],[SeD]]&lt;-2,Table1[[#This Row],[Winning Seed]]&amp; " over " &amp;Table1[[#This Row],[Losing Seed]],"")</f>
        <v/>
      </c>
      <c r="Q88">
        <f>VLOOKUP(Table1[[#This Row],[Losing Seed]],'Seed History'!$N$4:$O$19,2)</f>
        <v>0.61805555555555558</v>
      </c>
      <c r="R88" s="1">
        <f>IF(Table1[[#This Row],[Round]]="PI",0,Table1[[#This Row],[Round]]-1)</f>
        <v>0</v>
      </c>
      <c r="S88">
        <f>Table1[[#This Row],[LAW]]-Table1[[#This Row],[LEW]]</f>
        <v>-0.61805555555555558</v>
      </c>
    </row>
    <row r="89" spans="1:19" x14ac:dyDescent="0.25">
      <c r="A89" s="66">
        <v>31485</v>
      </c>
      <c r="B89" s="51">
        <f>YEAR(Table1[[#This Row],[Date]])</f>
        <v>1986</v>
      </c>
      <c r="C89" s="1">
        <v>1</v>
      </c>
      <c r="D89" t="s">
        <v>461</v>
      </c>
      <c r="E89" s="1">
        <v>1</v>
      </c>
      <c r="F89" t="s">
        <v>26</v>
      </c>
      <c r="G89" t="str">
        <f>VLOOKUP(Table1[[#This Row],[Winner]],Ranking!C:D,2,FALSE)</f>
        <v>SEC</v>
      </c>
      <c r="H89" s="1">
        <v>75</v>
      </c>
      <c r="I89" s="1">
        <v>16</v>
      </c>
      <c r="J89" t="s">
        <v>70</v>
      </c>
      <c r="K89" t="str">
        <f>VLOOKUP(Table1[[#This Row],[Loser]],Ranking!C:D,2,FALSE)</f>
        <v>A10</v>
      </c>
      <c r="L89" s="1">
        <v>55</v>
      </c>
      <c r="N89" s="1">
        <f>Table1[[#This Row],[Winning Score]]-Table1[[#This Row],[Losing Score]]</f>
        <v>20</v>
      </c>
      <c r="O89" s="1">
        <f>Table1[[#This Row],[Losing Seed]]-Table1[[#This Row],[Winning Seed]]</f>
        <v>15</v>
      </c>
      <c r="P89" s="1" t="str">
        <f>IF(Table1[[#This Row],[SeD]]&lt;-2,Table1[[#This Row],[Winning Seed]]&amp; " over " &amp;Table1[[#This Row],[Losing Seed]],"")</f>
        <v/>
      </c>
      <c r="Q89">
        <f>VLOOKUP(Table1[[#This Row],[Losing Seed]],'Seed History'!$N$4:$O$19,2)</f>
        <v>6.9444444444444441E-3</v>
      </c>
      <c r="R89" s="1">
        <f>IF(Table1[[#This Row],[Round]]="PI",0,Table1[[#This Row],[Round]]-1)</f>
        <v>0</v>
      </c>
      <c r="S89">
        <f>Table1[[#This Row],[LAW]]-Table1[[#This Row],[LEW]]</f>
        <v>-6.9444444444444441E-3</v>
      </c>
    </row>
    <row r="90" spans="1:19" x14ac:dyDescent="0.25">
      <c r="A90" s="66">
        <v>31485</v>
      </c>
      <c r="B90" s="51">
        <f>YEAR(Table1[[#This Row],[Date]])</f>
        <v>1986</v>
      </c>
      <c r="C90" s="1">
        <v>1</v>
      </c>
      <c r="D90" t="s">
        <v>461</v>
      </c>
      <c r="E90" s="1">
        <v>4</v>
      </c>
      <c r="F90" t="s">
        <v>230</v>
      </c>
      <c r="G90" t="str">
        <f>VLOOKUP(Table1[[#This Row],[Winner]],Ranking!C:D,2,FALSE)</f>
        <v>B10</v>
      </c>
      <c r="H90" s="1">
        <v>75</v>
      </c>
      <c r="I90" s="1">
        <v>13</v>
      </c>
      <c r="J90" t="s">
        <v>200</v>
      </c>
      <c r="K90" t="str">
        <f>VLOOKUP(Table1[[#This Row],[Loser]],Ranking!C:D,2,FALSE)</f>
        <v>MAAC</v>
      </c>
      <c r="L90" s="1">
        <v>51</v>
      </c>
      <c r="N90" s="1">
        <f>Table1[[#This Row],[Winning Score]]-Table1[[#This Row],[Losing Score]]</f>
        <v>24</v>
      </c>
      <c r="O90" s="1">
        <f>Table1[[#This Row],[Losing Seed]]-Table1[[#This Row],[Winning Seed]]</f>
        <v>9</v>
      </c>
      <c r="P90" s="1" t="str">
        <f>IF(Table1[[#This Row],[SeD]]&lt;-2,Table1[[#This Row],[Winning Seed]]&amp; " over " &amp;Table1[[#This Row],[Losing Seed]],"")</f>
        <v/>
      </c>
      <c r="Q90">
        <f>VLOOKUP(Table1[[#This Row],[Losing Seed]],'Seed History'!$N$4:$O$19,2)</f>
        <v>0.25694444444444442</v>
      </c>
      <c r="R90" s="1">
        <f>IF(Table1[[#This Row],[Round]]="PI",0,Table1[[#This Row],[Round]]-1)</f>
        <v>0</v>
      </c>
      <c r="S90">
        <f>Table1[[#This Row],[LAW]]-Table1[[#This Row],[LEW]]</f>
        <v>-0.25694444444444442</v>
      </c>
    </row>
    <row r="91" spans="1:19" x14ac:dyDescent="0.25">
      <c r="A91" s="66">
        <v>31485</v>
      </c>
      <c r="B91" s="51">
        <f>YEAR(Table1[[#This Row],[Date]])</f>
        <v>1986</v>
      </c>
      <c r="C91" s="1">
        <v>1</v>
      </c>
      <c r="D91" t="s">
        <v>461</v>
      </c>
      <c r="E91" s="1">
        <v>5</v>
      </c>
      <c r="F91" t="s">
        <v>113</v>
      </c>
      <c r="G91" t="str">
        <f>VLOOKUP(Table1[[#This Row],[Winner]],Ranking!C:D,2,FALSE)</f>
        <v>SEC</v>
      </c>
      <c r="H91" s="1">
        <v>97</v>
      </c>
      <c r="I91" s="1">
        <v>12</v>
      </c>
      <c r="J91" t="s">
        <v>44</v>
      </c>
      <c r="K91" t="str">
        <f>VLOOKUP(Table1[[#This Row],[Loser]],Ranking!C:D,2,FALSE)</f>
        <v>BE</v>
      </c>
      <c r="L91" s="1">
        <v>80</v>
      </c>
      <c r="N91" s="1">
        <f>Table1[[#This Row],[Winning Score]]-Table1[[#This Row],[Losing Score]]</f>
        <v>17</v>
      </c>
      <c r="O91" s="1">
        <f>Table1[[#This Row],[Losing Seed]]-Table1[[#This Row],[Winning Seed]]</f>
        <v>7</v>
      </c>
      <c r="P91" s="1" t="str">
        <f>IF(Table1[[#This Row],[SeD]]&lt;-2,Table1[[#This Row],[Winning Seed]]&amp; " over " &amp;Table1[[#This Row],[Losing Seed]],"")</f>
        <v/>
      </c>
      <c r="Q91">
        <f>VLOOKUP(Table1[[#This Row],[Losing Seed]],'Seed History'!$N$4:$O$19,2)</f>
        <v>0.52083333333333337</v>
      </c>
      <c r="R91" s="1">
        <f>IF(Table1[[#This Row],[Round]]="PI",0,Table1[[#This Row],[Round]]-1)</f>
        <v>0</v>
      </c>
      <c r="S91">
        <f>Table1[[#This Row],[LAW]]-Table1[[#This Row],[LEW]]</f>
        <v>-0.52083333333333337</v>
      </c>
    </row>
    <row r="92" spans="1:19" x14ac:dyDescent="0.25">
      <c r="A92" s="66">
        <v>31485</v>
      </c>
      <c r="B92" s="51">
        <f>YEAR(Table1[[#This Row],[Date]])</f>
        <v>1986</v>
      </c>
      <c r="C92" s="1">
        <v>1</v>
      </c>
      <c r="D92" t="s">
        <v>461</v>
      </c>
      <c r="E92" s="1">
        <v>8</v>
      </c>
      <c r="F92" t="s">
        <v>415</v>
      </c>
      <c r="G92" t="str">
        <f>VLOOKUP(Table1[[#This Row],[Winner]],Ranking!C:D,2,FALSE)</f>
        <v>CUSA</v>
      </c>
      <c r="H92" s="1">
        <v>67</v>
      </c>
      <c r="I92" s="1">
        <v>9</v>
      </c>
      <c r="J92" t="s">
        <v>287</v>
      </c>
      <c r="K92" t="str">
        <f>VLOOKUP(Table1[[#This Row],[Loser]],Ranking!C:D,2,FALSE)</f>
        <v>B10</v>
      </c>
      <c r="L92" s="1">
        <v>59</v>
      </c>
      <c r="N92" s="1">
        <f>Table1[[#This Row],[Winning Score]]-Table1[[#This Row],[Losing Score]]</f>
        <v>8</v>
      </c>
      <c r="O92" s="1">
        <f>Table1[[#This Row],[Losing Seed]]-Table1[[#This Row],[Winning Seed]]</f>
        <v>1</v>
      </c>
      <c r="P92" s="1" t="str">
        <f>IF(Table1[[#This Row],[SeD]]&lt;-2,Table1[[#This Row],[Winning Seed]]&amp; " over " &amp;Table1[[#This Row],[Losing Seed]],"")</f>
        <v/>
      </c>
      <c r="Q92">
        <f>VLOOKUP(Table1[[#This Row],[Losing Seed]],'Seed History'!$N$4:$O$19,2)</f>
        <v>0.59027777777777779</v>
      </c>
      <c r="R92" s="1">
        <f>IF(Table1[[#This Row],[Round]]="PI",0,Table1[[#This Row],[Round]]-1)</f>
        <v>0</v>
      </c>
      <c r="S92">
        <f>Table1[[#This Row],[LAW]]-Table1[[#This Row],[LEW]]</f>
        <v>-0.59027777777777779</v>
      </c>
    </row>
    <row r="93" spans="1:19" x14ac:dyDescent="0.25">
      <c r="A93" s="66">
        <v>31485</v>
      </c>
      <c r="B93" s="51">
        <f>YEAR(Table1[[#This Row],[Date]])</f>
        <v>1986</v>
      </c>
      <c r="C93" s="1">
        <v>1</v>
      </c>
      <c r="D93" t="s">
        <v>38</v>
      </c>
      <c r="E93" s="1">
        <v>1</v>
      </c>
      <c r="F93" t="s">
        <v>368</v>
      </c>
      <c r="G93" t="str">
        <f>VLOOKUP(Table1[[#This Row],[Winner]],Ranking!C:D,2,FALSE)</f>
        <v>BE</v>
      </c>
      <c r="H93" s="1">
        <v>83</v>
      </c>
      <c r="I93" s="1">
        <v>16</v>
      </c>
      <c r="J93" t="s">
        <v>281</v>
      </c>
      <c r="K93" t="str">
        <f>VLOOKUP(Table1[[#This Row],[Loser]],Ranking!C:D,2,FALSE)</f>
        <v>BSky</v>
      </c>
      <c r="L93" s="1">
        <v>74</v>
      </c>
      <c r="N93" s="1">
        <f>Table1[[#This Row],[Winning Score]]-Table1[[#This Row],[Losing Score]]</f>
        <v>9</v>
      </c>
      <c r="O93" s="1">
        <f>Table1[[#This Row],[Losing Seed]]-Table1[[#This Row],[Winning Seed]]</f>
        <v>15</v>
      </c>
      <c r="P93" s="1" t="str">
        <f>IF(Table1[[#This Row],[SeD]]&lt;-2,Table1[[#This Row],[Winning Seed]]&amp; " over " &amp;Table1[[#This Row],[Losing Seed]],"")</f>
        <v/>
      </c>
      <c r="Q93">
        <f>VLOOKUP(Table1[[#This Row],[Losing Seed]],'Seed History'!$N$4:$O$19,2)</f>
        <v>6.9444444444444441E-3</v>
      </c>
      <c r="R93" s="1">
        <f>IF(Table1[[#This Row],[Round]]="PI",0,Table1[[#This Row],[Round]]-1)</f>
        <v>0</v>
      </c>
      <c r="S93">
        <f>Table1[[#This Row],[LAW]]-Table1[[#This Row],[LEW]]</f>
        <v>-6.9444444444444441E-3</v>
      </c>
    </row>
    <row r="94" spans="1:19" x14ac:dyDescent="0.25">
      <c r="A94" s="66">
        <v>31485</v>
      </c>
      <c r="B94" s="51">
        <f>YEAR(Table1[[#This Row],[Date]])</f>
        <v>1986</v>
      </c>
      <c r="C94" s="1">
        <v>1</v>
      </c>
      <c r="D94" t="s">
        <v>38</v>
      </c>
      <c r="E94" s="1">
        <v>4</v>
      </c>
      <c r="F94" t="s">
        <v>396</v>
      </c>
      <c r="G94" t="str">
        <f>VLOOKUP(Table1[[#This Row],[Winner]],Ranking!C:D,2,FALSE)</f>
        <v>MWC</v>
      </c>
      <c r="H94" s="1">
        <v>74</v>
      </c>
      <c r="I94" s="1">
        <v>13</v>
      </c>
      <c r="J94" t="s">
        <v>255</v>
      </c>
      <c r="K94" t="str">
        <f>VLOOKUP(Table1[[#This Row],[Loser]],Ranking!C:D,2,FALSE)</f>
        <v>SB</v>
      </c>
      <c r="L94" s="1">
        <v>51</v>
      </c>
      <c r="N94" s="1">
        <f>Table1[[#This Row],[Winning Score]]-Table1[[#This Row],[Losing Score]]</f>
        <v>23</v>
      </c>
      <c r="O94" s="1">
        <f>Table1[[#This Row],[Losing Seed]]-Table1[[#This Row],[Winning Seed]]</f>
        <v>9</v>
      </c>
      <c r="P94" s="1" t="str">
        <f>IF(Table1[[#This Row],[SeD]]&lt;-2,Table1[[#This Row],[Winning Seed]]&amp; " over " &amp;Table1[[#This Row],[Losing Seed]],"")</f>
        <v/>
      </c>
      <c r="Q94">
        <f>VLOOKUP(Table1[[#This Row],[Losing Seed]],'Seed History'!$N$4:$O$19,2)</f>
        <v>0.25694444444444442</v>
      </c>
      <c r="R94" s="1">
        <f>IF(Table1[[#This Row],[Round]]="PI",0,Table1[[#This Row],[Round]]-1)</f>
        <v>0</v>
      </c>
      <c r="S94">
        <f>Table1[[#This Row],[LAW]]-Table1[[#This Row],[LEW]]</f>
        <v>-0.25694444444444442</v>
      </c>
    </row>
    <row r="95" spans="1:19" x14ac:dyDescent="0.25">
      <c r="A95" s="66">
        <v>31485</v>
      </c>
      <c r="B95" s="51">
        <f>YEAR(Table1[[#This Row],[Date]])</f>
        <v>1986</v>
      </c>
      <c r="C95" s="1">
        <v>1</v>
      </c>
      <c r="D95" t="s">
        <v>38</v>
      </c>
      <c r="E95" s="1">
        <v>5</v>
      </c>
      <c r="F95" t="s">
        <v>31</v>
      </c>
      <c r="G95" t="str">
        <f>VLOOKUP(Table1[[#This Row],[Winner]],Ranking!C:D,2,FALSE)</f>
        <v>B10</v>
      </c>
      <c r="H95" s="1">
        <v>69</v>
      </c>
      <c r="I95" s="1">
        <v>12</v>
      </c>
      <c r="J95" t="s">
        <v>323</v>
      </c>
      <c r="K95" t="str">
        <f>VLOOKUP(Table1[[#This Row],[Loser]],Ranking!C:D,2,FALSE)</f>
        <v>WCC</v>
      </c>
      <c r="L95" s="1">
        <v>64</v>
      </c>
      <c r="N95" s="1">
        <f>Table1[[#This Row],[Winning Score]]-Table1[[#This Row],[Losing Score]]</f>
        <v>5</v>
      </c>
      <c r="O95" s="1">
        <f>Table1[[#This Row],[Losing Seed]]-Table1[[#This Row],[Winning Seed]]</f>
        <v>7</v>
      </c>
      <c r="P95" s="1" t="str">
        <f>IF(Table1[[#This Row],[SeD]]&lt;-2,Table1[[#This Row],[Winning Seed]]&amp; " over " &amp;Table1[[#This Row],[Losing Seed]],"")</f>
        <v/>
      </c>
      <c r="Q95">
        <f>VLOOKUP(Table1[[#This Row],[Losing Seed]],'Seed History'!$N$4:$O$19,2)</f>
        <v>0.52083333333333337</v>
      </c>
      <c r="R95" s="1">
        <f>IF(Table1[[#This Row],[Round]]="PI",0,Table1[[#This Row],[Round]]-1)</f>
        <v>0</v>
      </c>
      <c r="S95">
        <f>Table1[[#This Row],[LAW]]-Table1[[#This Row],[LEW]]</f>
        <v>-0.52083333333333337</v>
      </c>
    </row>
    <row r="96" spans="1:19" x14ac:dyDescent="0.25">
      <c r="A96" s="66">
        <v>31485</v>
      </c>
      <c r="B96" s="51">
        <f>YEAR(Table1[[#This Row],[Date]])</f>
        <v>1986</v>
      </c>
      <c r="C96" s="1">
        <v>1</v>
      </c>
      <c r="D96" t="s">
        <v>38</v>
      </c>
      <c r="E96" s="1">
        <v>8</v>
      </c>
      <c r="F96" t="s">
        <v>129</v>
      </c>
      <c r="G96" t="str">
        <f>VLOOKUP(Table1[[#This Row],[Winner]],Ranking!C:D,2,FALSE)</f>
        <v>SEC</v>
      </c>
      <c r="H96" s="1">
        <v>73</v>
      </c>
      <c r="I96" s="1">
        <v>9</v>
      </c>
      <c r="J96" t="s">
        <v>48</v>
      </c>
      <c r="K96" t="str">
        <f>VLOOKUP(Table1[[#This Row],[Loser]],Ranking!C:D,2,FALSE)</f>
        <v>P12</v>
      </c>
      <c r="L96" s="1">
        <v>63</v>
      </c>
      <c r="N96" s="1">
        <f>Table1[[#This Row],[Winning Score]]-Table1[[#This Row],[Losing Score]]</f>
        <v>10</v>
      </c>
      <c r="O96" s="1">
        <f>Table1[[#This Row],[Losing Seed]]-Table1[[#This Row],[Winning Seed]]</f>
        <v>1</v>
      </c>
      <c r="P96" s="1" t="str">
        <f>IF(Table1[[#This Row],[SeD]]&lt;-2,Table1[[#This Row],[Winning Seed]]&amp; " over " &amp;Table1[[#This Row],[Losing Seed]],"")</f>
        <v/>
      </c>
      <c r="Q96">
        <f>VLOOKUP(Table1[[#This Row],[Losing Seed]],'Seed History'!$N$4:$O$19,2)</f>
        <v>0.59027777777777779</v>
      </c>
      <c r="R96" s="1">
        <f>IF(Table1[[#This Row],[Round]]="PI",0,Table1[[#This Row],[Round]]-1)</f>
        <v>0</v>
      </c>
      <c r="S96">
        <f>Table1[[#This Row],[LAW]]-Table1[[#This Row],[LEW]]</f>
        <v>-0.59027777777777779</v>
      </c>
    </row>
    <row r="97" spans="1:19" x14ac:dyDescent="0.25">
      <c r="A97" s="66">
        <v>31486</v>
      </c>
      <c r="B97" s="51">
        <f>YEAR(Table1[[#This Row],[Date]])</f>
        <v>1986</v>
      </c>
      <c r="C97" s="1">
        <v>2</v>
      </c>
      <c r="D97" t="s">
        <v>49</v>
      </c>
      <c r="E97" s="1">
        <v>1</v>
      </c>
      <c r="F97" t="s">
        <v>64</v>
      </c>
      <c r="G97" t="str">
        <f>VLOOKUP(Table1[[#This Row],[Winner]],Ranking!C:D,2,FALSE)</f>
        <v>ACC</v>
      </c>
      <c r="H97" s="1">
        <v>89</v>
      </c>
      <c r="I97" s="1">
        <v>8</v>
      </c>
      <c r="J97" t="s">
        <v>317</v>
      </c>
      <c r="K97" t="str">
        <f>VLOOKUP(Table1[[#This Row],[Loser]],Ranking!C:D,2,FALSE)</f>
        <v>CUSA</v>
      </c>
      <c r="L97" s="1">
        <v>61</v>
      </c>
      <c r="N97" s="1">
        <f>Table1[[#This Row],[Winning Score]]-Table1[[#This Row],[Losing Score]]</f>
        <v>28</v>
      </c>
      <c r="O97" s="1">
        <f>Table1[[#This Row],[Losing Seed]]-Table1[[#This Row],[Winning Seed]]</f>
        <v>7</v>
      </c>
      <c r="P97" s="1" t="str">
        <f>IF(Table1[[#This Row],[SeD]]&lt;-2,Table1[[#This Row],[Winning Seed]]&amp; " over " &amp;Table1[[#This Row],[Losing Seed]],"")</f>
        <v/>
      </c>
      <c r="Q97">
        <f>VLOOKUP(Table1[[#This Row],[Losing Seed]],'Seed History'!$N$4:$O$19,2)</f>
        <v>0.70833333333333337</v>
      </c>
      <c r="R97" s="1">
        <f>IF(Table1[[#This Row],[Round]]="PI",0,Table1[[#This Row],[Round]]-1)</f>
        <v>1</v>
      </c>
      <c r="S97">
        <f>Table1[[#This Row],[LAW]]-Table1[[#This Row],[LEW]]</f>
        <v>0.29166666666666663</v>
      </c>
    </row>
    <row r="98" spans="1:19" x14ac:dyDescent="0.25">
      <c r="A98" s="66">
        <v>31486</v>
      </c>
      <c r="B98" s="51">
        <f>YEAR(Table1[[#This Row],[Date]])</f>
        <v>1986</v>
      </c>
      <c r="C98" s="1">
        <v>2</v>
      </c>
      <c r="D98" t="s">
        <v>439</v>
      </c>
      <c r="E98" s="1">
        <v>1</v>
      </c>
      <c r="F98" t="s">
        <v>37</v>
      </c>
      <c r="G98" t="str">
        <f>VLOOKUP(Table1[[#This Row],[Winner]],Ranking!C:D,2,FALSE)</f>
        <v>B12</v>
      </c>
      <c r="H98" s="1">
        <v>65</v>
      </c>
      <c r="I98" s="1">
        <v>9</v>
      </c>
      <c r="J98" t="s">
        <v>373</v>
      </c>
      <c r="K98" t="str">
        <f>VLOOKUP(Table1[[#This Row],[Loser]],Ranking!C:D,2,FALSE)</f>
        <v>Amer</v>
      </c>
      <c r="L98" s="1">
        <v>43</v>
      </c>
      <c r="N98" s="1">
        <f>Table1[[#This Row],[Winning Score]]-Table1[[#This Row],[Losing Score]]</f>
        <v>22</v>
      </c>
      <c r="O98" s="1">
        <f>Table1[[#This Row],[Losing Seed]]-Table1[[#This Row],[Winning Seed]]</f>
        <v>8</v>
      </c>
      <c r="P98" s="1" t="str">
        <f>IF(Table1[[#This Row],[SeD]]&lt;-2,Table1[[#This Row],[Winning Seed]]&amp; " over " &amp;Table1[[#This Row],[Losing Seed]],"")</f>
        <v/>
      </c>
      <c r="Q98">
        <f>VLOOKUP(Table1[[#This Row],[Losing Seed]],'Seed History'!$N$4:$O$19,2)</f>
        <v>0.59027777777777779</v>
      </c>
      <c r="R98" s="1">
        <f>IF(Table1[[#This Row],[Round]]="PI",0,Table1[[#This Row],[Round]]-1)</f>
        <v>1</v>
      </c>
      <c r="S98">
        <f>Table1[[#This Row],[LAW]]-Table1[[#This Row],[LEW]]</f>
        <v>0.40972222222222221</v>
      </c>
    </row>
    <row r="99" spans="1:19" x14ac:dyDescent="0.25">
      <c r="A99" s="66">
        <v>31486</v>
      </c>
      <c r="B99" s="51">
        <f>YEAR(Table1[[#This Row],[Date]])</f>
        <v>1986</v>
      </c>
      <c r="C99" s="1">
        <v>2</v>
      </c>
      <c r="D99" t="s">
        <v>461</v>
      </c>
      <c r="E99" s="1">
        <v>2</v>
      </c>
      <c r="F99" t="s">
        <v>216</v>
      </c>
      <c r="G99" t="str">
        <f>VLOOKUP(Table1[[#This Row],[Winner]],Ranking!C:D,2,FALSE)</f>
        <v>ACC</v>
      </c>
      <c r="H99" s="1">
        <v>66</v>
      </c>
      <c r="I99" s="1">
        <v>10</v>
      </c>
      <c r="J99" t="s">
        <v>50</v>
      </c>
      <c r="K99" t="str">
        <f>VLOOKUP(Table1[[#This Row],[Loser]],Ranking!C:D,2,FALSE)</f>
        <v>BE</v>
      </c>
      <c r="L99" s="1">
        <v>61</v>
      </c>
      <c r="N99" s="1">
        <f>Table1[[#This Row],[Winning Score]]-Table1[[#This Row],[Losing Score]]</f>
        <v>5</v>
      </c>
      <c r="O99" s="1">
        <f>Table1[[#This Row],[Losing Seed]]-Table1[[#This Row],[Winning Seed]]</f>
        <v>8</v>
      </c>
      <c r="P99" s="1" t="str">
        <f>IF(Table1[[#This Row],[SeD]]&lt;-2,Table1[[#This Row],[Winning Seed]]&amp; " over " &amp;Table1[[#This Row],[Losing Seed]],"")</f>
        <v/>
      </c>
      <c r="Q99">
        <f>VLOOKUP(Table1[[#This Row],[Losing Seed]],'Seed History'!$N$4:$O$19,2)</f>
        <v>0.61805555555555558</v>
      </c>
      <c r="R99" s="1">
        <f>IF(Table1[[#This Row],[Round]]="PI",0,Table1[[#This Row],[Round]]-1)</f>
        <v>1</v>
      </c>
      <c r="S99">
        <f>Table1[[#This Row],[LAW]]-Table1[[#This Row],[LEW]]</f>
        <v>0.38194444444444442</v>
      </c>
    </row>
    <row r="100" spans="1:19" x14ac:dyDescent="0.25">
      <c r="A100" s="66">
        <v>31486</v>
      </c>
      <c r="B100" s="51">
        <f>YEAR(Table1[[#This Row],[Date]])</f>
        <v>1986</v>
      </c>
      <c r="C100" s="1">
        <v>2</v>
      </c>
      <c r="D100" t="s">
        <v>38</v>
      </c>
      <c r="E100" s="1">
        <v>2</v>
      </c>
      <c r="F100" t="s">
        <v>54</v>
      </c>
      <c r="G100" t="str">
        <f>VLOOKUP(Table1[[#This Row],[Winner]],Ranking!C:D,2,FALSE)</f>
        <v>ACC</v>
      </c>
      <c r="H100" s="1">
        <v>82</v>
      </c>
      <c r="I100" s="1">
        <v>7</v>
      </c>
      <c r="J100" t="s">
        <v>142</v>
      </c>
      <c r="K100" t="str">
        <f>VLOOKUP(Table1[[#This Row],[Loser]],Ranking!C:D,2,FALSE)</f>
        <v>MVC</v>
      </c>
      <c r="L100" s="1">
        <v>68</v>
      </c>
      <c r="N100" s="1">
        <f>Table1[[#This Row],[Winning Score]]-Table1[[#This Row],[Losing Score]]</f>
        <v>14</v>
      </c>
      <c r="O100" s="1">
        <f>Table1[[#This Row],[Losing Seed]]-Table1[[#This Row],[Winning Seed]]</f>
        <v>5</v>
      </c>
      <c r="P100" s="1" t="str">
        <f>IF(Table1[[#This Row],[SeD]]&lt;-2,Table1[[#This Row],[Winning Seed]]&amp; " over " &amp;Table1[[#This Row],[Losing Seed]],"")</f>
        <v/>
      </c>
      <c r="Q100">
        <f>VLOOKUP(Table1[[#This Row],[Losing Seed]],'Seed History'!$N$4:$O$19,2)</f>
        <v>0.90277777777777779</v>
      </c>
      <c r="R100" s="1">
        <f>IF(Table1[[#This Row],[Round]]="PI",0,Table1[[#This Row],[Round]]-1)</f>
        <v>1</v>
      </c>
      <c r="S100">
        <f>Table1[[#This Row],[LAW]]-Table1[[#This Row],[LEW]]</f>
        <v>9.722222222222221E-2</v>
      </c>
    </row>
    <row r="101" spans="1:19" x14ac:dyDescent="0.25">
      <c r="A101" s="66">
        <v>31486</v>
      </c>
      <c r="B101" s="51">
        <f>YEAR(Table1[[#This Row],[Date]])</f>
        <v>1986</v>
      </c>
      <c r="C101" s="1">
        <v>2</v>
      </c>
      <c r="D101" t="s">
        <v>38</v>
      </c>
      <c r="E101" s="1">
        <v>3</v>
      </c>
      <c r="F101" t="s">
        <v>298</v>
      </c>
      <c r="G101" t="str">
        <f>VLOOKUP(Table1[[#This Row],[Winner]],Ranking!C:D,2,FALSE)</f>
        <v>ACC</v>
      </c>
      <c r="H101" s="1">
        <v>77</v>
      </c>
      <c r="I101" s="1">
        <v>6</v>
      </c>
      <c r="J101" t="s">
        <v>68</v>
      </c>
      <c r="K101" t="str">
        <f>VLOOKUP(Table1[[#This Row],[Loser]],Ranking!C:D,2,FALSE)</f>
        <v>CUSA</v>
      </c>
      <c r="L101" s="1">
        <v>59</v>
      </c>
      <c r="N101" s="1">
        <f>Table1[[#This Row],[Winning Score]]-Table1[[#This Row],[Losing Score]]</f>
        <v>18</v>
      </c>
      <c r="O101" s="1">
        <f>Table1[[#This Row],[Losing Seed]]-Table1[[#This Row],[Winning Seed]]</f>
        <v>3</v>
      </c>
      <c r="P101" s="1" t="str">
        <f>IF(Table1[[#This Row],[SeD]]&lt;-2,Table1[[#This Row],[Winning Seed]]&amp; " over " &amp;Table1[[#This Row],[Losing Seed]],"")</f>
        <v/>
      </c>
      <c r="Q101">
        <f>VLOOKUP(Table1[[#This Row],[Losing Seed]],'Seed History'!$N$4:$O$19,2)</f>
        <v>1.0625</v>
      </c>
      <c r="R101" s="1">
        <f>IF(Table1[[#This Row],[Round]]="PI",0,Table1[[#This Row],[Round]]-1)</f>
        <v>1</v>
      </c>
      <c r="S101">
        <f>Table1[[#This Row],[LAW]]-Table1[[#This Row],[LEW]]</f>
        <v>-6.25E-2</v>
      </c>
    </row>
    <row r="102" spans="1:19" x14ac:dyDescent="0.25">
      <c r="A102" s="66">
        <v>31486</v>
      </c>
      <c r="B102" s="51">
        <f>YEAR(Table1[[#This Row],[Date]])</f>
        <v>1986</v>
      </c>
      <c r="C102" s="1">
        <v>2</v>
      </c>
      <c r="D102" t="s">
        <v>49</v>
      </c>
      <c r="E102" s="1">
        <v>12</v>
      </c>
      <c r="F102" t="s">
        <v>186</v>
      </c>
      <c r="G102" t="str">
        <f>VLOOKUP(Table1[[#This Row],[Winner]],Ranking!C:D,2,FALSE)</f>
        <v>BE</v>
      </c>
      <c r="H102" s="1">
        <v>74</v>
      </c>
      <c r="I102" s="1">
        <v>4</v>
      </c>
      <c r="J102" t="s">
        <v>58</v>
      </c>
      <c r="K102" t="str">
        <f>VLOOKUP(Table1[[#This Row],[Loser]],Ranking!C:D,2,FALSE)</f>
        <v>B12</v>
      </c>
      <c r="L102" s="1">
        <v>69</v>
      </c>
      <c r="N102" s="1">
        <f>Table1[[#This Row],[Winning Score]]-Table1[[#This Row],[Losing Score]]</f>
        <v>5</v>
      </c>
      <c r="O102" s="1">
        <f>Table1[[#This Row],[Losing Seed]]-Table1[[#This Row],[Winning Seed]]</f>
        <v>-8</v>
      </c>
      <c r="P102" s="1" t="str">
        <f>IF(Table1[[#This Row],[SeD]]&lt;-2,Table1[[#This Row],[Winning Seed]]&amp; " over " &amp;Table1[[#This Row],[Losing Seed]],"")</f>
        <v>12 over 4</v>
      </c>
      <c r="Q102">
        <f>VLOOKUP(Table1[[#This Row],[Losing Seed]],'Seed History'!$N$4:$O$19,2)</f>
        <v>1.5208333333333333</v>
      </c>
      <c r="R102" s="1">
        <f>IF(Table1[[#This Row],[Round]]="PI",0,Table1[[#This Row],[Round]]-1)</f>
        <v>1</v>
      </c>
      <c r="S102">
        <f>Table1[[#This Row],[LAW]]-Table1[[#This Row],[LEW]]</f>
        <v>-0.52083333333333326</v>
      </c>
    </row>
    <row r="103" spans="1:19" x14ac:dyDescent="0.25">
      <c r="A103" s="66">
        <v>31486</v>
      </c>
      <c r="B103" s="51">
        <f>YEAR(Table1[[#This Row],[Date]])</f>
        <v>1986</v>
      </c>
      <c r="C103" s="1">
        <v>2</v>
      </c>
      <c r="D103" t="s">
        <v>461</v>
      </c>
      <c r="E103" s="1">
        <v>11</v>
      </c>
      <c r="F103" t="s">
        <v>52</v>
      </c>
      <c r="G103" t="str">
        <f>VLOOKUP(Table1[[#This Row],[Winner]],Ranking!C:D,2,FALSE)</f>
        <v>SEC</v>
      </c>
      <c r="H103" s="1">
        <v>83</v>
      </c>
      <c r="I103" s="1">
        <v>3</v>
      </c>
      <c r="J103" t="s">
        <v>267</v>
      </c>
      <c r="K103" t="str">
        <f>VLOOKUP(Table1[[#This Row],[Loser]],Ranking!C:D,2,FALSE)</f>
        <v>Amer</v>
      </c>
      <c r="L103" s="1">
        <v>81</v>
      </c>
      <c r="N103" s="1">
        <f>Table1[[#This Row],[Winning Score]]-Table1[[#This Row],[Losing Score]]</f>
        <v>2</v>
      </c>
      <c r="O103" s="1">
        <f>Table1[[#This Row],[Losing Seed]]-Table1[[#This Row],[Winning Seed]]</f>
        <v>-8</v>
      </c>
      <c r="P103" s="1" t="str">
        <f>IF(Table1[[#This Row],[SeD]]&lt;-2,Table1[[#This Row],[Winning Seed]]&amp; " over " &amp;Table1[[#This Row],[Losing Seed]],"")</f>
        <v>11 over 3</v>
      </c>
      <c r="Q103">
        <f>VLOOKUP(Table1[[#This Row],[Losing Seed]],'Seed History'!$N$4:$O$19,2)</f>
        <v>1.8472222222222223</v>
      </c>
      <c r="R103" s="1">
        <f>IF(Table1[[#This Row],[Round]]="PI",0,Table1[[#This Row],[Round]]-1)</f>
        <v>1</v>
      </c>
      <c r="S103">
        <f>Table1[[#This Row],[LAW]]-Table1[[#This Row],[LEW]]</f>
        <v>-0.84722222222222232</v>
      </c>
    </row>
    <row r="104" spans="1:19" x14ac:dyDescent="0.25">
      <c r="A104" s="66">
        <v>31486</v>
      </c>
      <c r="B104" s="51">
        <f>YEAR(Table1[[#This Row],[Date]])</f>
        <v>1986</v>
      </c>
      <c r="C104" s="1">
        <v>2</v>
      </c>
      <c r="D104" t="s">
        <v>439</v>
      </c>
      <c r="E104" s="1">
        <v>5</v>
      </c>
      <c r="F104" t="s">
        <v>271</v>
      </c>
      <c r="G104" t="str">
        <f>VLOOKUP(Table1[[#This Row],[Winner]],Ranking!C:D,2,FALSE)</f>
        <v>B10</v>
      </c>
      <c r="H104" s="1">
        <v>80</v>
      </c>
      <c r="I104" s="1">
        <v>4</v>
      </c>
      <c r="J104" t="s">
        <v>66</v>
      </c>
      <c r="K104" t="str">
        <f>VLOOKUP(Table1[[#This Row],[Loser]],Ranking!C:D,2,FALSE)</f>
        <v>BE</v>
      </c>
      <c r="L104" s="1">
        <v>68</v>
      </c>
      <c r="N104" s="1">
        <f>Table1[[#This Row],[Winning Score]]-Table1[[#This Row],[Losing Score]]</f>
        <v>12</v>
      </c>
      <c r="O104" s="1">
        <f>Table1[[#This Row],[Losing Seed]]-Table1[[#This Row],[Winning Seed]]</f>
        <v>-1</v>
      </c>
      <c r="P104" s="1" t="str">
        <f>IF(Table1[[#This Row],[SeD]]&lt;-2,Table1[[#This Row],[Winning Seed]]&amp; " over " &amp;Table1[[#This Row],[Losing Seed]],"")</f>
        <v/>
      </c>
      <c r="Q104">
        <f>VLOOKUP(Table1[[#This Row],[Losing Seed]],'Seed History'!$N$4:$O$19,2)</f>
        <v>1.5208333333333333</v>
      </c>
      <c r="R104" s="1">
        <f>IF(Table1[[#This Row],[Round]]="PI",0,Table1[[#This Row],[Round]]-1)</f>
        <v>1</v>
      </c>
      <c r="S104">
        <f>Table1[[#This Row],[LAW]]-Table1[[#This Row],[LEW]]</f>
        <v>-0.52083333333333326</v>
      </c>
    </row>
    <row r="105" spans="1:19" x14ac:dyDescent="0.25">
      <c r="A105" s="66">
        <v>31487</v>
      </c>
      <c r="B105" s="51">
        <f>YEAR(Table1[[#This Row],[Date]])</f>
        <v>1986</v>
      </c>
      <c r="C105" s="1">
        <v>2</v>
      </c>
      <c r="D105" t="s">
        <v>439</v>
      </c>
      <c r="E105" s="1">
        <v>6</v>
      </c>
      <c r="F105" t="s">
        <v>301</v>
      </c>
      <c r="G105" t="e">
        <f>VLOOKUP(Table1[[#This Row],[Winner]],Ranking!C:D,2,FALSE)</f>
        <v>#N/A</v>
      </c>
      <c r="H105" s="1">
        <v>80</v>
      </c>
      <c r="I105" s="1">
        <v>14</v>
      </c>
      <c r="J105" t="s">
        <v>472</v>
      </c>
      <c r="K105" t="str">
        <f>VLOOKUP(Table1[[#This Row],[Loser]],Ranking!C:D,2,FALSE)</f>
        <v>SB</v>
      </c>
      <c r="L105" s="1">
        <v>66</v>
      </c>
      <c r="M105" s="1" t="s">
        <v>463</v>
      </c>
      <c r="N105" s="1">
        <f>Table1[[#This Row],[Winning Score]]-Table1[[#This Row],[Losing Score]]</f>
        <v>14</v>
      </c>
      <c r="O105" s="1">
        <f>Table1[[#This Row],[Losing Seed]]-Table1[[#This Row],[Winning Seed]]</f>
        <v>8</v>
      </c>
      <c r="P105" s="1" t="str">
        <f>IF(Table1[[#This Row],[SeD]]&lt;-2,Table1[[#This Row],[Winning Seed]]&amp; " over " &amp;Table1[[#This Row],[Losing Seed]],"")</f>
        <v/>
      </c>
      <c r="Q105">
        <f>VLOOKUP(Table1[[#This Row],[Losing Seed]],'Seed History'!$N$4:$O$19,2)</f>
        <v>0.16666666666666666</v>
      </c>
      <c r="R105" s="1">
        <f>IF(Table1[[#This Row],[Round]]="PI",0,Table1[[#This Row],[Round]]-1)</f>
        <v>1</v>
      </c>
      <c r="S105">
        <f>Table1[[#This Row],[LAW]]-Table1[[#This Row],[LEW]]</f>
        <v>0.83333333333333337</v>
      </c>
    </row>
    <row r="106" spans="1:19" x14ac:dyDescent="0.25">
      <c r="A106" s="66">
        <v>31487</v>
      </c>
      <c r="B106" s="51">
        <f>YEAR(Table1[[#This Row],[Date]])</f>
        <v>1986</v>
      </c>
      <c r="C106" s="1">
        <v>2</v>
      </c>
      <c r="D106" t="s">
        <v>461</v>
      </c>
      <c r="E106" s="1">
        <v>1</v>
      </c>
      <c r="F106" t="s">
        <v>26</v>
      </c>
      <c r="G106" t="str">
        <f>VLOOKUP(Table1[[#This Row],[Winner]],Ranking!C:D,2,FALSE)</f>
        <v>SEC</v>
      </c>
      <c r="H106" s="1">
        <v>71</v>
      </c>
      <c r="I106" s="1">
        <v>8</v>
      </c>
      <c r="J106" t="s">
        <v>415</v>
      </c>
      <c r="K106" t="str">
        <f>VLOOKUP(Table1[[#This Row],[Loser]],Ranking!C:D,2,FALSE)</f>
        <v>CUSA</v>
      </c>
      <c r="L106" s="1">
        <v>64</v>
      </c>
      <c r="N106" s="1">
        <f>Table1[[#This Row],[Winning Score]]-Table1[[#This Row],[Losing Score]]</f>
        <v>7</v>
      </c>
      <c r="O106" s="1">
        <f>Table1[[#This Row],[Losing Seed]]-Table1[[#This Row],[Winning Seed]]</f>
        <v>7</v>
      </c>
      <c r="P106" s="1" t="str">
        <f>IF(Table1[[#This Row],[SeD]]&lt;-2,Table1[[#This Row],[Winning Seed]]&amp; " over " &amp;Table1[[#This Row],[Losing Seed]],"")</f>
        <v/>
      </c>
      <c r="Q106">
        <f>VLOOKUP(Table1[[#This Row],[Losing Seed]],'Seed History'!$N$4:$O$19,2)</f>
        <v>0.70833333333333337</v>
      </c>
      <c r="R106" s="1">
        <f>IF(Table1[[#This Row],[Round]]="PI",0,Table1[[#This Row],[Round]]-1)</f>
        <v>1</v>
      </c>
      <c r="S106">
        <f>Table1[[#This Row],[LAW]]-Table1[[#This Row],[LEW]]</f>
        <v>0.29166666666666663</v>
      </c>
    </row>
    <row r="107" spans="1:19" x14ac:dyDescent="0.25">
      <c r="A107" s="66">
        <v>31487</v>
      </c>
      <c r="B107" s="51">
        <f>YEAR(Table1[[#This Row],[Date]])</f>
        <v>1986</v>
      </c>
      <c r="C107" s="1">
        <v>2</v>
      </c>
      <c r="D107" t="s">
        <v>38</v>
      </c>
      <c r="E107" s="1">
        <v>4</v>
      </c>
      <c r="F107" t="s">
        <v>396</v>
      </c>
      <c r="G107" t="str">
        <f>VLOOKUP(Table1[[#This Row],[Winner]],Ranking!C:D,2,FALSE)</f>
        <v>MWC</v>
      </c>
      <c r="H107" s="1">
        <v>70</v>
      </c>
      <c r="I107" s="1">
        <v>5</v>
      </c>
      <c r="J107" t="s">
        <v>31</v>
      </c>
      <c r="K107" t="str">
        <f>VLOOKUP(Table1[[#This Row],[Loser]],Ranking!C:D,2,FALSE)</f>
        <v>B10</v>
      </c>
      <c r="L107" s="1">
        <v>64</v>
      </c>
      <c r="N107" s="1">
        <f>Table1[[#This Row],[Winning Score]]-Table1[[#This Row],[Losing Score]]</f>
        <v>6</v>
      </c>
      <c r="O107" s="1">
        <f>Table1[[#This Row],[Losing Seed]]-Table1[[#This Row],[Winning Seed]]</f>
        <v>1</v>
      </c>
      <c r="P107" s="1" t="str">
        <f>IF(Table1[[#This Row],[SeD]]&lt;-2,Table1[[#This Row],[Winning Seed]]&amp; " over " &amp;Table1[[#This Row],[Losing Seed]],"")</f>
        <v/>
      </c>
      <c r="Q107">
        <f>VLOOKUP(Table1[[#This Row],[Losing Seed]],'Seed History'!$N$4:$O$19,2)</f>
        <v>1.1180555555555556</v>
      </c>
      <c r="R107" s="1">
        <f>IF(Table1[[#This Row],[Round]]="PI",0,Table1[[#This Row],[Round]]-1)</f>
        <v>1</v>
      </c>
      <c r="S107">
        <f>Table1[[#This Row],[LAW]]-Table1[[#This Row],[LEW]]</f>
        <v>-0.11805555555555558</v>
      </c>
    </row>
    <row r="108" spans="1:19" x14ac:dyDescent="0.25">
      <c r="A108" s="66">
        <v>31487</v>
      </c>
      <c r="B108" s="51">
        <f>YEAR(Table1[[#This Row],[Date]])</f>
        <v>1986</v>
      </c>
      <c r="C108" s="1">
        <v>2</v>
      </c>
      <c r="D108" t="s">
        <v>49</v>
      </c>
      <c r="E108" s="1">
        <v>14</v>
      </c>
      <c r="F108" t="s">
        <v>171</v>
      </c>
      <c r="G108" t="str">
        <f>VLOOKUP(Table1[[#This Row],[Winner]],Ranking!C:D,2,FALSE)</f>
        <v>Horz</v>
      </c>
      <c r="H108" s="1">
        <v>75</v>
      </c>
      <c r="I108" s="1">
        <v>6</v>
      </c>
      <c r="J108" t="s">
        <v>337</v>
      </c>
      <c r="K108" t="str">
        <f>VLOOKUP(Table1[[#This Row],[Loser]],Ranking!C:D,2,FALSE)</f>
        <v>A10</v>
      </c>
      <c r="L108" s="1">
        <v>69</v>
      </c>
      <c r="N108" s="1">
        <f>Table1[[#This Row],[Winning Score]]-Table1[[#This Row],[Losing Score]]</f>
        <v>6</v>
      </c>
      <c r="O108" s="1">
        <f>Table1[[#This Row],[Losing Seed]]-Table1[[#This Row],[Winning Seed]]</f>
        <v>-8</v>
      </c>
      <c r="P108" s="1" t="str">
        <f>IF(Table1[[#This Row],[SeD]]&lt;-2,Table1[[#This Row],[Winning Seed]]&amp; " over " &amp;Table1[[#This Row],[Losing Seed]],"")</f>
        <v>14 over 6</v>
      </c>
      <c r="Q108">
        <f>VLOOKUP(Table1[[#This Row],[Losing Seed]],'Seed History'!$N$4:$O$19,2)</f>
        <v>1.0625</v>
      </c>
      <c r="R108" s="1">
        <f>IF(Table1[[#This Row],[Round]]="PI",0,Table1[[#This Row],[Round]]-1)</f>
        <v>1</v>
      </c>
      <c r="S108">
        <f>Table1[[#This Row],[LAW]]-Table1[[#This Row],[LEW]]</f>
        <v>-6.25E-2</v>
      </c>
    </row>
    <row r="109" spans="1:19" x14ac:dyDescent="0.25">
      <c r="A109" s="66">
        <v>31487</v>
      </c>
      <c r="B109" s="51">
        <f>YEAR(Table1[[#This Row],[Date]])</f>
        <v>1986</v>
      </c>
      <c r="C109" s="1">
        <v>2</v>
      </c>
      <c r="D109" t="s">
        <v>38</v>
      </c>
      <c r="E109" s="1">
        <v>8</v>
      </c>
      <c r="F109" t="s">
        <v>129</v>
      </c>
      <c r="G109" t="str">
        <f>VLOOKUP(Table1[[#This Row],[Winner]],Ranking!C:D,2,FALSE)</f>
        <v>SEC</v>
      </c>
      <c r="H109" s="1">
        <v>81</v>
      </c>
      <c r="I109" s="1">
        <v>1</v>
      </c>
      <c r="J109" t="s">
        <v>368</v>
      </c>
      <c r="K109" t="str">
        <f>VLOOKUP(Table1[[#This Row],[Loser]],Ranking!C:D,2,FALSE)</f>
        <v>BE</v>
      </c>
      <c r="L109" s="1">
        <v>65</v>
      </c>
      <c r="N109" s="1">
        <f>Table1[[#This Row],[Winning Score]]-Table1[[#This Row],[Losing Score]]</f>
        <v>16</v>
      </c>
      <c r="O109" s="1">
        <f>Table1[[#This Row],[Losing Seed]]-Table1[[#This Row],[Winning Seed]]</f>
        <v>-7</v>
      </c>
      <c r="P109" s="1" t="str">
        <f>IF(Table1[[#This Row],[SeD]]&lt;-2,Table1[[#This Row],[Winning Seed]]&amp; " over " &amp;Table1[[#This Row],[Losing Seed]],"")</f>
        <v>8 over 1</v>
      </c>
      <c r="Q109">
        <f>VLOOKUP(Table1[[#This Row],[Losing Seed]],'Seed History'!$N$4:$O$19,2)</f>
        <v>3.3263888888888888</v>
      </c>
      <c r="R109" s="1">
        <f>IF(Table1[[#This Row],[Round]]="PI",0,Table1[[#This Row],[Round]]-1)</f>
        <v>1</v>
      </c>
      <c r="S109">
        <f>Table1[[#This Row],[LAW]]-Table1[[#This Row],[LEW]]</f>
        <v>-2.3263888888888888</v>
      </c>
    </row>
    <row r="110" spans="1:19" x14ac:dyDescent="0.25">
      <c r="A110" s="66">
        <v>31487</v>
      </c>
      <c r="B110" s="51">
        <f>YEAR(Table1[[#This Row],[Date]])</f>
        <v>1986</v>
      </c>
      <c r="C110" s="1">
        <v>2</v>
      </c>
      <c r="D110" t="s">
        <v>49</v>
      </c>
      <c r="E110" s="1">
        <v>7</v>
      </c>
      <c r="F110" t="s">
        <v>286</v>
      </c>
      <c r="G110" t="str">
        <f>VLOOKUP(Table1[[#This Row],[Winner]],Ranking!C:D,2,FALSE)</f>
        <v>Pat</v>
      </c>
      <c r="H110" s="1">
        <v>97</v>
      </c>
      <c r="I110" s="1">
        <v>2</v>
      </c>
      <c r="J110" t="s">
        <v>86</v>
      </c>
      <c r="K110" t="str">
        <f>VLOOKUP(Table1[[#This Row],[Loser]],Ranking!C:D,2,FALSE)</f>
        <v>ACC</v>
      </c>
      <c r="L110" s="1">
        <v>85</v>
      </c>
      <c r="N110" s="1">
        <f>Table1[[#This Row],[Winning Score]]-Table1[[#This Row],[Losing Score]]</f>
        <v>12</v>
      </c>
      <c r="O110" s="1">
        <f>Table1[[#This Row],[Losing Seed]]-Table1[[#This Row],[Winning Seed]]</f>
        <v>-5</v>
      </c>
      <c r="P110" s="1" t="str">
        <f>IF(Table1[[#This Row],[SeD]]&lt;-2,Table1[[#This Row],[Winning Seed]]&amp; " over " &amp;Table1[[#This Row],[Losing Seed]],"")</f>
        <v>7 over 2</v>
      </c>
      <c r="Q110">
        <f>VLOOKUP(Table1[[#This Row],[Losing Seed]],'Seed History'!$N$4:$O$19,2)</f>
        <v>2.3472222222222223</v>
      </c>
      <c r="R110" s="1">
        <f>IF(Table1[[#This Row],[Round]]="PI",0,Table1[[#This Row],[Round]]-1)</f>
        <v>1</v>
      </c>
      <c r="S110">
        <f>Table1[[#This Row],[LAW]]-Table1[[#This Row],[LEW]]</f>
        <v>-1.3472222222222223</v>
      </c>
    </row>
    <row r="111" spans="1:19" x14ac:dyDescent="0.25">
      <c r="A111" s="66">
        <v>31487</v>
      </c>
      <c r="B111" s="51">
        <f>YEAR(Table1[[#This Row],[Date]])</f>
        <v>1986</v>
      </c>
      <c r="C111" s="1">
        <v>2</v>
      </c>
      <c r="D111" t="s">
        <v>439</v>
      </c>
      <c r="E111" s="1">
        <v>7</v>
      </c>
      <c r="F111" t="s">
        <v>237</v>
      </c>
      <c r="G111" t="str">
        <f>VLOOKUP(Table1[[#This Row],[Winner]],Ranking!C:D,2,FALSE)</f>
        <v>B12</v>
      </c>
      <c r="H111" s="1">
        <v>72</v>
      </c>
      <c r="I111" s="1">
        <v>2</v>
      </c>
      <c r="J111" t="s">
        <v>82</v>
      </c>
      <c r="K111" t="str">
        <f>VLOOKUP(Table1[[#This Row],[Loser]],Ranking!C:D,2,FALSE)</f>
        <v>B10</v>
      </c>
      <c r="L111" s="1">
        <v>69</v>
      </c>
      <c r="N111" s="1">
        <f>Table1[[#This Row],[Winning Score]]-Table1[[#This Row],[Losing Score]]</f>
        <v>3</v>
      </c>
      <c r="O111" s="1">
        <f>Table1[[#This Row],[Losing Seed]]-Table1[[#This Row],[Winning Seed]]</f>
        <v>-5</v>
      </c>
      <c r="P111" s="1" t="str">
        <f>IF(Table1[[#This Row],[SeD]]&lt;-2,Table1[[#This Row],[Winning Seed]]&amp; " over " &amp;Table1[[#This Row],[Losing Seed]],"")</f>
        <v>7 over 2</v>
      </c>
      <c r="Q111">
        <f>VLOOKUP(Table1[[#This Row],[Losing Seed]],'Seed History'!$N$4:$O$19,2)</f>
        <v>2.3472222222222223</v>
      </c>
      <c r="R111" s="1">
        <f>IF(Table1[[#This Row],[Round]]="PI",0,Table1[[#This Row],[Round]]-1)</f>
        <v>1</v>
      </c>
      <c r="S111">
        <f>Table1[[#This Row],[LAW]]-Table1[[#This Row],[LEW]]</f>
        <v>-1.3472222222222223</v>
      </c>
    </row>
    <row r="112" spans="1:19" x14ac:dyDescent="0.25">
      <c r="A112" s="66">
        <v>31487</v>
      </c>
      <c r="B112" s="51">
        <f>YEAR(Table1[[#This Row],[Date]])</f>
        <v>1986</v>
      </c>
      <c r="C112" s="1">
        <v>2</v>
      </c>
      <c r="D112" t="s">
        <v>461</v>
      </c>
      <c r="E112" s="1">
        <v>5</v>
      </c>
      <c r="F112" t="s">
        <v>113</v>
      </c>
      <c r="G112" t="str">
        <f>VLOOKUP(Table1[[#This Row],[Winner]],Ranking!C:D,2,FALSE)</f>
        <v>SEC</v>
      </c>
      <c r="H112" s="1">
        <v>58</v>
      </c>
      <c r="I112" s="1">
        <v>4</v>
      </c>
      <c r="J112" t="s">
        <v>230</v>
      </c>
      <c r="K112" t="str">
        <f>VLOOKUP(Table1[[#This Row],[Loser]],Ranking!C:D,2,FALSE)</f>
        <v>B10</v>
      </c>
      <c r="L112" s="1">
        <v>56</v>
      </c>
      <c r="N112" s="1">
        <f>Table1[[#This Row],[Winning Score]]-Table1[[#This Row],[Losing Score]]</f>
        <v>2</v>
      </c>
      <c r="O112" s="1">
        <f>Table1[[#This Row],[Losing Seed]]-Table1[[#This Row],[Winning Seed]]</f>
        <v>-1</v>
      </c>
      <c r="P112" s="1" t="str">
        <f>IF(Table1[[#This Row],[SeD]]&lt;-2,Table1[[#This Row],[Winning Seed]]&amp; " over " &amp;Table1[[#This Row],[Losing Seed]],"")</f>
        <v/>
      </c>
      <c r="Q112">
        <f>VLOOKUP(Table1[[#This Row],[Losing Seed]],'Seed History'!$N$4:$O$19,2)</f>
        <v>1.5208333333333333</v>
      </c>
      <c r="R112" s="1">
        <f>IF(Table1[[#This Row],[Round]]="PI",0,Table1[[#This Row],[Round]]-1)</f>
        <v>1</v>
      </c>
      <c r="S112">
        <f>Table1[[#This Row],[LAW]]-Table1[[#This Row],[LEW]]</f>
        <v>-0.52083333333333326</v>
      </c>
    </row>
    <row r="113" spans="1:19" x14ac:dyDescent="0.25">
      <c r="A113" s="66">
        <v>31491</v>
      </c>
      <c r="B113" s="51">
        <f>YEAR(Table1[[#This Row],[Date]])</f>
        <v>1986</v>
      </c>
      <c r="C113" s="1">
        <v>3</v>
      </c>
      <c r="D113" t="s">
        <v>461</v>
      </c>
      <c r="E113" s="1">
        <v>1</v>
      </c>
      <c r="F113" t="s">
        <v>26</v>
      </c>
      <c r="G113" t="str">
        <f>VLOOKUP(Table1[[#This Row],[Winner]],Ranking!C:D,2,FALSE)</f>
        <v>SEC</v>
      </c>
      <c r="H113" s="1">
        <v>68</v>
      </c>
      <c r="I113" s="1">
        <v>5</v>
      </c>
      <c r="J113" t="s">
        <v>113</v>
      </c>
      <c r="K113" t="str">
        <f>VLOOKUP(Table1[[#This Row],[Loser]],Ranking!C:D,2,FALSE)</f>
        <v>SEC</v>
      </c>
      <c r="L113" s="1">
        <v>63</v>
      </c>
      <c r="N113" s="1">
        <f>Table1[[#This Row],[Winning Score]]-Table1[[#This Row],[Losing Score]]</f>
        <v>5</v>
      </c>
      <c r="O113" s="1">
        <f>Table1[[#This Row],[Losing Seed]]-Table1[[#This Row],[Winning Seed]]</f>
        <v>4</v>
      </c>
      <c r="P113" s="1" t="str">
        <f>IF(Table1[[#This Row],[SeD]]&lt;-2,Table1[[#This Row],[Winning Seed]]&amp; " over " &amp;Table1[[#This Row],[Losing Seed]],"")</f>
        <v/>
      </c>
      <c r="Q113">
        <f>VLOOKUP(Table1[[#This Row],[Losing Seed]],'Seed History'!$N$4:$O$19,2)</f>
        <v>1.1180555555555556</v>
      </c>
      <c r="R113" s="1">
        <f>IF(Table1[[#This Row],[Round]]="PI",0,Table1[[#This Row],[Round]]-1)</f>
        <v>2</v>
      </c>
      <c r="S113">
        <f>Table1[[#This Row],[LAW]]-Table1[[#This Row],[LEW]]</f>
        <v>0.88194444444444442</v>
      </c>
    </row>
    <row r="114" spans="1:19" x14ac:dyDescent="0.25">
      <c r="A114" s="66">
        <v>31491</v>
      </c>
      <c r="B114" s="51">
        <f>YEAR(Table1[[#This Row],[Date]])</f>
        <v>1986</v>
      </c>
      <c r="C114" s="1">
        <v>3</v>
      </c>
      <c r="D114" t="s">
        <v>38</v>
      </c>
      <c r="E114" s="1">
        <v>2</v>
      </c>
      <c r="F114" t="s">
        <v>54</v>
      </c>
      <c r="G114" t="str">
        <f>VLOOKUP(Table1[[#This Row],[Winner]],Ranking!C:D,2,FALSE)</f>
        <v>ACC</v>
      </c>
      <c r="H114" s="1">
        <v>94</v>
      </c>
      <c r="I114" s="1">
        <v>3</v>
      </c>
      <c r="J114" t="s">
        <v>298</v>
      </c>
      <c r="K114" t="str">
        <f>VLOOKUP(Table1[[#This Row],[Loser]],Ranking!C:D,2,FALSE)</f>
        <v>ACC</v>
      </c>
      <c r="L114" s="1">
        <v>79</v>
      </c>
      <c r="N114" s="1">
        <f>Table1[[#This Row],[Winning Score]]-Table1[[#This Row],[Losing Score]]</f>
        <v>15</v>
      </c>
      <c r="O114" s="1">
        <f>Table1[[#This Row],[Losing Seed]]-Table1[[#This Row],[Winning Seed]]</f>
        <v>1</v>
      </c>
      <c r="P114" s="1" t="str">
        <f>IF(Table1[[#This Row],[SeD]]&lt;-2,Table1[[#This Row],[Winning Seed]]&amp; " over " &amp;Table1[[#This Row],[Losing Seed]],"")</f>
        <v/>
      </c>
      <c r="Q114">
        <f>VLOOKUP(Table1[[#This Row],[Losing Seed]],'Seed History'!$N$4:$O$19,2)</f>
        <v>1.8472222222222223</v>
      </c>
      <c r="R114" s="1">
        <f>IF(Table1[[#This Row],[Round]]="PI",0,Table1[[#This Row],[Round]]-1)</f>
        <v>2</v>
      </c>
      <c r="S114">
        <f>Table1[[#This Row],[LAW]]-Table1[[#This Row],[LEW]]</f>
        <v>0.15277777777777768</v>
      </c>
    </row>
    <row r="115" spans="1:19" x14ac:dyDescent="0.25">
      <c r="A115" s="66">
        <v>31491</v>
      </c>
      <c r="B115" s="51">
        <f>YEAR(Table1[[#This Row],[Date]])</f>
        <v>1986</v>
      </c>
      <c r="C115" s="1">
        <v>3</v>
      </c>
      <c r="D115" t="s">
        <v>461</v>
      </c>
      <c r="E115" s="1">
        <v>11</v>
      </c>
      <c r="F115" t="s">
        <v>52</v>
      </c>
      <c r="G115" t="str">
        <f>VLOOKUP(Table1[[#This Row],[Winner]],Ranking!C:D,2,FALSE)</f>
        <v>SEC</v>
      </c>
      <c r="H115" s="1">
        <v>70</v>
      </c>
      <c r="I115" s="1">
        <v>2</v>
      </c>
      <c r="J115" t="s">
        <v>216</v>
      </c>
      <c r="K115" t="str">
        <f>VLOOKUP(Table1[[#This Row],[Loser]],Ranking!C:D,2,FALSE)</f>
        <v>ACC</v>
      </c>
      <c r="L115" s="1">
        <v>64</v>
      </c>
      <c r="N115" s="1">
        <f>Table1[[#This Row],[Winning Score]]-Table1[[#This Row],[Losing Score]]</f>
        <v>6</v>
      </c>
      <c r="O115" s="1">
        <f>Table1[[#This Row],[Losing Seed]]-Table1[[#This Row],[Winning Seed]]</f>
        <v>-9</v>
      </c>
      <c r="P115" s="1" t="str">
        <f>IF(Table1[[#This Row],[SeD]]&lt;-2,Table1[[#This Row],[Winning Seed]]&amp; " over " &amp;Table1[[#This Row],[Losing Seed]],"")</f>
        <v>11 over 2</v>
      </c>
      <c r="Q115">
        <f>VLOOKUP(Table1[[#This Row],[Losing Seed]],'Seed History'!$N$4:$O$19,2)</f>
        <v>2.3472222222222223</v>
      </c>
      <c r="R115" s="1">
        <f>IF(Table1[[#This Row],[Round]]="PI",0,Table1[[#This Row],[Round]]-1)</f>
        <v>2</v>
      </c>
      <c r="S115">
        <f>Table1[[#This Row],[LAW]]-Table1[[#This Row],[LEW]]</f>
        <v>-0.34722222222222232</v>
      </c>
    </row>
    <row r="116" spans="1:19" x14ac:dyDescent="0.25">
      <c r="A116" s="66">
        <v>31491</v>
      </c>
      <c r="B116" s="51">
        <f>YEAR(Table1[[#This Row],[Date]])</f>
        <v>1986</v>
      </c>
      <c r="C116" s="1">
        <v>3</v>
      </c>
      <c r="D116" t="s">
        <v>38</v>
      </c>
      <c r="E116" s="1">
        <v>8</v>
      </c>
      <c r="F116" t="s">
        <v>129</v>
      </c>
      <c r="G116" t="str">
        <f>VLOOKUP(Table1[[#This Row],[Winner]],Ranking!C:D,2,FALSE)</f>
        <v>SEC</v>
      </c>
      <c r="H116" s="1">
        <v>70</v>
      </c>
      <c r="I116" s="1">
        <v>4</v>
      </c>
      <c r="J116" t="s">
        <v>396</v>
      </c>
      <c r="K116" t="str">
        <f>VLOOKUP(Table1[[#This Row],[Loser]],Ranking!C:D,2,FALSE)</f>
        <v>MWC</v>
      </c>
      <c r="L116" s="1">
        <v>63</v>
      </c>
      <c r="N116" s="1">
        <f>Table1[[#This Row],[Winning Score]]-Table1[[#This Row],[Losing Score]]</f>
        <v>7</v>
      </c>
      <c r="O116" s="1">
        <f>Table1[[#This Row],[Losing Seed]]-Table1[[#This Row],[Winning Seed]]</f>
        <v>-4</v>
      </c>
      <c r="P116" s="1" t="str">
        <f>IF(Table1[[#This Row],[SeD]]&lt;-2,Table1[[#This Row],[Winning Seed]]&amp; " over " &amp;Table1[[#This Row],[Losing Seed]],"")</f>
        <v>8 over 4</v>
      </c>
      <c r="Q116">
        <f>VLOOKUP(Table1[[#This Row],[Losing Seed]],'Seed History'!$N$4:$O$19,2)</f>
        <v>1.5208333333333333</v>
      </c>
      <c r="R116" s="1">
        <f>IF(Table1[[#This Row],[Round]]="PI",0,Table1[[#This Row],[Round]]-1)</f>
        <v>2</v>
      </c>
      <c r="S116">
        <f>Table1[[#This Row],[LAW]]-Table1[[#This Row],[LEW]]</f>
        <v>0.47916666666666674</v>
      </c>
    </row>
    <row r="117" spans="1:19" x14ac:dyDescent="0.25">
      <c r="A117" s="66">
        <v>31492</v>
      </c>
      <c r="B117" s="51">
        <f>YEAR(Table1[[#This Row],[Date]])</f>
        <v>1986</v>
      </c>
      <c r="C117" s="1">
        <v>3</v>
      </c>
      <c r="D117" t="s">
        <v>49</v>
      </c>
      <c r="E117" s="1">
        <v>1</v>
      </c>
      <c r="F117" t="s">
        <v>64</v>
      </c>
      <c r="G117" t="str">
        <f>VLOOKUP(Table1[[#This Row],[Winner]],Ranking!C:D,2,FALSE)</f>
        <v>ACC</v>
      </c>
      <c r="H117" s="1">
        <v>74</v>
      </c>
      <c r="I117" s="1">
        <v>12</v>
      </c>
      <c r="J117" t="s">
        <v>186</v>
      </c>
      <c r="K117" t="str">
        <f>VLOOKUP(Table1[[#This Row],[Loser]],Ranking!C:D,2,FALSE)</f>
        <v>BE</v>
      </c>
      <c r="L117" s="1">
        <v>67</v>
      </c>
      <c r="N117" s="1">
        <f>Table1[[#This Row],[Winning Score]]-Table1[[#This Row],[Losing Score]]</f>
        <v>7</v>
      </c>
      <c r="O117" s="1">
        <f>Table1[[#This Row],[Losing Seed]]-Table1[[#This Row],[Winning Seed]]</f>
        <v>11</v>
      </c>
      <c r="P117" s="1" t="str">
        <f>IF(Table1[[#This Row],[SeD]]&lt;-2,Table1[[#This Row],[Winning Seed]]&amp; " over " &amp;Table1[[#This Row],[Losing Seed]],"")</f>
        <v/>
      </c>
      <c r="Q117">
        <f>VLOOKUP(Table1[[#This Row],[Losing Seed]],'Seed History'!$N$4:$O$19,2)</f>
        <v>0.52083333333333337</v>
      </c>
      <c r="R117" s="1">
        <f>IF(Table1[[#This Row],[Round]]="PI",0,Table1[[#This Row],[Round]]-1)</f>
        <v>2</v>
      </c>
      <c r="S117">
        <f>Table1[[#This Row],[LAW]]-Table1[[#This Row],[LEW]]</f>
        <v>1.4791666666666665</v>
      </c>
    </row>
    <row r="118" spans="1:19" x14ac:dyDescent="0.25">
      <c r="A118" s="66">
        <v>31492</v>
      </c>
      <c r="B118" s="51">
        <f>YEAR(Table1[[#This Row],[Date]])</f>
        <v>1986</v>
      </c>
      <c r="C118" s="1">
        <v>3</v>
      </c>
      <c r="D118" t="s">
        <v>49</v>
      </c>
      <c r="E118" s="1">
        <v>7</v>
      </c>
      <c r="F118" t="s">
        <v>286</v>
      </c>
      <c r="G118" t="str">
        <f>VLOOKUP(Table1[[#This Row],[Winner]],Ranking!C:D,2,FALSE)</f>
        <v>Pat</v>
      </c>
      <c r="H118" s="1">
        <v>71</v>
      </c>
      <c r="I118" s="1">
        <v>14</v>
      </c>
      <c r="J118" t="s">
        <v>171</v>
      </c>
      <c r="K118" t="str">
        <f>VLOOKUP(Table1[[#This Row],[Loser]],Ranking!C:D,2,FALSE)</f>
        <v>Horz</v>
      </c>
      <c r="L118" s="1">
        <v>70</v>
      </c>
      <c r="N118" s="1">
        <f>Table1[[#This Row],[Winning Score]]-Table1[[#This Row],[Losing Score]]</f>
        <v>1</v>
      </c>
      <c r="O118" s="1">
        <f>Table1[[#This Row],[Losing Seed]]-Table1[[#This Row],[Winning Seed]]</f>
        <v>7</v>
      </c>
      <c r="P118" s="1" t="str">
        <f>IF(Table1[[#This Row],[SeD]]&lt;-2,Table1[[#This Row],[Winning Seed]]&amp; " over " &amp;Table1[[#This Row],[Losing Seed]],"")</f>
        <v/>
      </c>
      <c r="Q118">
        <f>VLOOKUP(Table1[[#This Row],[Losing Seed]],'Seed History'!$N$4:$O$19,2)</f>
        <v>0.16666666666666666</v>
      </c>
      <c r="R118" s="1">
        <f>IF(Table1[[#This Row],[Round]]="PI",0,Table1[[#This Row],[Round]]-1)</f>
        <v>2</v>
      </c>
      <c r="S118">
        <f>Table1[[#This Row],[LAW]]-Table1[[#This Row],[LEW]]</f>
        <v>1.8333333333333333</v>
      </c>
    </row>
    <row r="119" spans="1:19" x14ac:dyDescent="0.25">
      <c r="A119" s="66">
        <v>31492</v>
      </c>
      <c r="B119" s="51">
        <f>YEAR(Table1[[#This Row],[Date]])</f>
        <v>1986</v>
      </c>
      <c r="C119" s="1">
        <v>3</v>
      </c>
      <c r="D119" t="s">
        <v>439</v>
      </c>
      <c r="E119" s="1">
        <v>1</v>
      </c>
      <c r="F119" t="s">
        <v>37</v>
      </c>
      <c r="G119" t="str">
        <f>VLOOKUP(Table1[[#This Row],[Winner]],Ranking!C:D,2,FALSE)</f>
        <v>B12</v>
      </c>
      <c r="H119" s="1">
        <v>96</v>
      </c>
      <c r="I119" s="1">
        <v>5</v>
      </c>
      <c r="J119" t="s">
        <v>271</v>
      </c>
      <c r="K119" t="str">
        <f>VLOOKUP(Table1[[#This Row],[Loser]],Ranking!C:D,2,FALSE)</f>
        <v>B10</v>
      </c>
      <c r="L119" s="1">
        <v>86</v>
      </c>
      <c r="M119" s="1" t="s">
        <v>462</v>
      </c>
      <c r="N119" s="1">
        <f>Table1[[#This Row],[Winning Score]]-Table1[[#This Row],[Losing Score]]</f>
        <v>10</v>
      </c>
      <c r="O119" s="1">
        <f>Table1[[#This Row],[Losing Seed]]-Table1[[#This Row],[Winning Seed]]</f>
        <v>4</v>
      </c>
      <c r="P119" s="1" t="str">
        <f>IF(Table1[[#This Row],[SeD]]&lt;-2,Table1[[#This Row],[Winning Seed]]&amp; " over " &amp;Table1[[#This Row],[Losing Seed]],"")</f>
        <v/>
      </c>
      <c r="Q119">
        <f>VLOOKUP(Table1[[#This Row],[Losing Seed]],'Seed History'!$N$4:$O$19,2)</f>
        <v>1.1180555555555556</v>
      </c>
      <c r="R119" s="1">
        <f>IF(Table1[[#This Row],[Round]]="PI",0,Table1[[#This Row],[Round]]-1)</f>
        <v>2</v>
      </c>
      <c r="S119">
        <f>Table1[[#This Row],[LAW]]-Table1[[#This Row],[LEW]]</f>
        <v>0.88194444444444442</v>
      </c>
    </row>
    <row r="120" spans="1:19" x14ac:dyDescent="0.25">
      <c r="A120" s="66">
        <v>31492</v>
      </c>
      <c r="B120" s="51">
        <f>YEAR(Table1[[#This Row],[Date]])</f>
        <v>1986</v>
      </c>
      <c r="C120" s="1">
        <v>3</v>
      </c>
      <c r="D120" t="s">
        <v>439</v>
      </c>
      <c r="E120" s="1">
        <v>6</v>
      </c>
      <c r="F120" t="s">
        <v>301</v>
      </c>
      <c r="G120" t="e">
        <f>VLOOKUP(Table1[[#This Row],[Winner]],Ranking!C:D,2,FALSE)</f>
        <v>#N/A</v>
      </c>
      <c r="H120" s="1">
        <v>70</v>
      </c>
      <c r="I120" s="1">
        <v>7</v>
      </c>
      <c r="J120" t="s">
        <v>237</v>
      </c>
      <c r="K120" t="str">
        <f>VLOOKUP(Table1[[#This Row],[Loser]],Ranking!C:D,2,FALSE)</f>
        <v>B12</v>
      </c>
      <c r="L120" s="1">
        <v>66</v>
      </c>
      <c r="N120" s="1">
        <f>Table1[[#This Row],[Winning Score]]-Table1[[#This Row],[Losing Score]]</f>
        <v>4</v>
      </c>
      <c r="O120" s="1">
        <f>Table1[[#This Row],[Losing Seed]]-Table1[[#This Row],[Winning Seed]]</f>
        <v>1</v>
      </c>
      <c r="P120" s="1" t="str">
        <f>IF(Table1[[#This Row],[SeD]]&lt;-2,Table1[[#This Row],[Winning Seed]]&amp; " over " &amp;Table1[[#This Row],[Losing Seed]],"")</f>
        <v/>
      </c>
      <c r="Q120">
        <f>VLOOKUP(Table1[[#This Row],[Losing Seed]],'Seed History'!$N$4:$O$19,2)</f>
        <v>0.90277777777777779</v>
      </c>
      <c r="R120" s="1">
        <f>IF(Table1[[#This Row],[Round]]="PI",0,Table1[[#This Row],[Round]]-1)</f>
        <v>2</v>
      </c>
      <c r="S120">
        <f>Table1[[#This Row],[LAW]]-Table1[[#This Row],[LEW]]</f>
        <v>1.0972222222222223</v>
      </c>
    </row>
    <row r="121" spans="1:19" x14ac:dyDescent="0.25">
      <c r="A121" s="66">
        <v>31493</v>
      </c>
      <c r="B121" s="51">
        <f>YEAR(Table1[[#This Row],[Date]])</f>
        <v>1986</v>
      </c>
      <c r="C121" s="1">
        <v>4</v>
      </c>
      <c r="D121" t="s">
        <v>461</v>
      </c>
      <c r="E121" s="1">
        <v>11</v>
      </c>
      <c r="F121" t="s">
        <v>52</v>
      </c>
      <c r="G121" t="str">
        <f>VLOOKUP(Table1[[#This Row],[Winner]],Ranking!C:D,2,FALSE)</f>
        <v>SEC</v>
      </c>
      <c r="H121" s="1">
        <v>59</v>
      </c>
      <c r="I121" s="1">
        <v>1</v>
      </c>
      <c r="J121" t="s">
        <v>26</v>
      </c>
      <c r="K121" t="str">
        <f>VLOOKUP(Table1[[#This Row],[Loser]],Ranking!C:D,2,FALSE)</f>
        <v>SEC</v>
      </c>
      <c r="L121" s="1">
        <v>57</v>
      </c>
      <c r="N121" s="1">
        <f>Table1[[#This Row],[Winning Score]]-Table1[[#This Row],[Losing Score]]</f>
        <v>2</v>
      </c>
      <c r="O121" s="1">
        <f>Table1[[#This Row],[Losing Seed]]-Table1[[#This Row],[Winning Seed]]</f>
        <v>-10</v>
      </c>
      <c r="P121" s="1" t="str">
        <f>IF(Table1[[#This Row],[SeD]]&lt;-2,Table1[[#This Row],[Winning Seed]]&amp; " over " &amp;Table1[[#This Row],[Losing Seed]],"")</f>
        <v>11 over 1</v>
      </c>
      <c r="Q121">
        <f>VLOOKUP(Table1[[#This Row],[Losing Seed]],'Seed History'!$N$4:$O$19,2)</f>
        <v>3.3263888888888888</v>
      </c>
      <c r="R121" s="1">
        <f>IF(Table1[[#This Row],[Round]]="PI",0,Table1[[#This Row],[Round]]-1)</f>
        <v>3</v>
      </c>
      <c r="S121">
        <f>Table1[[#This Row],[LAW]]-Table1[[#This Row],[LEW]]</f>
        <v>-0.32638888888888884</v>
      </c>
    </row>
    <row r="122" spans="1:19" x14ac:dyDescent="0.25">
      <c r="A122" s="66">
        <v>31493</v>
      </c>
      <c r="B122" s="51">
        <f>YEAR(Table1[[#This Row],[Date]])</f>
        <v>1986</v>
      </c>
      <c r="C122" s="1">
        <v>4</v>
      </c>
      <c r="D122" t="s">
        <v>38</v>
      </c>
      <c r="E122" s="1">
        <v>2</v>
      </c>
      <c r="F122" t="s">
        <v>54</v>
      </c>
      <c r="G122" t="str">
        <f>VLOOKUP(Table1[[#This Row],[Winner]],Ranking!C:D,2,FALSE)</f>
        <v>ACC</v>
      </c>
      <c r="H122" s="1">
        <v>84</v>
      </c>
      <c r="I122" s="1">
        <v>8</v>
      </c>
      <c r="J122" t="s">
        <v>129</v>
      </c>
      <c r="K122" t="str">
        <f>VLOOKUP(Table1[[#This Row],[Loser]],Ranking!C:D,2,FALSE)</f>
        <v>SEC</v>
      </c>
      <c r="L122" s="1">
        <v>76</v>
      </c>
      <c r="N122" s="1">
        <f>Table1[[#This Row],[Winning Score]]-Table1[[#This Row],[Losing Score]]</f>
        <v>8</v>
      </c>
      <c r="O122" s="1">
        <f>Table1[[#This Row],[Losing Seed]]-Table1[[#This Row],[Winning Seed]]</f>
        <v>6</v>
      </c>
      <c r="P122" s="1" t="str">
        <f>IF(Table1[[#This Row],[SeD]]&lt;-2,Table1[[#This Row],[Winning Seed]]&amp; " over " &amp;Table1[[#This Row],[Losing Seed]],"")</f>
        <v/>
      </c>
      <c r="Q122">
        <f>VLOOKUP(Table1[[#This Row],[Losing Seed]],'Seed History'!$N$4:$O$19,2)</f>
        <v>0.70833333333333337</v>
      </c>
      <c r="R122" s="1">
        <f>IF(Table1[[#This Row],[Round]]="PI",0,Table1[[#This Row],[Round]]-1)</f>
        <v>3</v>
      </c>
      <c r="S122">
        <f>Table1[[#This Row],[LAW]]-Table1[[#This Row],[LEW]]</f>
        <v>2.2916666666666665</v>
      </c>
    </row>
    <row r="123" spans="1:19" x14ac:dyDescent="0.25">
      <c r="A123" s="66">
        <v>31494</v>
      </c>
      <c r="B123" s="51">
        <f>YEAR(Table1[[#This Row],[Date]])</f>
        <v>1986</v>
      </c>
      <c r="C123" s="1">
        <v>4</v>
      </c>
      <c r="D123" t="s">
        <v>49</v>
      </c>
      <c r="E123" s="1">
        <v>1</v>
      </c>
      <c r="F123" t="s">
        <v>64</v>
      </c>
      <c r="G123" t="str">
        <f>VLOOKUP(Table1[[#This Row],[Winner]],Ranking!C:D,2,FALSE)</f>
        <v>ACC</v>
      </c>
      <c r="H123" s="1">
        <v>71</v>
      </c>
      <c r="I123" s="1">
        <v>7</v>
      </c>
      <c r="J123" t="s">
        <v>286</v>
      </c>
      <c r="K123" t="str">
        <f>VLOOKUP(Table1[[#This Row],[Loser]],Ranking!C:D,2,FALSE)</f>
        <v>Pat</v>
      </c>
      <c r="L123" s="1">
        <v>50</v>
      </c>
      <c r="N123" s="1">
        <f>Table1[[#This Row],[Winning Score]]-Table1[[#This Row],[Losing Score]]</f>
        <v>21</v>
      </c>
      <c r="O123" s="1">
        <f>Table1[[#This Row],[Losing Seed]]-Table1[[#This Row],[Winning Seed]]</f>
        <v>6</v>
      </c>
      <c r="P123" s="1" t="str">
        <f>IF(Table1[[#This Row],[SeD]]&lt;-2,Table1[[#This Row],[Winning Seed]]&amp; " over " &amp;Table1[[#This Row],[Losing Seed]],"")</f>
        <v/>
      </c>
      <c r="Q123">
        <f>VLOOKUP(Table1[[#This Row],[Losing Seed]],'Seed History'!$N$4:$O$19,2)</f>
        <v>0.90277777777777779</v>
      </c>
      <c r="R123" s="1">
        <f>IF(Table1[[#This Row],[Round]]="PI",0,Table1[[#This Row],[Round]]-1)</f>
        <v>3</v>
      </c>
      <c r="S123">
        <f>Table1[[#This Row],[LAW]]-Table1[[#This Row],[LEW]]</f>
        <v>2.0972222222222223</v>
      </c>
    </row>
    <row r="124" spans="1:19" x14ac:dyDescent="0.25">
      <c r="A124" s="66">
        <v>31494</v>
      </c>
      <c r="B124" s="51">
        <f>YEAR(Table1[[#This Row],[Date]])</f>
        <v>1986</v>
      </c>
      <c r="C124" s="1">
        <v>4</v>
      </c>
      <c r="D124" t="s">
        <v>439</v>
      </c>
      <c r="E124" s="1">
        <v>1</v>
      </c>
      <c r="F124" t="s">
        <v>37</v>
      </c>
      <c r="G124" t="str">
        <f>VLOOKUP(Table1[[#This Row],[Winner]],Ranking!C:D,2,FALSE)</f>
        <v>B12</v>
      </c>
      <c r="H124" s="1">
        <v>75</v>
      </c>
      <c r="I124" s="1">
        <v>6</v>
      </c>
      <c r="J124" t="s">
        <v>301</v>
      </c>
      <c r="K124" t="e">
        <f>VLOOKUP(Table1[[#This Row],[Loser]],Ranking!C:D,2,FALSE)</f>
        <v>#N/A</v>
      </c>
      <c r="L124" s="1">
        <v>67</v>
      </c>
      <c r="N124" s="1">
        <f>Table1[[#This Row],[Winning Score]]-Table1[[#This Row],[Losing Score]]</f>
        <v>8</v>
      </c>
      <c r="O124" s="1">
        <f>Table1[[#This Row],[Losing Seed]]-Table1[[#This Row],[Winning Seed]]</f>
        <v>5</v>
      </c>
      <c r="P124" s="1" t="str">
        <f>IF(Table1[[#This Row],[SeD]]&lt;-2,Table1[[#This Row],[Winning Seed]]&amp; " over " &amp;Table1[[#This Row],[Losing Seed]],"")</f>
        <v/>
      </c>
      <c r="Q124">
        <f>VLOOKUP(Table1[[#This Row],[Losing Seed]],'Seed History'!$N$4:$O$19,2)</f>
        <v>1.0625</v>
      </c>
      <c r="R124" s="1">
        <f>IF(Table1[[#This Row],[Round]]="PI",0,Table1[[#This Row],[Round]]-1)</f>
        <v>3</v>
      </c>
      <c r="S124">
        <f>Table1[[#This Row],[LAW]]-Table1[[#This Row],[LEW]]</f>
        <v>1.9375</v>
      </c>
    </row>
    <row r="125" spans="1:19" x14ac:dyDescent="0.25">
      <c r="A125" s="66">
        <v>31500</v>
      </c>
      <c r="B125" s="51">
        <f>YEAR(Table1[[#This Row],[Date]])</f>
        <v>1986</v>
      </c>
      <c r="C125" s="1">
        <v>5</v>
      </c>
      <c r="D125" t="s">
        <v>467</v>
      </c>
      <c r="E125" s="1">
        <v>1</v>
      </c>
      <c r="F125" t="s">
        <v>64</v>
      </c>
      <c r="G125" t="str">
        <f>VLOOKUP(Table1[[#This Row],[Winner]],Ranking!C:D,2,FALSE)</f>
        <v>ACC</v>
      </c>
      <c r="H125" s="1">
        <v>71</v>
      </c>
      <c r="I125" s="1">
        <v>1</v>
      </c>
      <c r="J125" t="s">
        <v>37</v>
      </c>
      <c r="K125" t="str">
        <f>VLOOKUP(Table1[[#This Row],[Loser]],Ranking!C:D,2,FALSE)</f>
        <v>B12</v>
      </c>
      <c r="L125" s="1">
        <v>67</v>
      </c>
      <c r="N125" s="1">
        <f>Table1[[#This Row],[Winning Score]]-Table1[[#This Row],[Losing Score]]</f>
        <v>4</v>
      </c>
      <c r="O125" s="1">
        <f>Table1[[#This Row],[Losing Seed]]-Table1[[#This Row],[Winning Seed]]</f>
        <v>0</v>
      </c>
      <c r="P125" s="1" t="str">
        <f>IF(Table1[[#This Row],[SeD]]&lt;-2,Table1[[#This Row],[Winning Seed]]&amp; " over " &amp;Table1[[#This Row],[Losing Seed]],"")</f>
        <v/>
      </c>
      <c r="Q125">
        <f>VLOOKUP(Table1[[#This Row],[Losing Seed]],'Seed History'!$N$4:$O$19,2)</f>
        <v>3.3263888888888888</v>
      </c>
      <c r="R125" s="1">
        <f>IF(Table1[[#This Row],[Round]]="PI",0,Table1[[#This Row],[Round]]-1)</f>
        <v>4</v>
      </c>
      <c r="S125">
        <f>Table1[[#This Row],[LAW]]-Table1[[#This Row],[LEW]]</f>
        <v>0.67361111111111116</v>
      </c>
    </row>
    <row r="126" spans="1:19" x14ac:dyDescent="0.25">
      <c r="A126" s="66">
        <v>31500</v>
      </c>
      <c r="B126" s="51">
        <f>YEAR(Table1[[#This Row],[Date]])</f>
        <v>1986</v>
      </c>
      <c r="C126" s="1">
        <v>5</v>
      </c>
      <c r="D126" t="s">
        <v>467</v>
      </c>
      <c r="E126" s="1">
        <v>2</v>
      </c>
      <c r="F126" t="s">
        <v>54</v>
      </c>
      <c r="G126" t="str">
        <f>VLOOKUP(Table1[[#This Row],[Winner]],Ranking!C:D,2,FALSE)</f>
        <v>ACC</v>
      </c>
      <c r="H126" s="1">
        <v>88</v>
      </c>
      <c r="I126" s="1">
        <v>11</v>
      </c>
      <c r="J126" t="s">
        <v>52</v>
      </c>
      <c r="K126" t="str">
        <f>VLOOKUP(Table1[[#This Row],[Loser]],Ranking!C:D,2,FALSE)</f>
        <v>SEC</v>
      </c>
      <c r="L126" s="1">
        <v>77</v>
      </c>
      <c r="N126" s="1">
        <f>Table1[[#This Row],[Winning Score]]-Table1[[#This Row],[Losing Score]]</f>
        <v>11</v>
      </c>
      <c r="O126" s="1">
        <f>Table1[[#This Row],[Losing Seed]]-Table1[[#This Row],[Winning Seed]]</f>
        <v>9</v>
      </c>
      <c r="P126" s="1" t="str">
        <f>IF(Table1[[#This Row],[SeD]]&lt;-2,Table1[[#This Row],[Winning Seed]]&amp; " over " &amp;Table1[[#This Row],[Losing Seed]],"")</f>
        <v/>
      </c>
      <c r="Q126">
        <f>VLOOKUP(Table1[[#This Row],[Losing Seed]],'Seed History'!$N$4:$O$19,2)</f>
        <v>0.63194444444444442</v>
      </c>
      <c r="R126" s="1">
        <f>IF(Table1[[#This Row],[Round]]="PI",0,Table1[[#This Row],[Round]]-1)</f>
        <v>4</v>
      </c>
      <c r="S126">
        <f>Table1[[#This Row],[LAW]]-Table1[[#This Row],[LEW]]</f>
        <v>3.3680555555555554</v>
      </c>
    </row>
    <row r="127" spans="1:19" x14ac:dyDescent="0.25">
      <c r="A127" s="66">
        <v>31502</v>
      </c>
      <c r="B127" s="51">
        <f>YEAR(Table1[[#This Row],[Date]])</f>
        <v>1986</v>
      </c>
      <c r="C127" s="1">
        <v>6</v>
      </c>
      <c r="D127" t="s">
        <v>468</v>
      </c>
      <c r="E127" s="1">
        <v>2</v>
      </c>
      <c r="F127" t="s">
        <v>54</v>
      </c>
      <c r="G127" t="str">
        <f>VLOOKUP(Table1[[#This Row],[Winner]],Ranking!C:D,2,FALSE)</f>
        <v>ACC</v>
      </c>
      <c r="H127" s="1">
        <v>72</v>
      </c>
      <c r="I127" s="1">
        <v>1</v>
      </c>
      <c r="J127" t="s">
        <v>64</v>
      </c>
      <c r="K127" t="str">
        <f>VLOOKUP(Table1[[#This Row],[Loser]],Ranking!C:D,2,FALSE)</f>
        <v>ACC</v>
      </c>
      <c r="L127" s="1">
        <v>69</v>
      </c>
      <c r="N127" s="1">
        <f>Table1[[#This Row],[Winning Score]]-Table1[[#This Row],[Losing Score]]</f>
        <v>3</v>
      </c>
      <c r="O127" s="1">
        <f>Table1[[#This Row],[Losing Seed]]-Table1[[#This Row],[Winning Seed]]</f>
        <v>-1</v>
      </c>
      <c r="P127" s="1" t="str">
        <f>IF(Table1[[#This Row],[SeD]]&lt;-2,Table1[[#This Row],[Winning Seed]]&amp; " over " &amp;Table1[[#This Row],[Losing Seed]],"")</f>
        <v/>
      </c>
      <c r="Q127">
        <f>VLOOKUP(Table1[[#This Row],[Losing Seed]],'Seed History'!$N$4:$O$19,2)</f>
        <v>3.3263888888888888</v>
      </c>
      <c r="R127" s="1">
        <f>IF(Table1[[#This Row],[Round]]="PI",0,Table1[[#This Row],[Round]]-1)</f>
        <v>5</v>
      </c>
      <c r="S127">
        <f>Table1[[#This Row],[LAW]]-Table1[[#This Row],[LEW]]</f>
        <v>1.6736111111111112</v>
      </c>
    </row>
    <row r="128" spans="1:19" x14ac:dyDescent="0.25">
      <c r="A128" s="66">
        <v>31848</v>
      </c>
      <c r="B128" s="51">
        <f>YEAR(Table1[[#This Row],[Date]])</f>
        <v>1987</v>
      </c>
      <c r="C128" s="1">
        <v>1</v>
      </c>
      <c r="D128" t="s">
        <v>461</v>
      </c>
      <c r="E128" s="1">
        <v>14</v>
      </c>
      <c r="F128" t="s">
        <v>130</v>
      </c>
      <c r="G128" t="str">
        <f>VLOOKUP(Table1[[#This Row],[Winner]],Ranking!C:D,2,FALSE)</f>
        <v>OVC</v>
      </c>
      <c r="H128" s="1">
        <v>68</v>
      </c>
      <c r="I128" s="1">
        <v>3</v>
      </c>
      <c r="J128" t="s">
        <v>230</v>
      </c>
      <c r="K128" t="str">
        <f>VLOOKUP(Table1[[#This Row],[Loser]],Ranking!C:D,2,FALSE)</f>
        <v>B10</v>
      </c>
      <c r="L128" s="1">
        <v>67</v>
      </c>
      <c r="N128" s="1">
        <f>Table1[[#This Row],[Winning Score]]-Table1[[#This Row],[Losing Score]]</f>
        <v>1</v>
      </c>
      <c r="O128" s="1">
        <f>Table1[[#This Row],[Losing Seed]]-Table1[[#This Row],[Winning Seed]]</f>
        <v>-11</v>
      </c>
      <c r="P128" s="1" t="str">
        <f>IF(Table1[[#This Row],[SeD]]&lt;-2,Table1[[#This Row],[Winning Seed]]&amp; " over " &amp;Table1[[#This Row],[Losing Seed]],"")</f>
        <v>14 over 3</v>
      </c>
      <c r="Q128">
        <f>VLOOKUP(Table1[[#This Row],[Losing Seed]],'Seed History'!$N$4:$O$19,2)</f>
        <v>1.8472222222222223</v>
      </c>
      <c r="R128" s="1">
        <f>IF(Table1[[#This Row],[Round]]="PI",0,Table1[[#This Row],[Round]]-1)</f>
        <v>0</v>
      </c>
      <c r="S128">
        <f>Table1[[#This Row],[LAW]]-Table1[[#This Row],[LEW]]</f>
        <v>-1.8472222222222223</v>
      </c>
    </row>
    <row r="129" spans="1:19" x14ac:dyDescent="0.25">
      <c r="A129" s="66">
        <v>31848</v>
      </c>
      <c r="B129" s="51">
        <f>YEAR(Table1[[#This Row],[Date]])</f>
        <v>1987</v>
      </c>
      <c r="C129" s="1">
        <v>1</v>
      </c>
      <c r="D129" t="s">
        <v>439</v>
      </c>
      <c r="E129" s="1">
        <v>13</v>
      </c>
      <c r="F129" t="s">
        <v>44</v>
      </c>
      <c r="G129" t="str">
        <f>VLOOKUP(Table1[[#This Row],[Winner]],Ranking!C:D,2,FALSE)</f>
        <v>BE</v>
      </c>
      <c r="H129" s="1">
        <v>70</v>
      </c>
      <c r="I129" s="1">
        <v>4</v>
      </c>
      <c r="J129" t="s">
        <v>277</v>
      </c>
      <c r="K129" t="str">
        <f>VLOOKUP(Table1[[#This Row],[Loser]],Ranking!C:D,2,FALSE)</f>
        <v>SEC</v>
      </c>
      <c r="L129" s="1">
        <v>69</v>
      </c>
      <c r="N129" s="1">
        <f>Table1[[#This Row],[Winning Score]]-Table1[[#This Row],[Losing Score]]</f>
        <v>1</v>
      </c>
      <c r="O129" s="1">
        <f>Table1[[#This Row],[Losing Seed]]-Table1[[#This Row],[Winning Seed]]</f>
        <v>-9</v>
      </c>
      <c r="P129" s="1" t="str">
        <f>IF(Table1[[#This Row],[SeD]]&lt;-2,Table1[[#This Row],[Winning Seed]]&amp; " over " &amp;Table1[[#This Row],[Losing Seed]],"")</f>
        <v>13 over 4</v>
      </c>
      <c r="Q129">
        <f>VLOOKUP(Table1[[#This Row],[Losing Seed]],'Seed History'!$N$4:$O$19,2)</f>
        <v>1.5208333333333333</v>
      </c>
      <c r="R129" s="1">
        <f>IF(Table1[[#This Row],[Round]]="PI",0,Table1[[#This Row],[Round]]-1)</f>
        <v>0</v>
      </c>
      <c r="S129">
        <f>Table1[[#This Row],[LAW]]-Table1[[#This Row],[LEW]]</f>
        <v>-1.5208333333333333</v>
      </c>
    </row>
    <row r="130" spans="1:19" x14ac:dyDescent="0.25">
      <c r="A130" s="66">
        <v>31848</v>
      </c>
      <c r="B130" s="51">
        <f>YEAR(Table1[[#This Row],[Date]])</f>
        <v>1987</v>
      </c>
      <c r="C130" s="1">
        <v>1</v>
      </c>
      <c r="D130" t="s">
        <v>49</v>
      </c>
      <c r="E130" s="1">
        <v>1</v>
      </c>
      <c r="F130" t="s">
        <v>298</v>
      </c>
      <c r="G130" t="str">
        <f>VLOOKUP(Table1[[#This Row],[Winner]],Ranking!C:D,2,FALSE)</f>
        <v>ACC</v>
      </c>
      <c r="H130" s="1">
        <v>113</v>
      </c>
      <c r="I130" s="1">
        <v>16</v>
      </c>
      <c r="J130" t="s">
        <v>321</v>
      </c>
      <c r="K130" t="str">
        <f>VLOOKUP(Table1[[#This Row],[Loser]],Ranking!C:D,2,FALSE)</f>
        <v>Ivy</v>
      </c>
      <c r="L130" s="1">
        <v>82</v>
      </c>
      <c r="N130" s="1">
        <f>Table1[[#This Row],[Winning Score]]-Table1[[#This Row],[Losing Score]]</f>
        <v>31</v>
      </c>
      <c r="O130" s="1">
        <f>Table1[[#This Row],[Losing Seed]]-Table1[[#This Row],[Winning Seed]]</f>
        <v>15</v>
      </c>
      <c r="P130" s="1" t="str">
        <f>IF(Table1[[#This Row],[SeD]]&lt;-2,Table1[[#This Row],[Winning Seed]]&amp; " over " &amp;Table1[[#This Row],[Losing Seed]],"")</f>
        <v/>
      </c>
      <c r="Q130">
        <f>VLOOKUP(Table1[[#This Row],[Losing Seed]],'Seed History'!$N$4:$O$19,2)</f>
        <v>6.9444444444444441E-3</v>
      </c>
      <c r="R130" s="1">
        <f>IF(Table1[[#This Row],[Round]]="PI",0,Table1[[#This Row],[Round]]-1)</f>
        <v>0</v>
      </c>
      <c r="S130">
        <f>Table1[[#This Row],[LAW]]-Table1[[#This Row],[LEW]]</f>
        <v>-6.9444444444444441E-3</v>
      </c>
    </row>
    <row r="131" spans="1:19" x14ac:dyDescent="0.25">
      <c r="A131" s="66">
        <v>31848</v>
      </c>
      <c r="B131" s="51">
        <f>YEAR(Table1[[#This Row],[Date]])</f>
        <v>1987</v>
      </c>
      <c r="C131" s="1">
        <v>1</v>
      </c>
      <c r="D131" t="s">
        <v>49</v>
      </c>
      <c r="E131" s="1">
        <v>4</v>
      </c>
      <c r="F131" t="s">
        <v>372</v>
      </c>
      <c r="G131" t="str">
        <f>VLOOKUP(Table1[[#This Row],[Winner]],Ranking!C:D,2,FALSE)</f>
        <v>B12</v>
      </c>
      <c r="H131" s="1">
        <v>76</v>
      </c>
      <c r="I131" s="1">
        <v>13</v>
      </c>
      <c r="J131" t="s">
        <v>263</v>
      </c>
      <c r="K131" t="str">
        <f>VLOOKUP(Table1[[#This Row],[Loser]],Ranking!C:D,2,FALSE)</f>
        <v>CUSA</v>
      </c>
      <c r="L131" s="1">
        <v>60</v>
      </c>
      <c r="N131" s="1">
        <f>Table1[[#This Row],[Winning Score]]-Table1[[#This Row],[Losing Score]]</f>
        <v>16</v>
      </c>
      <c r="O131" s="1">
        <f>Table1[[#This Row],[Losing Seed]]-Table1[[#This Row],[Winning Seed]]</f>
        <v>9</v>
      </c>
      <c r="P131" s="1" t="str">
        <f>IF(Table1[[#This Row],[SeD]]&lt;-2,Table1[[#This Row],[Winning Seed]]&amp; " over " &amp;Table1[[#This Row],[Losing Seed]],"")</f>
        <v/>
      </c>
      <c r="Q131">
        <f>VLOOKUP(Table1[[#This Row],[Losing Seed]],'Seed History'!$N$4:$O$19,2)</f>
        <v>0.25694444444444442</v>
      </c>
      <c r="R131" s="1">
        <f>IF(Table1[[#This Row],[Round]]="PI",0,Table1[[#This Row],[Round]]-1)</f>
        <v>0</v>
      </c>
      <c r="S131">
        <f>Table1[[#This Row],[LAW]]-Table1[[#This Row],[LEW]]</f>
        <v>-0.25694444444444442</v>
      </c>
    </row>
    <row r="132" spans="1:19" x14ac:dyDescent="0.25">
      <c r="A132" s="66">
        <v>31848</v>
      </c>
      <c r="B132" s="51">
        <f>YEAR(Table1[[#This Row],[Date]])</f>
        <v>1987</v>
      </c>
      <c r="C132" s="1">
        <v>1</v>
      </c>
      <c r="D132" t="s">
        <v>49</v>
      </c>
      <c r="E132" s="1">
        <v>5</v>
      </c>
      <c r="F132" t="s">
        <v>35</v>
      </c>
      <c r="G132" t="str">
        <f>VLOOKUP(Table1[[#This Row],[Winner]],Ranking!C:D,2,FALSE)</f>
        <v>ACC</v>
      </c>
      <c r="H132" s="1">
        <v>84</v>
      </c>
      <c r="I132" s="1">
        <v>12</v>
      </c>
      <c r="J132" t="s">
        <v>272</v>
      </c>
      <c r="K132" t="str">
        <f>VLOOKUP(Table1[[#This Row],[Loser]],Ranking!C:D,2,FALSE)</f>
        <v>CUSA</v>
      </c>
      <c r="L132" s="1">
        <v>71</v>
      </c>
      <c r="N132" s="1">
        <f>Table1[[#This Row],[Winning Score]]-Table1[[#This Row],[Losing Score]]</f>
        <v>13</v>
      </c>
      <c r="O132" s="1">
        <f>Table1[[#This Row],[Losing Seed]]-Table1[[#This Row],[Winning Seed]]</f>
        <v>7</v>
      </c>
      <c r="P132" s="1" t="str">
        <f>IF(Table1[[#This Row],[SeD]]&lt;-2,Table1[[#This Row],[Winning Seed]]&amp; " over " &amp;Table1[[#This Row],[Losing Seed]],"")</f>
        <v/>
      </c>
      <c r="Q132">
        <f>VLOOKUP(Table1[[#This Row],[Losing Seed]],'Seed History'!$N$4:$O$19,2)</f>
        <v>0.52083333333333337</v>
      </c>
      <c r="R132" s="1">
        <f>IF(Table1[[#This Row],[Round]]="PI",0,Table1[[#This Row],[Round]]-1)</f>
        <v>0</v>
      </c>
      <c r="S132">
        <f>Table1[[#This Row],[LAW]]-Table1[[#This Row],[LEW]]</f>
        <v>-0.52083333333333337</v>
      </c>
    </row>
    <row r="133" spans="1:19" x14ac:dyDescent="0.25">
      <c r="A133" s="66">
        <v>31848</v>
      </c>
      <c r="B133" s="51">
        <f>YEAR(Table1[[#This Row],[Date]])</f>
        <v>1987</v>
      </c>
      <c r="C133" s="1">
        <v>1</v>
      </c>
      <c r="D133" t="s">
        <v>439</v>
      </c>
      <c r="E133" s="1">
        <v>1</v>
      </c>
      <c r="F133" t="s">
        <v>36</v>
      </c>
      <c r="G133" t="str">
        <f>VLOOKUP(Table1[[#This Row],[Winner]],Ranking!C:D,2,FALSE)</f>
        <v>B10</v>
      </c>
      <c r="H133" s="1">
        <v>92</v>
      </c>
      <c r="I133" s="1">
        <v>16</v>
      </c>
      <c r="J133" t="s">
        <v>200</v>
      </c>
      <c r="K133" t="str">
        <f>VLOOKUP(Table1[[#This Row],[Loser]],Ranking!C:D,2,FALSE)</f>
        <v>MAAC</v>
      </c>
      <c r="L133" s="1">
        <v>58</v>
      </c>
      <c r="N133" s="1">
        <f>Table1[[#This Row],[Winning Score]]-Table1[[#This Row],[Losing Score]]</f>
        <v>34</v>
      </c>
      <c r="O133" s="1">
        <f>Table1[[#This Row],[Losing Seed]]-Table1[[#This Row],[Winning Seed]]</f>
        <v>15</v>
      </c>
      <c r="P133" s="1" t="str">
        <f>IF(Table1[[#This Row],[SeD]]&lt;-2,Table1[[#This Row],[Winning Seed]]&amp; " over " &amp;Table1[[#This Row],[Losing Seed]],"")</f>
        <v/>
      </c>
      <c r="Q133">
        <f>VLOOKUP(Table1[[#This Row],[Losing Seed]],'Seed History'!$N$4:$O$19,2)</f>
        <v>6.9444444444444441E-3</v>
      </c>
      <c r="R133" s="1">
        <f>IF(Table1[[#This Row],[Round]]="PI",0,Table1[[#This Row],[Round]]-1)</f>
        <v>0</v>
      </c>
      <c r="S133">
        <f>Table1[[#This Row],[LAW]]-Table1[[#This Row],[LEW]]</f>
        <v>-6.9444444444444441E-3</v>
      </c>
    </row>
    <row r="134" spans="1:19" x14ac:dyDescent="0.25">
      <c r="A134" s="66">
        <v>31848</v>
      </c>
      <c r="B134" s="51">
        <f>YEAR(Table1[[#This Row],[Date]])</f>
        <v>1987</v>
      </c>
      <c r="C134" s="1">
        <v>1</v>
      </c>
      <c r="D134" t="s">
        <v>439</v>
      </c>
      <c r="E134" s="1">
        <v>5</v>
      </c>
      <c r="F134" t="s">
        <v>64</v>
      </c>
      <c r="G134" t="str">
        <f>VLOOKUP(Table1[[#This Row],[Winner]],Ranking!C:D,2,FALSE)</f>
        <v>ACC</v>
      </c>
      <c r="H134" s="1">
        <v>58</v>
      </c>
      <c r="I134" s="1">
        <v>12</v>
      </c>
      <c r="J134" t="s">
        <v>79</v>
      </c>
      <c r="K134" t="str">
        <f>VLOOKUP(Table1[[#This Row],[Loser]],Ranking!C:D,2,FALSE)</f>
        <v>SEC</v>
      </c>
      <c r="L134" s="1">
        <v>51</v>
      </c>
      <c r="N134" s="1">
        <f>Table1[[#This Row],[Winning Score]]-Table1[[#This Row],[Losing Score]]</f>
        <v>7</v>
      </c>
      <c r="O134" s="1">
        <f>Table1[[#This Row],[Losing Seed]]-Table1[[#This Row],[Winning Seed]]</f>
        <v>7</v>
      </c>
      <c r="P134" s="1" t="str">
        <f>IF(Table1[[#This Row],[SeD]]&lt;-2,Table1[[#This Row],[Winning Seed]]&amp; " over " &amp;Table1[[#This Row],[Losing Seed]],"")</f>
        <v/>
      </c>
      <c r="Q134">
        <f>VLOOKUP(Table1[[#This Row],[Losing Seed]],'Seed History'!$N$4:$O$19,2)</f>
        <v>0.52083333333333337</v>
      </c>
      <c r="R134" s="1">
        <f>IF(Table1[[#This Row],[Round]]="PI",0,Table1[[#This Row],[Round]]-1)</f>
        <v>0</v>
      </c>
      <c r="S134">
        <f>Table1[[#This Row],[LAW]]-Table1[[#This Row],[LEW]]</f>
        <v>-0.52083333333333337</v>
      </c>
    </row>
    <row r="135" spans="1:19" x14ac:dyDescent="0.25">
      <c r="A135" s="66">
        <v>31848</v>
      </c>
      <c r="B135" s="51">
        <f>YEAR(Table1[[#This Row],[Date]])</f>
        <v>1987</v>
      </c>
      <c r="C135" s="1">
        <v>1</v>
      </c>
      <c r="D135" t="s">
        <v>439</v>
      </c>
      <c r="E135" s="1">
        <v>8</v>
      </c>
      <c r="F135" t="s">
        <v>129</v>
      </c>
      <c r="G135" t="str">
        <f>VLOOKUP(Table1[[#This Row],[Winner]],Ranking!C:D,2,FALSE)</f>
        <v>SEC</v>
      </c>
      <c r="H135" s="1">
        <v>62</v>
      </c>
      <c r="I135" s="1">
        <v>9</v>
      </c>
      <c r="J135" t="s">
        <v>343</v>
      </c>
      <c r="K135" t="str">
        <f>VLOOKUP(Table1[[#This Row],[Loser]],Ranking!C:D,2,FALSE)</f>
        <v>WCC</v>
      </c>
      <c r="L135" s="1">
        <v>61</v>
      </c>
      <c r="N135" s="1">
        <f>Table1[[#This Row],[Winning Score]]-Table1[[#This Row],[Losing Score]]</f>
        <v>1</v>
      </c>
      <c r="O135" s="1">
        <f>Table1[[#This Row],[Losing Seed]]-Table1[[#This Row],[Winning Seed]]</f>
        <v>1</v>
      </c>
      <c r="P135" s="1" t="str">
        <f>IF(Table1[[#This Row],[SeD]]&lt;-2,Table1[[#This Row],[Winning Seed]]&amp; " over " &amp;Table1[[#This Row],[Losing Seed]],"")</f>
        <v/>
      </c>
      <c r="Q135">
        <f>VLOOKUP(Table1[[#This Row],[Losing Seed]],'Seed History'!$N$4:$O$19,2)</f>
        <v>0.59027777777777779</v>
      </c>
      <c r="R135" s="1">
        <f>IF(Table1[[#This Row],[Round]]="PI",0,Table1[[#This Row],[Round]]-1)</f>
        <v>0</v>
      </c>
      <c r="S135">
        <f>Table1[[#This Row],[LAW]]-Table1[[#This Row],[LEW]]</f>
        <v>-0.59027777777777779</v>
      </c>
    </row>
    <row r="136" spans="1:19" x14ac:dyDescent="0.25">
      <c r="A136" s="66">
        <v>31848</v>
      </c>
      <c r="B136" s="51">
        <f>YEAR(Table1[[#This Row],[Date]])</f>
        <v>1987</v>
      </c>
      <c r="C136" s="1">
        <v>1</v>
      </c>
      <c r="D136" t="s">
        <v>461</v>
      </c>
      <c r="E136" s="1">
        <v>2</v>
      </c>
      <c r="F136" t="s">
        <v>113</v>
      </c>
      <c r="G136" t="str">
        <f>VLOOKUP(Table1[[#This Row],[Winner]],Ranking!C:D,2,FALSE)</f>
        <v>SEC</v>
      </c>
      <c r="H136" s="1">
        <v>88</v>
      </c>
      <c r="I136" s="1">
        <v>15</v>
      </c>
      <c r="J136" t="s">
        <v>299</v>
      </c>
      <c r="K136" t="str">
        <f>VLOOKUP(Table1[[#This Row],[Loser]],Ranking!C:D,2,FALSE)</f>
        <v>MEAC</v>
      </c>
      <c r="L136" s="1">
        <v>71</v>
      </c>
      <c r="N136" s="1">
        <f>Table1[[#This Row],[Winning Score]]-Table1[[#This Row],[Losing Score]]</f>
        <v>17</v>
      </c>
      <c r="O136" s="1">
        <f>Table1[[#This Row],[Losing Seed]]-Table1[[#This Row],[Winning Seed]]</f>
        <v>13</v>
      </c>
      <c r="P136" s="1" t="str">
        <f>IF(Table1[[#This Row],[SeD]]&lt;-2,Table1[[#This Row],[Winning Seed]]&amp; " over " &amp;Table1[[#This Row],[Losing Seed]],"")</f>
        <v/>
      </c>
      <c r="Q136">
        <f>VLOOKUP(Table1[[#This Row],[Losing Seed]],'Seed History'!$N$4:$O$19,2)</f>
        <v>7.6388888888888895E-2</v>
      </c>
      <c r="R136" s="1">
        <f>IF(Table1[[#This Row],[Round]]="PI",0,Table1[[#This Row],[Round]]-1)</f>
        <v>0</v>
      </c>
      <c r="S136">
        <f>Table1[[#This Row],[LAW]]-Table1[[#This Row],[LEW]]</f>
        <v>-7.6388888888888895E-2</v>
      </c>
    </row>
    <row r="137" spans="1:19" x14ac:dyDescent="0.25">
      <c r="A137" s="66">
        <v>31848</v>
      </c>
      <c r="B137" s="51">
        <f>YEAR(Table1[[#This Row],[Date]])</f>
        <v>1987</v>
      </c>
      <c r="C137" s="1">
        <v>1</v>
      </c>
      <c r="D137" t="s">
        <v>461</v>
      </c>
      <c r="E137" s="1">
        <v>6</v>
      </c>
      <c r="F137" t="s">
        <v>56</v>
      </c>
      <c r="G137" t="str">
        <f>VLOOKUP(Table1[[#This Row],[Winner]],Ranking!C:D,2,FALSE)</f>
        <v>BE</v>
      </c>
      <c r="H137" s="1">
        <v>90</v>
      </c>
      <c r="I137" s="1">
        <v>11</v>
      </c>
      <c r="J137" t="s">
        <v>68</v>
      </c>
      <c r="K137" t="str">
        <f>VLOOKUP(Table1[[#This Row],[Loser]],Ranking!C:D,2,FALSE)</f>
        <v>CUSA</v>
      </c>
      <c r="L137" s="1">
        <v>68</v>
      </c>
      <c r="N137" s="1">
        <f>Table1[[#This Row],[Winning Score]]-Table1[[#This Row],[Losing Score]]</f>
        <v>22</v>
      </c>
      <c r="O137" s="1">
        <f>Table1[[#This Row],[Losing Seed]]-Table1[[#This Row],[Winning Seed]]</f>
        <v>5</v>
      </c>
      <c r="P137" s="1" t="str">
        <f>IF(Table1[[#This Row],[SeD]]&lt;-2,Table1[[#This Row],[Winning Seed]]&amp; " over " &amp;Table1[[#This Row],[Losing Seed]],"")</f>
        <v/>
      </c>
      <c r="Q137">
        <f>VLOOKUP(Table1[[#This Row],[Losing Seed]],'Seed History'!$N$4:$O$19,2)</f>
        <v>0.63194444444444442</v>
      </c>
      <c r="R137" s="1">
        <f>IF(Table1[[#This Row],[Round]]="PI",0,Table1[[#This Row],[Round]]-1)</f>
        <v>0</v>
      </c>
      <c r="S137">
        <f>Table1[[#This Row],[LAW]]-Table1[[#This Row],[LEW]]</f>
        <v>-0.63194444444444442</v>
      </c>
    </row>
    <row r="138" spans="1:19" x14ac:dyDescent="0.25">
      <c r="A138" s="66">
        <v>31848</v>
      </c>
      <c r="B138" s="51">
        <f>YEAR(Table1[[#This Row],[Date]])</f>
        <v>1987</v>
      </c>
      <c r="C138" s="1">
        <v>1</v>
      </c>
      <c r="D138" t="s">
        <v>461</v>
      </c>
      <c r="E138" s="1">
        <v>7</v>
      </c>
      <c r="F138" t="s">
        <v>293</v>
      </c>
      <c r="G138" t="str">
        <f>VLOOKUP(Table1[[#This Row],[Winner]],Ranking!C:D,2,FALSE)</f>
        <v>Slnd</v>
      </c>
      <c r="H138" s="1">
        <v>83</v>
      </c>
      <c r="I138" s="1">
        <v>10</v>
      </c>
      <c r="J138" t="s">
        <v>72</v>
      </c>
      <c r="K138" t="str">
        <f>VLOOKUP(Table1[[#This Row],[Loser]],Ranking!C:D,2,FALSE)</f>
        <v>WCC</v>
      </c>
      <c r="L138" s="1">
        <v>79</v>
      </c>
      <c r="N138" s="1">
        <f>Table1[[#This Row],[Winning Score]]-Table1[[#This Row],[Losing Score]]</f>
        <v>4</v>
      </c>
      <c r="O138" s="1">
        <f>Table1[[#This Row],[Losing Seed]]-Table1[[#This Row],[Winning Seed]]</f>
        <v>3</v>
      </c>
      <c r="P138" s="1" t="str">
        <f>IF(Table1[[#This Row],[SeD]]&lt;-2,Table1[[#This Row],[Winning Seed]]&amp; " over " &amp;Table1[[#This Row],[Losing Seed]],"")</f>
        <v/>
      </c>
      <c r="Q138">
        <f>VLOOKUP(Table1[[#This Row],[Losing Seed]],'Seed History'!$N$4:$O$19,2)</f>
        <v>0.61805555555555558</v>
      </c>
      <c r="R138" s="1">
        <f>IF(Table1[[#This Row],[Round]]="PI",0,Table1[[#This Row],[Round]]-1)</f>
        <v>0</v>
      </c>
      <c r="S138">
        <f>Table1[[#This Row],[LAW]]-Table1[[#This Row],[LEW]]</f>
        <v>-0.61805555555555558</v>
      </c>
    </row>
    <row r="139" spans="1:19" x14ac:dyDescent="0.25">
      <c r="A139" s="66">
        <v>31848</v>
      </c>
      <c r="B139" s="51">
        <f>YEAR(Table1[[#This Row],[Date]])</f>
        <v>1987</v>
      </c>
      <c r="C139" s="1">
        <v>1</v>
      </c>
      <c r="D139" t="s">
        <v>38</v>
      </c>
      <c r="E139" s="1">
        <v>1</v>
      </c>
      <c r="F139" t="s">
        <v>396</v>
      </c>
      <c r="G139" t="str">
        <f>VLOOKUP(Table1[[#This Row],[Winner]],Ranking!C:D,2,FALSE)</f>
        <v>MWC</v>
      </c>
      <c r="H139" s="1">
        <v>95</v>
      </c>
      <c r="I139" s="1">
        <v>16</v>
      </c>
      <c r="J139" t="s">
        <v>229</v>
      </c>
      <c r="K139" t="str">
        <f>VLOOKUP(Table1[[#This Row],[Loser]],Ranking!C:D,2,FALSE)</f>
        <v>BSky</v>
      </c>
      <c r="L139" s="1">
        <v>70</v>
      </c>
      <c r="N139" s="1">
        <f>Table1[[#This Row],[Winning Score]]-Table1[[#This Row],[Losing Score]]</f>
        <v>25</v>
      </c>
      <c r="O139" s="1">
        <f>Table1[[#This Row],[Losing Seed]]-Table1[[#This Row],[Winning Seed]]</f>
        <v>15</v>
      </c>
      <c r="P139" s="1" t="str">
        <f>IF(Table1[[#This Row],[SeD]]&lt;-2,Table1[[#This Row],[Winning Seed]]&amp; " over " &amp;Table1[[#This Row],[Losing Seed]],"")</f>
        <v/>
      </c>
      <c r="Q139">
        <f>VLOOKUP(Table1[[#This Row],[Losing Seed]],'Seed History'!$N$4:$O$19,2)</f>
        <v>6.9444444444444441E-3</v>
      </c>
      <c r="R139" s="1">
        <f>IF(Table1[[#This Row],[Round]]="PI",0,Table1[[#This Row],[Round]]-1)</f>
        <v>0</v>
      </c>
      <c r="S139">
        <f>Table1[[#This Row],[LAW]]-Table1[[#This Row],[LEW]]</f>
        <v>-6.9444444444444441E-3</v>
      </c>
    </row>
    <row r="140" spans="1:19" x14ac:dyDescent="0.25">
      <c r="A140" s="66">
        <v>31848</v>
      </c>
      <c r="B140" s="51">
        <f>YEAR(Table1[[#This Row],[Date]])</f>
        <v>1987</v>
      </c>
      <c r="C140" s="1">
        <v>1</v>
      </c>
      <c r="D140" t="s">
        <v>38</v>
      </c>
      <c r="E140" s="1">
        <v>4</v>
      </c>
      <c r="F140" t="s">
        <v>67</v>
      </c>
      <c r="G140" t="str">
        <f>VLOOKUP(Table1[[#This Row],[Winner]],Ranking!C:D,2,FALSE)</f>
        <v>P12</v>
      </c>
      <c r="H140" s="1">
        <v>92</v>
      </c>
      <c r="I140" s="1">
        <v>13</v>
      </c>
      <c r="J140" t="s">
        <v>163</v>
      </c>
      <c r="K140" t="str">
        <f>VLOOKUP(Table1[[#This Row],[Loser]],Ranking!C:D,2,FALSE)</f>
        <v>MAC</v>
      </c>
      <c r="L140" s="1">
        <v>73</v>
      </c>
      <c r="N140" s="1">
        <f>Table1[[#This Row],[Winning Score]]-Table1[[#This Row],[Losing Score]]</f>
        <v>19</v>
      </c>
      <c r="O140" s="1">
        <f>Table1[[#This Row],[Losing Seed]]-Table1[[#This Row],[Winning Seed]]</f>
        <v>9</v>
      </c>
      <c r="P140" s="1" t="str">
        <f>IF(Table1[[#This Row],[SeD]]&lt;-2,Table1[[#This Row],[Winning Seed]]&amp; " over " &amp;Table1[[#This Row],[Losing Seed]],"")</f>
        <v/>
      </c>
      <c r="Q140">
        <f>VLOOKUP(Table1[[#This Row],[Losing Seed]],'Seed History'!$N$4:$O$19,2)</f>
        <v>0.25694444444444442</v>
      </c>
      <c r="R140" s="1">
        <f>IF(Table1[[#This Row],[Round]]="PI",0,Table1[[#This Row],[Round]]-1)</f>
        <v>0</v>
      </c>
      <c r="S140">
        <f>Table1[[#This Row],[LAW]]-Table1[[#This Row],[LEW]]</f>
        <v>-0.25694444444444442</v>
      </c>
    </row>
    <row r="141" spans="1:19" x14ac:dyDescent="0.25">
      <c r="A141" s="66">
        <v>31848</v>
      </c>
      <c r="B141" s="51">
        <f>YEAR(Table1[[#This Row],[Date]])</f>
        <v>1987</v>
      </c>
      <c r="C141" s="1">
        <v>1</v>
      </c>
      <c r="D141" t="s">
        <v>38</v>
      </c>
      <c r="E141" s="1">
        <v>12</v>
      </c>
      <c r="F141" t="s">
        <v>53</v>
      </c>
      <c r="G141" t="str">
        <f>VLOOKUP(Table1[[#This Row],[Winner]],Ranking!C:D,2,FALSE)</f>
        <v>MWC</v>
      </c>
      <c r="H141" s="1">
        <v>64</v>
      </c>
      <c r="I141" s="1">
        <v>5</v>
      </c>
      <c r="J141" t="s">
        <v>61</v>
      </c>
      <c r="K141" t="str">
        <f>VLOOKUP(Table1[[#This Row],[Loser]],Ranking!C:D,2,FALSE)</f>
        <v>ACC</v>
      </c>
      <c r="L141" s="1">
        <v>60</v>
      </c>
      <c r="N141" s="1">
        <f>Table1[[#This Row],[Winning Score]]-Table1[[#This Row],[Losing Score]]</f>
        <v>4</v>
      </c>
      <c r="O141" s="1">
        <f>Table1[[#This Row],[Losing Seed]]-Table1[[#This Row],[Winning Seed]]</f>
        <v>-7</v>
      </c>
      <c r="P141" s="1" t="str">
        <f>IF(Table1[[#This Row],[SeD]]&lt;-2,Table1[[#This Row],[Winning Seed]]&amp; " over " &amp;Table1[[#This Row],[Losing Seed]],"")</f>
        <v>12 over 5</v>
      </c>
      <c r="Q141">
        <f>VLOOKUP(Table1[[#This Row],[Losing Seed]],'Seed History'!$N$4:$O$19,2)</f>
        <v>1.1180555555555556</v>
      </c>
      <c r="R141" s="1">
        <f>IF(Table1[[#This Row],[Round]]="PI",0,Table1[[#This Row],[Round]]-1)</f>
        <v>0</v>
      </c>
      <c r="S141">
        <f>Table1[[#This Row],[LAW]]-Table1[[#This Row],[LEW]]</f>
        <v>-1.1180555555555556</v>
      </c>
    </row>
    <row r="142" spans="1:19" x14ac:dyDescent="0.25">
      <c r="A142" s="66">
        <v>31848</v>
      </c>
      <c r="B142" s="51">
        <f>YEAR(Table1[[#This Row],[Date]])</f>
        <v>1987</v>
      </c>
      <c r="C142" s="1">
        <v>1</v>
      </c>
      <c r="D142" t="s">
        <v>49</v>
      </c>
      <c r="E142" s="1">
        <v>9</v>
      </c>
      <c r="F142" t="s">
        <v>82</v>
      </c>
      <c r="G142" t="str">
        <f>VLOOKUP(Table1[[#This Row],[Winner]],Ranking!C:D,2,FALSE)</f>
        <v>B10</v>
      </c>
      <c r="H142" s="1">
        <v>97</v>
      </c>
      <c r="I142" s="1">
        <v>8</v>
      </c>
      <c r="J142" t="s">
        <v>286</v>
      </c>
      <c r="K142" t="str">
        <f>VLOOKUP(Table1[[#This Row],[Loser]],Ranking!C:D,2,FALSE)</f>
        <v>Pat</v>
      </c>
      <c r="L142" s="1">
        <v>82</v>
      </c>
      <c r="N142" s="1">
        <f>Table1[[#This Row],[Winning Score]]-Table1[[#This Row],[Losing Score]]</f>
        <v>15</v>
      </c>
      <c r="O142" s="1">
        <f>Table1[[#This Row],[Losing Seed]]-Table1[[#This Row],[Winning Seed]]</f>
        <v>-1</v>
      </c>
      <c r="P142" s="1" t="str">
        <f>IF(Table1[[#This Row],[SeD]]&lt;-2,Table1[[#This Row],[Winning Seed]]&amp; " over " &amp;Table1[[#This Row],[Losing Seed]],"")</f>
        <v/>
      </c>
      <c r="Q142">
        <f>VLOOKUP(Table1[[#This Row],[Losing Seed]],'Seed History'!$N$4:$O$19,2)</f>
        <v>0.70833333333333337</v>
      </c>
      <c r="R142" s="1">
        <f>IF(Table1[[#This Row],[Round]]="PI",0,Table1[[#This Row],[Round]]-1)</f>
        <v>0</v>
      </c>
      <c r="S142">
        <f>Table1[[#This Row],[LAW]]-Table1[[#This Row],[LEW]]</f>
        <v>-0.70833333333333337</v>
      </c>
    </row>
    <row r="143" spans="1:19" x14ac:dyDescent="0.25">
      <c r="A143" s="66">
        <v>31848</v>
      </c>
      <c r="B143" s="51">
        <f>YEAR(Table1[[#This Row],[Date]])</f>
        <v>1987</v>
      </c>
      <c r="C143" s="1">
        <v>1</v>
      </c>
      <c r="D143" t="s">
        <v>38</v>
      </c>
      <c r="E143" s="1">
        <v>9</v>
      </c>
      <c r="F143" t="s">
        <v>243</v>
      </c>
      <c r="G143" t="str">
        <f>VLOOKUP(Table1[[#This Row],[Winner]],Ranking!C:D,2,FALSE)</f>
        <v>B12</v>
      </c>
      <c r="H143" s="1">
        <v>82</v>
      </c>
      <c r="I143" s="1">
        <v>8</v>
      </c>
      <c r="J143" t="s">
        <v>60</v>
      </c>
      <c r="K143" t="str">
        <f>VLOOKUP(Table1[[#This Row],[Loser]],Ranking!C:D,2,FALSE)</f>
        <v>SEC</v>
      </c>
      <c r="L143" s="1">
        <v>79</v>
      </c>
      <c r="M143" s="1" t="s">
        <v>462</v>
      </c>
      <c r="N143" s="1">
        <f>Table1[[#This Row],[Winning Score]]-Table1[[#This Row],[Losing Score]]</f>
        <v>3</v>
      </c>
      <c r="O143" s="1">
        <f>Table1[[#This Row],[Losing Seed]]-Table1[[#This Row],[Winning Seed]]</f>
        <v>-1</v>
      </c>
      <c r="P143" s="1" t="str">
        <f>IF(Table1[[#This Row],[SeD]]&lt;-2,Table1[[#This Row],[Winning Seed]]&amp; " over " &amp;Table1[[#This Row],[Losing Seed]],"")</f>
        <v/>
      </c>
      <c r="Q143">
        <f>VLOOKUP(Table1[[#This Row],[Losing Seed]],'Seed History'!$N$4:$O$19,2)</f>
        <v>0.70833333333333337</v>
      </c>
      <c r="R143" s="1">
        <f>IF(Table1[[#This Row],[Round]]="PI",0,Table1[[#This Row],[Round]]-1)</f>
        <v>0</v>
      </c>
      <c r="S143">
        <f>Table1[[#This Row],[LAW]]-Table1[[#This Row],[LEW]]</f>
        <v>-0.70833333333333337</v>
      </c>
    </row>
    <row r="144" spans="1:19" x14ac:dyDescent="0.25">
      <c r="A144" s="66">
        <v>31849</v>
      </c>
      <c r="B144" s="51">
        <f>YEAR(Table1[[#This Row],[Date]])</f>
        <v>1987</v>
      </c>
      <c r="C144" s="1">
        <v>1</v>
      </c>
      <c r="D144" t="s">
        <v>461</v>
      </c>
      <c r="E144" s="1">
        <v>13</v>
      </c>
      <c r="F144" t="s">
        <v>278</v>
      </c>
      <c r="G144" t="str">
        <f>VLOOKUP(Table1[[#This Row],[Winner]],Ranking!C:D,2,FALSE)</f>
        <v>MVC</v>
      </c>
      <c r="H144" s="1">
        <v>65</v>
      </c>
      <c r="I144" s="1">
        <v>4</v>
      </c>
      <c r="J144" t="s">
        <v>89</v>
      </c>
      <c r="K144" t="str">
        <f>VLOOKUP(Table1[[#This Row],[Loser]],Ranking!C:D,2,FALSE)</f>
        <v>ACC</v>
      </c>
      <c r="L144" s="1">
        <v>60</v>
      </c>
      <c r="N144" s="1">
        <f>Table1[[#This Row],[Winning Score]]-Table1[[#This Row],[Losing Score]]</f>
        <v>5</v>
      </c>
      <c r="O144" s="1">
        <f>Table1[[#This Row],[Losing Seed]]-Table1[[#This Row],[Winning Seed]]</f>
        <v>-9</v>
      </c>
      <c r="P144" s="1" t="str">
        <f>IF(Table1[[#This Row],[SeD]]&lt;-2,Table1[[#This Row],[Winning Seed]]&amp; " over " &amp;Table1[[#This Row],[Losing Seed]],"")</f>
        <v>13 over 4</v>
      </c>
      <c r="Q144">
        <f>VLOOKUP(Table1[[#This Row],[Losing Seed]],'Seed History'!$N$4:$O$19,2)</f>
        <v>1.5208333333333333</v>
      </c>
      <c r="R144" s="1">
        <f>IF(Table1[[#This Row],[Round]]="PI",0,Table1[[#This Row],[Round]]-1)</f>
        <v>0</v>
      </c>
      <c r="S144">
        <f>Table1[[#This Row],[LAW]]-Table1[[#This Row],[LEW]]</f>
        <v>-1.5208333333333333</v>
      </c>
    </row>
    <row r="145" spans="1:19" x14ac:dyDescent="0.25">
      <c r="A145" s="66">
        <v>31849</v>
      </c>
      <c r="B145" s="51">
        <f>YEAR(Table1[[#This Row],[Date]])</f>
        <v>1987</v>
      </c>
      <c r="C145" s="1">
        <v>1</v>
      </c>
      <c r="D145" t="s">
        <v>49</v>
      </c>
      <c r="E145" s="1">
        <v>2</v>
      </c>
      <c r="F145" t="s">
        <v>86</v>
      </c>
      <c r="G145" t="str">
        <f>VLOOKUP(Table1[[#This Row],[Winner]],Ranking!C:D,2,FALSE)</f>
        <v>ACC</v>
      </c>
      <c r="H145" s="1">
        <v>79</v>
      </c>
      <c r="I145" s="1">
        <v>15</v>
      </c>
      <c r="J145" t="s">
        <v>214</v>
      </c>
      <c r="K145" t="str">
        <f>VLOOKUP(Table1[[#This Row],[Loser]],Ranking!C:D,2,FALSE)</f>
        <v>SB</v>
      </c>
      <c r="L145" s="1">
        <v>73</v>
      </c>
      <c r="N145" s="1">
        <f>Table1[[#This Row],[Winning Score]]-Table1[[#This Row],[Losing Score]]</f>
        <v>6</v>
      </c>
      <c r="O145" s="1">
        <f>Table1[[#This Row],[Losing Seed]]-Table1[[#This Row],[Winning Seed]]</f>
        <v>13</v>
      </c>
      <c r="P145" s="1" t="str">
        <f>IF(Table1[[#This Row],[SeD]]&lt;-2,Table1[[#This Row],[Winning Seed]]&amp; " over " &amp;Table1[[#This Row],[Losing Seed]],"")</f>
        <v/>
      </c>
      <c r="Q145">
        <f>VLOOKUP(Table1[[#This Row],[Losing Seed]],'Seed History'!$N$4:$O$19,2)</f>
        <v>7.6388888888888895E-2</v>
      </c>
      <c r="R145" s="1">
        <f>IF(Table1[[#This Row],[Round]]="PI",0,Table1[[#This Row],[Round]]-1)</f>
        <v>0</v>
      </c>
      <c r="S145">
        <f>Table1[[#This Row],[LAW]]-Table1[[#This Row],[LEW]]</f>
        <v>-7.6388888888888895E-2</v>
      </c>
    </row>
    <row r="146" spans="1:19" x14ac:dyDescent="0.25">
      <c r="A146" s="66">
        <v>31849</v>
      </c>
      <c r="B146" s="51">
        <f>YEAR(Table1[[#This Row],[Date]])</f>
        <v>1987</v>
      </c>
      <c r="C146" s="1">
        <v>1</v>
      </c>
      <c r="D146" t="s">
        <v>49</v>
      </c>
      <c r="E146" s="1">
        <v>3</v>
      </c>
      <c r="F146" t="s">
        <v>29</v>
      </c>
      <c r="G146" t="str">
        <f>VLOOKUP(Table1[[#This Row],[Winner]],Ranking!C:D,2,FALSE)</f>
        <v>B10</v>
      </c>
      <c r="H146" s="1">
        <v>104</v>
      </c>
      <c r="I146" s="1">
        <v>14</v>
      </c>
      <c r="J146" t="s">
        <v>306</v>
      </c>
      <c r="K146" t="str">
        <f>VLOOKUP(Table1[[#This Row],[Loser]],Ranking!C:D,2,FALSE)</f>
        <v>CAA</v>
      </c>
      <c r="L146" s="1">
        <v>95</v>
      </c>
      <c r="N146" s="1">
        <f>Table1[[#This Row],[Winning Score]]-Table1[[#This Row],[Losing Score]]</f>
        <v>9</v>
      </c>
      <c r="O146" s="1">
        <f>Table1[[#This Row],[Losing Seed]]-Table1[[#This Row],[Winning Seed]]</f>
        <v>11</v>
      </c>
      <c r="P146" s="1" t="str">
        <f>IF(Table1[[#This Row],[SeD]]&lt;-2,Table1[[#This Row],[Winning Seed]]&amp; " over " &amp;Table1[[#This Row],[Losing Seed]],"")</f>
        <v/>
      </c>
      <c r="Q146">
        <f>VLOOKUP(Table1[[#This Row],[Losing Seed]],'Seed History'!$N$4:$O$19,2)</f>
        <v>0.16666666666666666</v>
      </c>
      <c r="R146" s="1">
        <f>IF(Table1[[#This Row],[Round]]="PI",0,Table1[[#This Row],[Round]]-1)</f>
        <v>0</v>
      </c>
      <c r="S146">
        <f>Table1[[#This Row],[LAW]]-Table1[[#This Row],[LEW]]</f>
        <v>-0.16666666666666666</v>
      </c>
    </row>
    <row r="147" spans="1:19" x14ac:dyDescent="0.25">
      <c r="A147" s="66">
        <v>31849</v>
      </c>
      <c r="B147" s="51">
        <f>YEAR(Table1[[#This Row],[Date]])</f>
        <v>1987</v>
      </c>
      <c r="C147" s="1">
        <v>1</v>
      </c>
      <c r="D147" t="s">
        <v>49</v>
      </c>
      <c r="E147" s="1">
        <v>6</v>
      </c>
      <c r="F147" t="s">
        <v>81</v>
      </c>
      <c r="G147" t="str">
        <f>VLOOKUP(Table1[[#This Row],[Winner]],Ranking!C:D,2,FALSE)</f>
        <v>SEC</v>
      </c>
      <c r="H147" s="1">
        <v>82</v>
      </c>
      <c r="I147" s="1">
        <v>11</v>
      </c>
      <c r="J147" t="s">
        <v>301</v>
      </c>
      <c r="K147" t="e">
        <f>VLOOKUP(Table1[[#This Row],[Loser]],Ranking!C:D,2,FALSE)</f>
        <v>#N/A</v>
      </c>
      <c r="L147" s="1">
        <v>70</v>
      </c>
      <c r="N147" s="1">
        <f>Table1[[#This Row],[Winning Score]]-Table1[[#This Row],[Losing Score]]</f>
        <v>12</v>
      </c>
      <c r="O147" s="1">
        <f>Table1[[#This Row],[Losing Seed]]-Table1[[#This Row],[Winning Seed]]</f>
        <v>5</v>
      </c>
      <c r="P147" s="1" t="str">
        <f>IF(Table1[[#This Row],[SeD]]&lt;-2,Table1[[#This Row],[Winning Seed]]&amp; " over " &amp;Table1[[#This Row],[Losing Seed]],"")</f>
        <v/>
      </c>
      <c r="Q147">
        <f>VLOOKUP(Table1[[#This Row],[Losing Seed]],'Seed History'!$N$4:$O$19,2)</f>
        <v>0.63194444444444442</v>
      </c>
      <c r="R147" s="1">
        <f>IF(Table1[[#This Row],[Round]]="PI",0,Table1[[#This Row],[Round]]-1)</f>
        <v>0</v>
      </c>
      <c r="S147">
        <f>Table1[[#This Row],[LAW]]-Table1[[#This Row],[LEW]]</f>
        <v>-0.63194444444444442</v>
      </c>
    </row>
    <row r="148" spans="1:19" x14ac:dyDescent="0.25">
      <c r="A148" s="66">
        <v>31849</v>
      </c>
      <c r="B148" s="51">
        <f>YEAR(Table1[[#This Row],[Date]])</f>
        <v>1987</v>
      </c>
      <c r="C148" s="1">
        <v>1</v>
      </c>
      <c r="D148" t="s">
        <v>439</v>
      </c>
      <c r="E148" s="1">
        <v>2</v>
      </c>
      <c r="F148" t="s">
        <v>373</v>
      </c>
      <c r="G148" t="str">
        <f>VLOOKUP(Table1[[#This Row],[Winner]],Ranking!C:D,2,FALSE)</f>
        <v>Amer</v>
      </c>
      <c r="H148" s="1">
        <v>75</v>
      </c>
      <c r="I148" s="1">
        <v>15</v>
      </c>
      <c r="J148" t="s">
        <v>361</v>
      </c>
      <c r="K148" t="str">
        <f>VLOOKUP(Table1[[#This Row],[Loser]],Ranking!C:D,2,FALSE)</f>
        <v>SWAC</v>
      </c>
      <c r="L148" s="1">
        <v>56</v>
      </c>
      <c r="N148" s="1">
        <f>Table1[[#This Row],[Winning Score]]-Table1[[#This Row],[Losing Score]]</f>
        <v>19</v>
      </c>
      <c r="O148" s="1">
        <f>Table1[[#This Row],[Losing Seed]]-Table1[[#This Row],[Winning Seed]]</f>
        <v>13</v>
      </c>
      <c r="P148" s="1" t="str">
        <f>IF(Table1[[#This Row],[SeD]]&lt;-2,Table1[[#This Row],[Winning Seed]]&amp; " over " &amp;Table1[[#This Row],[Losing Seed]],"")</f>
        <v/>
      </c>
      <c r="Q148">
        <f>VLOOKUP(Table1[[#This Row],[Losing Seed]],'Seed History'!$N$4:$O$19,2)</f>
        <v>7.6388888888888895E-2</v>
      </c>
      <c r="R148" s="1">
        <f>IF(Table1[[#This Row],[Round]]="PI",0,Table1[[#This Row],[Round]]-1)</f>
        <v>0</v>
      </c>
      <c r="S148">
        <f>Table1[[#This Row],[LAW]]-Table1[[#This Row],[LEW]]</f>
        <v>-7.6388888888888895E-2</v>
      </c>
    </row>
    <row r="149" spans="1:19" x14ac:dyDescent="0.25">
      <c r="A149" s="66">
        <v>31849</v>
      </c>
      <c r="B149" s="51">
        <f>YEAR(Table1[[#This Row],[Date]])</f>
        <v>1987</v>
      </c>
      <c r="C149" s="1">
        <v>1</v>
      </c>
      <c r="D149" t="s">
        <v>439</v>
      </c>
      <c r="E149" s="1">
        <v>3</v>
      </c>
      <c r="F149" t="s">
        <v>186</v>
      </c>
      <c r="G149" t="str">
        <f>VLOOKUP(Table1[[#This Row],[Winner]],Ranking!C:D,2,FALSE)</f>
        <v>BE</v>
      </c>
      <c r="H149" s="1">
        <v>76</v>
      </c>
      <c r="I149" s="1">
        <v>14</v>
      </c>
      <c r="J149" t="s">
        <v>256</v>
      </c>
      <c r="K149" t="str">
        <f>VLOOKUP(Table1[[#This Row],[Loser]],Ranking!C:D,2,FALSE)</f>
        <v>CUSA</v>
      </c>
      <c r="L149" s="1">
        <v>62</v>
      </c>
      <c r="N149" s="1">
        <f>Table1[[#This Row],[Winning Score]]-Table1[[#This Row],[Losing Score]]</f>
        <v>14</v>
      </c>
      <c r="O149" s="1">
        <f>Table1[[#This Row],[Losing Seed]]-Table1[[#This Row],[Winning Seed]]</f>
        <v>11</v>
      </c>
      <c r="P149" s="1" t="str">
        <f>IF(Table1[[#This Row],[SeD]]&lt;-2,Table1[[#This Row],[Winning Seed]]&amp; " over " &amp;Table1[[#This Row],[Losing Seed]],"")</f>
        <v/>
      </c>
      <c r="Q149">
        <f>VLOOKUP(Table1[[#This Row],[Losing Seed]],'Seed History'!$N$4:$O$19,2)</f>
        <v>0.16666666666666666</v>
      </c>
      <c r="R149" s="1">
        <f>IF(Table1[[#This Row],[Round]]="PI",0,Table1[[#This Row],[Round]]-1)</f>
        <v>0</v>
      </c>
      <c r="S149">
        <f>Table1[[#This Row],[LAW]]-Table1[[#This Row],[LEW]]</f>
        <v>-0.16666666666666666</v>
      </c>
    </row>
    <row r="150" spans="1:19" x14ac:dyDescent="0.25">
      <c r="A150" s="66">
        <v>31849</v>
      </c>
      <c r="B150" s="51">
        <f>YEAR(Table1[[#This Row],[Date]])</f>
        <v>1987</v>
      </c>
      <c r="C150" s="1">
        <v>1</v>
      </c>
      <c r="D150" t="s">
        <v>439</v>
      </c>
      <c r="E150" s="1">
        <v>6</v>
      </c>
      <c r="F150" t="s">
        <v>368</v>
      </c>
      <c r="G150" t="str">
        <f>VLOOKUP(Table1[[#This Row],[Winner]],Ranking!C:D,2,FALSE)</f>
        <v>BE</v>
      </c>
      <c r="H150" s="1">
        <v>57</v>
      </c>
      <c r="I150" s="1">
        <v>11</v>
      </c>
      <c r="J150" t="s">
        <v>417</v>
      </c>
      <c r="K150" t="str">
        <f>VLOOKUP(Table1[[#This Row],[Loser]],Ranking!C:D,2,FALSE)</f>
        <v>Amer</v>
      </c>
      <c r="L150" s="1">
        <v>55</v>
      </c>
      <c r="N150" s="1">
        <f>Table1[[#This Row],[Winning Score]]-Table1[[#This Row],[Losing Score]]</f>
        <v>2</v>
      </c>
      <c r="O150" s="1">
        <f>Table1[[#This Row],[Losing Seed]]-Table1[[#This Row],[Winning Seed]]</f>
        <v>5</v>
      </c>
      <c r="P150" s="1" t="str">
        <f>IF(Table1[[#This Row],[SeD]]&lt;-2,Table1[[#This Row],[Winning Seed]]&amp; " over " &amp;Table1[[#This Row],[Losing Seed]],"")</f>
        <v/>
      </c>
      <c r="Q150">
        <f>VLOOKUP(Table1[[#This Row],[Losing Seed]],'Seed History'!$N$4:$O$19,2)</f>
        <v>0.63194444444444442</v>
      </c>
      <c r="R150" s="1">
        <f>IF(Table1[[#This Row],[Round]]="PI",0,Table1[[#This Row],[Round]]-1)</f>
        <v>0</v>
      </c>
      <c r="S150">
        <f>Table1[[#This Row],[LAW]]-Table1[[#This Row],[LEW]]</f>
        <v>-0.63194444444444442</v>
      </c>
    </row>
    <row r="151" spans="1:19" x14ac:dyDescent="0.25">
      <c r="A151" s="66">
        <v>31849</v>
      </c>
      <c r="B151" s="51">
        <f>YEAR(Table1[[#This Row],[Date]])</f>
        <v>1987</v>
      </c>
      <c r="C151" s="1">
        <v>1</v>
      </c>
      <c r="D151" t="s">
        <v>461</v>
      </c>
      <c r="E151" s="1">
        <v>1</v>
      </c>
      <c r="F151" t="s">
        <v>66</v>
      </c>
      <c r="G151" t="str">
        <f>VLOOKUP(Table1[[#This Row],[Winner]],Ranking!C:D,2,FALSE)</f>
        <v>BE</v>
      </c>
      <c r="H151" s="1">
        <v>75</v>
      </c>
      <c r="I151" s="1">
        <v>16</v>
      </c>
      <c r="J151" t="s">
        <v>148</v>
      </c>
      <c r="K151" t="str">
        <f>VLOOKUP(Table1[[#This Row],[Loser]],Ranking!C:D,2,FALSE)</f>
        <v>Pat</v>
      </c>
      <c r="L151" s="1">
        <v>53</v>
      </c>
      <c r="N151" s="1">
        <f>Table1[[#This Row],[Winning Score]]-Table1[[#This Row],[Losing Score]]</f>
        <v>22</v>
      </c>
      <c r="O151" s="1">
        <f>Table1[[#This Row],[Losing Seed]]-Table1[[#This Row],[Winning Seed]]</f>
        <v>15</v>
      </c>
      <c r="P151" s="1" t="str">
        <f>IF(Table1[[#This Row],[SeD]]&lt;-2,Table1[[#This Row],[Winning Seed]]&amp; " over " &amp;Table1[[#This Row],[Losing Seed]],"")</f>
        <v/>
      </c>
      <c r="Q151">
        <f>VLOOKUP(Table1[[#This Row],[Losing Seed]],'Seed History'!$N$4:$O$19,2)</f>
        <v>6.9444444444444441E-3</v>
      </c>
      <c r="R151" s="1">
        <f>IF(Table1[[#This Row],[Round]]="PI",0,Table1[[#This Row],[Round]]-1)</f>
        <v>0</v>
      </c>
      <c r="S151">
        <f>Table1[[#This Row],[LAW]]-Table1[[#This Row],[LEW]]</f>
        <v>-6.9444444444444441E-3</v>
      </c>
    </row>
    <row r="152" spans="1:19" x14ac:dyDescent="0.25">
      <c r="A152" s="66">
        <v>31849</v>
      </c>
      <c r="B152" s="51">
        <f>YEAR(Table1[[#This Row],[Date]])</f>
        <v>1987</v>
      </c>
      <c r="C152" s="1">
        <v>1</v>
      </c>
      <c r="D152" t="s">
        <v>461</v>
      </c>
      <c r="E152" s="1">
        <v>5</v>
      </c>
      <c r="F152" t="s">
        <v>37</v>
      </c>
      <c r="G152" t="str">
        <f>VLOOKUP(Table1[[#This Row],[Winner]],Ranking!C:D,2,FALSE)</f>
        <v>B12</v>
      </c>
      <c r="H152" s="1">
        <v>66</v>
      </c>
      <c r="I152" s="1">
        <v>12</v>
      </c>
      <c r="J152" t="s">
        <v>225</v>
      </c>
      <c r="K152" t="str">
        <f>VLOOKUP(Table1[[#This Row],[Loser]],Ranking!C:D,2,FALSE)</f>
        <v>Amer</v>
      </c>
      <c r="L152" s="1">
        <v>55</v>
      </c>
      <c r="N152" s="1">
        <f>Table1[[#This Row],[Winning Score]]-Table1[[#This Row],[Losing Score]]</f>
        <v>11</v>
      </c>
      <c r="O152" s="1">
        <f>Table1[[#This Row],[Losing Seed]]-Table1[[#This Row],[Winning Seed]]</f>
        <v>7</v>
      </c>
      <c r="P152" s="1" t="str">
        <f>IF(Table1[[#This Row],[SeD]]&lt;-2,Table1[[#This Row],[Winning Seed]]&amp; " over " &amp;Table1[[#This Row],[Losing Seed]],"")</f>
        <v/>
      </c>
      <c r="Q152">
        <f>VLOOKUP(Table1[[#This Row],[Losing Seed]],'Seed History'!$N$4:$O$19,2)</f>
        <v>0.52083333333333337</v>
      </c>
      <c r="R152" s="1">
        <f>IF(Table1[[#This Row],[Round]]="PI",0,Table1[[#This Row],[Round]]-1)</f>
        <v>0</v>
      </c>
      <c r="S152">
        <f>Table1[[#This Row],[LAW]]-Table1[[#This Row],[LEW]]</f>
        <v>-0.52083333333333337</v>
      </c>
    </row>
    <row r="153" spans="1:19" x14ac:dyDescent="0.25">
      <c r="A153" s="66">
        <v>31849</v>
      </c>
      <c r="B153" s="51">
        <f>YEAR(Table1[[#This Row],[Date]])</f>
        <v>1987</v>
      </c>
      <c r="C153" s="1">
        <v>1</v>
      </c>
      <c r="D153" t="s">
        <v>38</v>
      </c>
      <c r="E153" s="1">
        <v>2</v>
      </c>
      <c r="F153" t="s">
        <v>69</v>
      </c>
      <c r="G153" t="str">
        <f>VLOOKUP(Table1[[#This Row],[Winner]],Ranking!C:D,2,FALSE)</f>
        <v>B10</v>
      </c>
      <c r="H153" s="1">
        <v>99</v>
      </c>
      <c r="I153" s="1">
        <v>15</v>
      </c>
      <c r="J153" t="s">
        <v>347</v>
      </c>
      <c r="K153" t="str">
        <f>VLOOKUP(Table1[[#This Row],[Loser]],Ranking!C:D,2,FALSE)</f>
        <v>WCC</v>
      </c>
      <c r="L153" s="1">
        <v>76</v>
      </c>
      <c r="N153" s="1">
        <f>Table1[[#This Row],[Winning Score]]-Table1[[#This Row],[Losing Score]]</f>
        <v>23</v>
      </c>
      <c r="O153" s="1">
        <f>Table1[[#This Row],[Losing Seed]]-Table1[[#This Row],[Winning Seed]]</f>
        <v>13</v>
      </c>
      <c r="P153" s="1" t="str">
        <f>IF(Table1[[#This Row],[SeD]]&lt;-2,Table1[[#This Row],[Winning Seed]]&amp; " over " &amp;Table1[[#This Row],[Losing Seed]],"")</f>
        <v/>
      </c>
      <c r="Q153">
        <f>VLOOKUP(Table1[[#This Row],[Losing Seed]],'Seed History'!$N$4:$O$19,2)</f>
        <v>7.6388888888888895E-2</v>
      </c>
      <c r="R153" s="1">
        <f>IF(Table1[[#This Row],[Round]]="PI",0,Table1[[#This Row],[Round]]-1)</f>
        <v>0</v>
      </c>
      <c r="S153">
        <f>Table1[[#This Row],[LAW]]-Table1[[#This Row],[LEW]]</f>
        <v>-7.6388888888888895E-2</v>
      </c>
    </row>
    <row r="154" spans="1:19" x14ac:dyDescent="0.25">
      <c r="A154" s="66">
        <v>31849</v>
      </c>
      <c r="B154" s="51">
        <f>YEAR(Table1[[#This Row],[Date]])</f>
        <v>1987</v>
      </c>
      <c r="C154" s="1">
        <v>1</v>
      </c>
      <c r="D154" t="s">
        <v>38</v>
      </c>
      <c r="E154" s="1">
        <v>3</v>
      </c>
      <c r="F154" t="s">
        <v>83</v>
      </c>
      <c r="G154" t="str">
        <f>VLOOKUP(Table1[[#This Row],[Winner]],Ranking!C:D,2,FALSE)</f>
        <v>ACC</v>
      </c>
      <c r="H154" s="1">
        <v>93</v>
      </c>
      <c r="I154" s="1">
        <v>14</v>
      </c>
      <c r="J154" t="s">
        <v>261</v>
      </c>
      <c r="K154" t="str">
        <f>VLOOKUP(Table1[[#This Row],[Loser]],Ranking!C:D,2,FALSE)</f>
        <v>MAAC</v>
      </c>
      <c r="L154" s="1">
        <v>68</v>
      </c>
      <c r="N154" s="1">
        <f>Table1[[#This Row],[Winning Score]]-Table1[[#This Row],[Losing Score]]</f>
        <v>25</v>
      </c>
      <c r="O154" s="1">
        <f>Table1[[#This Row],[Losing Seed]]-Table1[[#This Row],[Winning Seed]]</f>
        <v>11</v>
      </c>
      <c r="P154" s="1" t="str">
        <f>IF(Table1[[#This Row],[SeD]]&lt;-2,Table1[[#This Row],[Winning Seed]]&amp; " over " &amp;Table1[[#This Row],[Losing Seed]],"")</f>
        <v/>
      </c>
      <c r="Q154">
        <f>VLOOKUP(Table1[[#This Row],[Losing Seed]],'Seed History'!$N$4:$O$19,2)</f>
        <v>0.16666666666666666</v>
      </c>
      <c r="R154" s="1">
        <f>IF(Table1[[#This Row],[Round]]="PI",0,Table1[[#This Row],[Round]]-1)</f>
        <v>0</v>
      </c>
      <c r="S154">
        <f>Table1[[#This Row],[LAW]]-Table1[[#This Row],[LEW]]</f>
        <v>-0.16666666666666666</v>
      </c>
    </row>
    <row r="155" spans="1:19" x14ac:dyDescent="0.25">
      <c r="A155" s="66">
        <v>31849</v>
      </c>
      <c r="B155" s="51">
        <f>YEAR(Table1[[#This Row],[Date]])</f>
        <v>1987</v>
      </c>
      <c r="C155" s="1">
        <v>1</v>
      </c>
      <c r="D155" t="s">
        <v>38</v>
      </c>
      <c r="E155" s="1">
        <v>6</v>
      </c>
      <c r="F155" t="s">
        <v>58</v>
      </c>
      <c r="G155" t="str">
        <f>VLOOKUP(Table1[[#This Row],[Winner]],Ranking!C:D,2,FALSE)</f>
        <v>B12</v>
      </c>
      <c r="H155" s="1">
        <v>74</v>
      </c>
      <c r="I155" s="1">
        <v>11</v>
      </c>
      <c r="J155" t="s">
        <v>94</v>
      </c>
      <c r="K155" t="str">
        <f>VLOOKUP(Table1[[#This Row],[Loser]],Ranking!C:D,2,FALSE)</f>
        <v>Amer</v>
      </c>
      <c r="L155" s="1">
        <v>69</v>
      </c>
      <c r="N155" s="1">
        <f>Table1[[#This Row],[Winning Score]]-Table1[[#This Row],[Losing Score]]</f>
        <v>5</v>
      </c>
      <c r="O155" s="1">
        <f>Table1[[#This Row],[Losing Seed]]-Table1[[#This Row],[Winning Seed]]</f>
        <v>5</v>
      </c>
      <c r="P155" s="1" t="str">
        <f>IF(Table1[[#This Row],[SeD]]&lt;-2,Table1[[#This Row],[Winning Seed]]&amp; " over " &amp;Table1[[#This Row],[Losing Seed]],"")</f>
        <v/>
      </c>
      <c r="Q155">
        <f>VLOOKUP(Table1[[#This Row],[Losing Seed]],'Seed History'!$N$4:$O$19,2)</f>
        <v>0.63194444444444442</v>
      </c>
      <c r="R155" s="1">
        <f>IF(Table1[[#This Row],[Round]]="PI",0,Table1[[#This Row],[Round]]-1)</f>
        <v>0</v>
      </c>
      <c r="S155">
        <f>Table1[[#This Row],[LAW]]-Table1[[#This Row],[LEW]]</f>
        <v>-0.63194444444444442</v>
      </c>
    </row>
    <row r="156" spans="1:19" x14ac:dyDescent="0.25">
      <c r="A156" s="66">
        <v>31849</v>
      </c>
      <c r="B156" s="51">
        <f>YEAR(Table1[[#This Row],[Date]])</f>
        <v>1987</v>
      </c>
      <c r="C156" s="1">
        <v>1</v>
      </c>
      <c r="D156" t="s">
        <v>38</v>
      </c>
      <c r="E156" s="1">
        <v>7</v>
      </c>
      <c r="F156" t="s">
        <v>402</v>
      </c>
      <c r="G156" t="str">
        <f>VLOOKUP(Table1[[#This Row],[Winner]],Ranking!C:D,2,FALSE)</f>
        <v>CUSA</v>
      </c>
      <c r="H156" s="1">
        <v>98</v>
      </c>
      <c r="I156" s="1">
        <v>10</v>
      </c>
      <c r="J156" t="s">
        <v>48</v>
      </c>
      <c r="K156" t="str">
        <f>VLOOKUP(Table1[[#This Row],[Loser]],Ranking!C:D,2,FALSE)</f>
        <v>P12</v>
      </c>
      <c r="L156" s="1">
        <v>91</v>
      </c>
      <c r="M156" s="1" t="s">
        <v>462</v>
      </c>
      <c r="N156" s="1">
        <f>Table1[[#This Row],[Winning Score]]-Table1[[#This Row],[Losing Score]]</f>
        <v>7</v>
      </c>
      <c r="O156" s="1">
        <f>Table1[[#This Row],[Losing Seed]]-Table1[[#This Row],[Winning Seed]]</f>
        <v>3</v>
      </c>
      <c r="P156" s="1" t="str">
        <f>IF(Table1[[#This Row],[SeD]]&lt;-2,Table1[[#This Row],[Winning Seed]]&amp; " over " &amp;Table1[[#This Row],[Losing Seed]],"")</f>
        <v/>
      </c>
      <c r="Q156">
        <f>VLOOKUP(Table1[[#This Row],[Losing Seed]],'Seed History'!$N$4:$O$19,2)</f>
        <v>0.61805555555555558</v>
      </c>
      <c r="R156" s="1">
        <f>IF(Table1[[#This Row],[Round]]="PI",0,Table1[[#This Row],[Round]]-1)</f>
        <v>0</v>
      </c>
      <c r="S156">
        <f>Table1[[#This Row],[LAW]]-Table1[[#This Row],[LEW]]</f>
        <v>-0.61805555555555558</v>
      </c>
    </row>
    <row r="157" spans="1:19" x14ac:dyDescent="0.25">
      <c r="A157" s="66">
        <v>31849</v>
      </c>
      <c r="B157" s="51">
        <f>YEAR(Table1[[#This Row],[Date]])</f>
        <v>1987</v>
      </c>
      <c r="C157" s="1">
        <v>1</v>
      </c>
      <c r="D157" t="s">
        <v>49</v>
      </c>
      <c r="E157" s="1">
        <v>10</v>
      </c>
      <c r="F157" t="s">
        <v>415</v>
      </c>
      <c r="G157" t="str">
        <f>VLOOKUP(Table1[[#This Row],[Winner]],Ranking!C:D,2,FALSE)</f>
        <v>CUSA</v>
      </c>
      <c r="H157" s="1">
        <v>64</v>
      </c>
      <c r="I157" s="1">
        <v>7</v>
      </c>
      <c r="J157" t="s">
        <v>412</v>
      </c>
      <c r="K157" t="str">
        <f>VLOOKUP(Table1[[#This Row],[Loser]],Ranking!C:D,2,FALSE)</f>
        <v>B12</v>
      </c>
      <c r="L157" s="1">
        <v>62</v>
      </c>
      <c r="N157" s="1">
        <f>Table1[[#This Row],[Winning Score]]-Table1[[#This Row],[Losing Score]]</f>
        <v>2</v>
      </c>
      <c r="O157" s="1">
        <f>Table1[[#This Row],[Losing Seed]]-Table1[[#This Row],[Winning Seed]]</f>
        <v>-3</v>
      </c>
      <c r="P157" s="1" t="str">
        <f>IF(Table1[[#This Row],[SeD]]&lt;-2,Table1[[#This Row],[Winning Seed]]&amp; " over " &amp;Table1[[#This Row],[Losing Seed]],"")</f>
        <v>10 over 7</v>
      </c>
      <c r="Q157">
        <f>VLOOKUP(Table1[[#This Row],[Losing Seed]],'Seed History'!$N$4:$O$19,2)</f>
        <v>0.90277777777777779</v>
      </c>
      <c r="R157" s="1">
        <f>IF(Table1[[#This Row],[Round]]="PI",0,Table1[[#This Row],[Round]]-1)</f>
        <v>0</v>
      </c>
      <c r="S157">
        <f>Table1[[#This Row],[LAW]]-Table1[[#This Row],[LEW]]</f>
        <v>-0.90277777777777779</v>
      </c>
    </row>
    <row r="158" spans="1:19" x14ac:dyDescent="0.25">
      <c r="A158" s="66">
        <v>31849</v>
      </c>
      <c r="B158" s="51">
        <f>YEAR(Table1[[#This Row],[Date]])</f>
        <v>1987</v>
      </c>
      <c r="C158" s="1">
        <v>1</v>
      </c>
      <c r="D158" t="s">
        <v>439</v>
      </c>
      <c r="E158" s="1">
        <v>10</v>
      </c>
      <c r="F158" t="s">
        <v>52</v>
      </c>
      <c r="G158" t="str">
        <f>VLOOKUP(Table1[[#This Row],[Winner]],Ranking!C:D,2,FALSE)</f>
        <v>SEC</v>
      </c>
      <c r="H158" s="1">
        <v>85</v>
      </c>
      <c r="I158" s="1">
        <v>7</v>
      </c>
      <c r="J158" t="s">
        <v>216</v>
      </c>
      <c r="K158" t="str">
        <f>VLOOKUP(Table1[[#This Row],[Loser]],Ranking!C:D,2,FALSE)</f>
        <v>ACC</v>
      </c>
      <c r="L158" s="1">
        <v>79</v>
      </c>
      <c r="N158" s="1">
        <f>Table1[[#This Row],[Winning Score]]-Table1[[#This Row],[Losing Score]]</f>
        <v>6</v>
      </c>
      <c r="O158" s="1">
        <f>Table1[[#This Row],[Losing Seed]]-Table1[[#This Row],[Winning Seed]]</f>
        <v>-3</v>
      </c>
      <c r="P158" s="1" t="str">
        <f>IF(Table1[[#This Row],[SeD]]&lt;-2,Table1[[#This Row],[Winning Seed]]&amp; " over " &amp;Table1[[#This Row],[Losing Seed]],"")</f>
        <v>10 over 7</v>
      </c>
      <c r="Q158">
        <f>VLOOKUP(Table1[[#This Row],[Losing Seed]],'Seed History'!$N$4:$O$19,2)</f>
        <v>0.90277777777777779</v>
      </c>
      <c r="R158" s="1">
        <f>IF(Table1[[#This Row],[Round]]="PI",0,Table1[[#This Row],[Round]]-1)</f>
        <v>0</v>
      </c>
      <c r="S158">
        <f>Table1[[#This Row],[LAW]]-Table1[[#This Row],[LEW]]</f>
        <v>-0.90277777777777779</v>
      </c>
    </row>
    <row r="159" spans="1:19" x14ac:dyDescent="0.25">
      <c r="A159" s="66">
        <v>31849</v>
      </c>
      <c r="B159" s="51">
        <f>YEAR(Table1[[#This Row],[Date]])</f>
        <v>1987</v>
      </c>
      <c r="C159" s="1">
        <v>1</v>
      </c>
      <c r="D159" t="s">
        <v>461</v>
      </c>
      <c r="E159" s="1">
        <v>9</v>
      </c>
      <c r="F159" t="s">
        <v>315</v>
      </c>
      <c r="G159" t="str">
        <f>VLOOKUP(Table1[[#This Row],[Winner]],Ranking!C:D,2,FALSE)</f>
        <v>B10</v>
      </c>
      <c r="H159" s="1">
        <v>91</v>
      </c>
      <c r="I159" s="1">
        <v>8</v>
      </c>
      <c r="J159" t="s">
        <v>26</v>
      </c>
      <c r="K159" t="str">
        <f>VLOOKUP(Table1[[#This Row],[Loser]],Ranking!C:D,2,FALSE)</f>
        <v>SEC</v>
      </c>
      <c r="L159" s="1">
        <v>77</v>
      </c>
      <c r="N159" s="1">
        <f>Table1[[#This Row],[Winning Score]]-Table1[[#This Row],[Losing Score]]</f>
        <v>14</v>
      </c>
      <c r="O159" s="1">
        <f>Table1[[#This Row],[Losing Seed]]-Table1[[#This Row],[Winning Seed]]</f>
        <v>-1</v>
      </c>
      <c r="P159" s="1" t="str">
        <f>IF(Table1[[#This Row],[SeD]]&lt;-2,Table1[[#This Row],[Winning Seed]]&amp; " over " &amp;Table1[[#This Row],[Losing Seed]],"")</f>
        <v/>
      </c>
      <c r="Q159">
        <f>VLOOKUP(Table1[[#This Row],[Losing Seed]],'Seed History'!$N$4:$O$19,2)</f>
        <v>0.70833333333333337</v>
      </c>
      <c r="R159" s="1">
        <f>IF(Table1[[#This Row],[Round]]="PI",0,Table1[[#This Row],[Round]]-1)</f>
        <v>0</v>
      </c>
      <c r="S159">
        <f>Table1[[#This Row],[LAW]]-Table1[[#This Row],[LEW]]</f>
        <v>-0.70833333333333337</v>
      </c>
    </row>
    <row r="160" spans="1:19" x14ac:dyDescent="0.25">
      <c r="A160" s="66">
        <v>31850</v>
      </c>
      <c r="B160" s="51">
        <f>YEAR(Table1[[#This Row],[Date]])</f>
        <v>1987</v>
      </c>
      <c r="C160" s="1">
        <v>2</v>
      </c>
      <c r="D160" t="s">
        <v>49</v>
      </c>
      <c r="E160" s="1">
        <v>1</v>
      </c>
      <c r="F160" t="s">
        <v>298</v>
      </c>
      <c r="G160" t="str">
        <f>VLOOKUP(Table1[[#This Row],[Winner]],Ranking!C:D,2,FALSE)</f>
        <v>ACC</v>
      </c>
      <c r="H160" s="1">
        <v>109</v>
      </c>
      <c r="I160" s="1">
        <v>9</v>
      </c>
      <c r="J160" t="s">
        <v>82</v>
      </c>
      <c r="K160" t="str">
        <f>VLOOKUP(Table1[[#This Row],[Loser]],Ranking!C:D,2,FALSE)</f>
        <v>B10</v>
      </c>
      <c r="L160" s="1">
        <v>97</v>
      </c>
      <c r="N160" s="1">
        <f>Table1[[#This Row],[Winning Score]]-Table1[[#This Row],[Losing Score]]</f>
        <v>12</v>
      </c>
      <c r="O160" s="1">
        <f>Table1[[#This Row],[Losing Seed]]-Table1[[#This Row],[Winning Seed]]</f>
        <v>8</v>
      </c>
      <c r="P160" s="1" t="str">
        <f>IF(Table1[[#This Row],[SeD]]&lt;-2,Table1[[#This Row],[Winning Seed]]&amp; " over " &amp;Table1[[#This Row],[Losing Seed]],"")</f>
        <v/>
      </c>
      <c r="Q160">
        <f>VLOOKUP(Table1[[#This Row],[Losing Seed]],'Seed History'!$N$4:$O$19,2)</f>
        <v>0.59027777777777779</v>
      </c>
      <c r="R160" s="1">
        <f>IF(Table1[[#This Row],[Round]]="PI",0,Table1[[#This Row],[Round]]-1)</f>
        <v>1</v>
      </c>
      <c r="S160">
        <f>Table1[[#This Row],[LAW]]-Table1[[#This Row],[LEW]]</f>
        <v>0.40972222222222221</v>
      </c>
    </row>
    <row r="161" spans="1:19" x14ac:dyDescent="0.25">
      <c r="A161" s="66">
        <v>31850</v>
      </c>
      <c r="B161" s="51">
        <f>YEAR(Table1[[#This Row],[Date]])</f>
        <v>1987</v>
      </c>
      <c r="C161" s="1">
        <v>2</v>
      </c>
      <c r="D161" t="s">
        <v>439</v>
      </c>
      <c r="E161" s="1">
        <v>1</v>
      </c>
      <c r="F161" t="s">
        <v>36</v>
      </c>
      <c r="G161" t="str">
        <f>VLOOKUP(Table1[[#This Row],[Winner]],Ranking!C:D,2,FALSE)</f>
        <v>B10</v>
      </c>
      <c r="H161" s="1">
        <v>107</v>
      </c>
      <c r="I161" s="1">
        <v>8</v>
      </c>
      <c r="J161" t="s">
        <v>129</v>
      </c>
      <c r="K161" t="str">
        <f>VLOOKUP(Table1[[#This Row],[Loser]],Ranking!C:D,2,FALSE)</f>
        <v>SEC</v>
      </c>
      <c r="L161" s="1">
        <v>90</v>
      </c>
      <c r="N161" s="1">
        <f>Table1[[#This Row],[Winning Score]]-Table1[[#This Row],[Losing Score]]</f>
        <v>17</v>
      </c>
      <c r="O161" s="1">
        <f>Table1[[#This Row],[Losing Seed]]-Table1[[#This Row],[Winning Seed]]</f>
        <v>7</v>
      </c>
      <c r="P161" s="1" t="str">
        <f>IF(Table1[[#This Row],[SeD]]&lt;-2,Table1[[#This Row],[Winning Seed]]&amp; " over " &amp;Table1[[#This Row],[Losing Seed]],"")</f>
        <v/>
      </c>
      <c r="Q161">
        <f>VLOOKUP(Table1[[#This Row],[Losing Seed]],'Seed History'!$N$4:$O$19,2)</f>
        <v>0.70833333333333337</v>
      </c>
      <c r="R161" s="1">
        <f>IF(Table1[[#This Row],[Round]]="PI",0,Table1[[#This Row],[Round]]-1)</f>
        <v>1</v>
      </c>
      <c r="S161">
        <f>Table1[[#This Row],[LAW]]-Table1[[#This Row],[LEW]]</f>
        <v>0.29166666666666663</v>
      </c>
    </row>
    <row r="162" spans="1:19" x14ac:dyDescent="0.25">
      <c r="A162" s="66">
        <v>31850</v>
      </c>
      <c r="B162" s="51">
        <f>YEAR(Table1[[#This Row],[Date]])</f>
        <v>1987</v>
      </c>
      <c r="C162" s="1">
        <v>2</v>
      </c>
      <c r="D162" t="s">
        <v>439</v>
      </c>
      <c r="E162" s="1">
        <v>5</v>
      </c>
      <c r="F162" t="s">
        <v>64</v>
      </c>
      <c r="G162" t="str">
        <f>VLOOKUP(Table1[[#This Row],[Winner]],Ranking!C:D,2,FALSE)</f>
        <v>ACC</v>
      </c>
      <c r="H162" s="1">
        <v>65</v>
      </c>
      <c r="I162" s="1">
        <v>13</v>
      </c>
      <c r="J162" t="s">
        <v>44</v>
      </c>
      <c r="K162" t="str">
        <f>VLOOKUP(Table1[[#This Row],[Loser]],Ranking!C:D,2,FALSE)</f>
        <v>BE</v>
      </c>
      <c r="L162" s="1">
        <v>60</v>
      </c>
      <c r="N162" s="1">
        <f>Table1[[#This Row],[Winning Score]]-Table1[[#This Row],[Losing Score]]</f>
        <v>5</v>
      </c>
      <c r="O162" s="1">
        <f>Table1[[#This Row],[Losing Seed]]-Table1[[#This Row],[Winning Seed]]</f>
        <v>8</v>
      </c>
      <c r="P162" s="1" t="str">
        <f>IF(Table1[[#This Row],[SeD]]&lt;-2,Table1[[#This Row],[Winning Seed]]&amp; " over " &amp;Table1[[#This Row],[Losing Seed]],"")</f>
        <v/>
      </c>
      <c r="Q162">
        <f>VLOOKUP(Table1[[#This Row],[Losing Seed]],'Seed History'!$N$4:$O$19,2)</f>
        <v>0.25694444444444442</v>
      </c>
      <c r="R162" s="1">
        <f>IF(Table1[[#This Row],[Round]]="PI",0,Table1[[#This Row],[Round]]-1)</f>
        <v>1</v>
      </c>
      <c r="S162">
        <f>Table1[[#This Row],[LAW]]-Table1[[#This Row],[LEW]]</f>
        <v>0.74305555555555558</v>
      </c>
    </row>
    <row r="163" spans="1:19" x14ac:dyDescent="0.25">
      <c r="A163" s="66">
        <v>31850</v>
      </c>
      <c r="B163" s="51">
        <f>YEAR(Table1[[#This Row],[Date]])</f>
        <v>1987</v>
      </c>
      <c r="C163" s="1">
        <v>2</v>
      </c>
      <c r="D163" t="s">
        <v>461</v>
      </c>
      <c r="E163" s="1">
        <v>2</v>
      </c>
      <c r="F163" t="s">
        <v>113</v>
      </c>
      <c r="G163" t="str">
        <f>VLOOKUP(Table1[[#This Row],[Winner]],Ranking!C:D,2,FALSE)</f>
        <v>SEC</v>
      </c>
      <c r="H163" s="1">
        <v>101</v>
      </c>
      <c r="I163" s="1">
        <v>7</v>
      </c>
      <c r="J163" t="s">
        <v>293</v>
      </c>
      <c r="K163" t="str">
        <f>VLOOKUP(Table1[[#This Row],[Loser]],Ranking!C:D,2,FALSE)</f>
        <v>Slnd</v>
      </c>
      <c r="L163" s="1">
        <v>76</v>
      </c>
      <c r="N163" s="1">
        <f>Table1[[#This Row],[Winning Score]]-Table1[[#This Row],[Losing Score]]</f>
        <v>25</v>
      </c>
      <c r="O163" s="1">
        <f>Table1[[#This Row],[Losing Seed]]-Table1[[#This Row],[Winning Seed]]</f>
        <v>5</v>
      </c>
      <c r="P163" s="1" t="str">
        <f>IF(Table1[[#This Row],[SeD]]&lt;-2,Table1[[#This Row],[Winning Seed]]&amp; " over " &amp;Table1[[#This Row],[Losing Seed]],"")</f>
        <v/>
      </c>
      <c r="Q163">
        <f>VLOOKUP(Table1[[#This Row],[Losing Seed]],'Seed History'!$N$4:$O$19,2)</f>
        <v>0.90277777777777779</v>
      </c>
      <c r="R163" s="1">
        <f>IF(Table1[[#This Row],[Round]]="PI",0,Table1[[#This Row],[Round]]-1)</f>
        <v>1</v>
      </c>
      <c r="S163">
        <f>Table1[[#This Row],[LAW]]-Table1[[#This Row],[LEW]]</f>
        <v>9.722222222222221E-2</v>
      </c>
    </row>
    <row r="164" spans="1:19" x14ac:dyDescent="0.25">
      <c r="A164" s="66">
        <v>31850</v>
      </c>
      <c r="B164" s="51">
        <f>YEAR(Table1[[#This Row],[Date]])</f>
        <v>1987</v>
      </c>
      <c r="C164" s="1">
        <v>2</v>
      </c>
      <c r="D164" t="s">
        <v>461</v>
      </c>
      <c r="E164" s="1">
        <v>6</v>
      </c>
      <c r="F164" t="s">
        <v>56</v>
      </c>
      <c r="G164" t="str">
        <f>VLOOKUP(Table1[[#This Row],[Winner]],Ranking!C:D,2,FALSE)</f>
        <v>BE</v>
      </c>
      <c r="H164" s="1">
        <v>90</v>
      </c>
      <c r="I164" s="1">
        <v>14</v>
      </c>
      <c r="J164" t="s">
        <v>130</v>
      </c>
      <c r="K164" t="str">
        <f>VLOOKUP(Table1[[#This Row],[Loser]],Ranking!C:D,2,FALSE)</f>
        <v>OVC</v>
      </c>
      <c r="L164" s="1">
        <v>87</v>
      </c>
      <c r="M164" s="1" t="s">
        <v>462</v>
      </c>
      <c r="N164" s="1">
        <f>Table1[[#This Row],[Winning Score]]-Table1[[#This Row],[Losing Score]]</f>
        <v>3</v>
      </c>
      <c r="O164" s="1">
        <f>Table1[[#This Row],[Losing Seed]]-Table1[[#This Row],[Winning Seed]]</f>
        <v>8</v>
      </c>
      <c r="P164" s="1" t="str">
        <f>IF(Table1[[#This Row],[SeD]]&lt;-2,Table1[[#This Row],[Winning Seed]]&amp; " over " &amp;Table1[[#This Row],[Losing Seed]],"")</f>
        <v/>
      </c>
      <c r="Q164">
        <f>VLOOKUP(Table1[[#This Row],[Losing Seed]],'Seed History'!$N$4:$O$19,2)</f>
        <v>0.16666666666666666</v>
      </c>
      <c r="R164" s="1">
        <f>IF(Table1[[#This Row],[Round]]="PI",0,Table1[[#This Row],[Round]]-1)</f>
        <v>1</v>
      </c>
      <c r="S164">
        <f>Table1[[#This Row],[LAW]]-Table1[[#This Row],[LEW]]</f>
        <v>0.83333333333333337</v>
      </c>
    </row>
    <row r="165" spans="1:19" x14ac:dyDescent="0.25">
      <c r="A165" s="66">
        <v>31850</v>
      </c>
      <c r="B165" s="51">
        <f>YEAR(Table1[[#This Row],[Date]])</f>
        <v>1987</v>
      </c>
      <c r="C165" s="1">
        <v>2</v>
      </c>
      <c r="D165" t="s">
        <v>38</v>
      </c>
      <c r="E165" s="1">
        <v>1</v>
      </c>
      <c r="F165" t="s">
        <v>396</v>
      </c>
      <c r="G165" t="str">
        <f>VLOOKUP(Table1[[#This Row],[Winner]],Ranking!C:D,2,FALSE)</f>
        <v>MWC</v>
      </c>
      <c r="H165" s="1">
        <v>80</v>
      </c>
      <c r="I165" s="1">
        <v>9</v>
      </c>
      <c r="J165" t="s">
        <v>243</v>
      </c>
      <c r="K165" t="str">
        <f>VLOOKUP(Table1[[#This Row],[Loser]],Ranking!C:D,2,FALSE)</f>
        <v>B12</v>
      </c>
      <c r="L165" s="1">
        <v>61</v>
      </c>
      <c r="N165" s="1">
        <f>Table1[[#This Row],[Winning Score]]-Table1[[#This Row],[Losing Score]]</f>
        <v>19</v>
      </c>
      <c r="O165" s="1">
        <f>Table1[[#This Row],[Losing Seed]]-Table1[[#This Row],[Winning Seed]]</f>
        <v>8</v>
      </c>
      <c r="P165" s="1" t="str">
        <f>IF(Table1[[#This Row],[SeD]]&lt;-2,Table1[[#This Row],[Winning Seed]]&amp; " over " &amp;Table1[[#This Row],[Losing Seed]],"")</f>
        <v/>
      </c>
      <c r="Q165">
        <f>VLOOKUP(Table1[[#This Row],[Losing Seed]],'Seed History'!$N$4:$O$19,2)</f>
        <v>0.59027777777777779</v>
      </c>
      <c r="R165" s="1">
        <f>IF(Table1[[#This Row],[Round]]="PI",0,Table1[[#This Row],[Round]]-1)</f>
        <v>1</v>
      </c>
      <c r="S165">
        <f>Table1[[#This Row],[LAW]]-Table1[[#This Row],[LEW]]</f>
        <v>0.40972222222222221</v>
      </c>
    </row>
    <row r="166" spans="1:19" x14ac:dyDescent="0.25">
      <c r="A166" s="66">
        <v>31850</v>
      </c>
      <c r="B166" s="51">
        <f>YEAR(Table1[[#This Row],[Date]])</f>
        <v>1987</v>
      </c>
      <c r="C166" s="1">
        <v>2</v>
      </c>
      <c r="D166" t="s">
        <v>38</v>
      </c>
      <c r="E166" s="1">
        <v>12</v>
      </c>
      <c r="F166" t="s">
        <v>53</v>
      </c>
      <c r="G166" t="str">
        <f>VLOOKUP(Table1[[#This Row],[Winner]],Ranking!C:D,2,FALSE)</f>
        <v>MWC</v>
      </c>
      <c r="H166" s="1">
        <v>78</v>
      </c>
      <c r="I166" s="1">
        <v>4</v>
      </c>
      <c r="J166" t="s">
        <v>67</v>
      </c>
      <c r="K166" t="str">
        <f>VLOOKUP(Table1[[#This Row],[Loser]],Ranking!C:D,2,FALSE)</f>
        <v>P12</v>
      </c>
      <c r="L166" s="1">
        <v>68</v>
      </c>
      <c r="N166" s="1">
        <f>Table1[[#This Row],[Winning Score]]-Table1[[#This Row],[Losing Score]]</f>
        <v>10</v>
      </c>
      <c r="O166" s="1">
        <f>Table1[[#This Row],[Losing Seed]]-Table1[[#This Row],[Winning Seed]]</f>
        <v>-8</v>
      </c>
      <c r="P166" s="1" t="str">
        <f>IF(Table1[[#This Row],[SeD]]&lt;-2,Table1[[#This Row],[Winning Seed]]&amp; " over " &amp;Table1[[#This Row],[Losing Seed]],"")</f>
        <v>12 over 4</v>
      </c>
      <c r="Q166">
        <f>VLOOKUP(Table1[[#This Row],[Losing Seed]],'Seed History'!$N$4:$O$19,2)</f>
        <v>1.5208333333333333</v>
      </c>
      <c r="R166" s="1">
        <f>IF(Table1[[#This Row],[Round]]="PI",0,Table1[[#This Row],[Round]]-1)</f>
        <v>1</v>
      </c>
      <c r="S166">
        <f>Table1[[#This Row],[LAW]]-Table1[[#This Row],[LEW]]</f>
        <v>-0.52083333333333326</v>
      </c>
    </row>
    <row r="167" spans="1:19" x14ac:dyDescent="0.25">
      <c r="A167" s="66">
        <v>31850</v>
      </c>
      <c r="B167" s="51">
        <f>YEAR(Table1[[#This Row],[Date]])</f>
        <v>1987</v>
      </c>
      <c r="C167" s="1">
        <v>2</v>
      </c>
      <c r="D167" t="s">
        <v>49</v>
      </c>
      <c r="E167" s="1">
        <v>5</v>
      </c>
      <c r="F167" t="s">
        <v>35</v>
      </c>
      <c r="G167" t="str">
        <f>VLOOKUP(Table1[[#This Row],[Winner]],Ranking!C:D,2,FALSE)</f>
        <v>ACC</v>
      </c>
      <c r="H167" s="1">
        <v>58</v>
      </c>
      <c r="I167" s="1">
        <v>4</v>
      </c>
      <c r="J167" t="s">
        <v>372</v>
      </c>
      <c r="K167" t="str">
        <f>VLOOKUP(Table1[[#This Row],[Loser]],Ranking!C:D,2,FALSE)</f>
        <v>B12</v>
      </c>
      <c r="L167" s="1">
        <v>57</v>
      </c>
      <c r="N167" s="1">
        <f>Table1[[#This Row],[Winning Score]]-Table1[[#This Row],[Losing Score]]</f>
        <v>1</v>
      </c>
      <c r="O167" s="1">
        <f>Table1[[#This Row],[Losing Seed]]-Table1[[#This Row],[Winning Seed]]</f>
        <v>-1</v>
      </c>
      <c r="P167" s="1" t="str">
        <f>IF(Table1[[#This Row],[SeD]]&lt;-2,Table1[[#This Row],[Winning Seed]]&amp; " over " &amp;Table1[[#This Row],[Losing Seed]],"")</f>
        <v/>
      </c>
      <c r="Q167">
        <f>VLOOKUP(Table1[[#This Row],[Losing Seed]],'Seed History'!$N$4:$O$19,2)</f>
        <v>1.5208333333333333</v>
      </c>
      <c r="R167" s="1">
        <f>IF(Table1[[#This Row],[Round]]="PI",0,Table1[[#This Row],[Round]]-1)</f>
        <v>1</v>
      </c>
      <c r="S167">
        <f>Table1[[#This Row],[LAW]]-Table1[[#This Row],[LEW]]</f>
        <v>-0.52083333333333326</v>
      </c>
    </row>
    <row r="168" spans="1:19" x14ac:dyDescent="0.25">
      <c r="A168" s="66">
        <v>31851</v>
      </c>
      <c r="B168" s="51">
        <f>YEAR(Table1[[#This Row],[Date]])</f>
        <v>1987</v>
      </c>
      <c r="C168" s="1">
        <v>2</v>
      </c>
      <c r="D168" t="s">
        <v>49</v>
      </c>
      <c r="E168" s="1">
        <v>2</v>
      </c>
      <c r="F168" t="s">
        <v>86</v>
      </c>
      <c r="G168" t="str">
        <f>VLOOKUP(Table1[[#This Row],[Winner]],Ranking!C:D,2,FALSE)</f>
        <v>ACC</v>
      </c>
      <c r="H168" s="1">
        <v>104</v>
      </c>
      <c r="I168" s="1">
        <v>10</v>
      </c>
      <c r="J168" t="s">
        <v>415</v>
      </c>
      <c r="K168" t="str">
        <f>VLOOKUP(Table1[[#This Row],[Loser]],Ranking!C:D,2,FALSE)</f>
        <v>CUSA</v>
      </c>
      <c r="L168" s="1">
        <v>86</v>
      </c>
      <c r="N168" s="1">
        <f>Table1[[#This Row],[Winning Score]]-Table1[[#This Row],[Losing Score]]</f>
        <v>18</v>
      </c>
      <c r="O168" s="1">
        <f>Table1[[#This Row],[Losing Seed]]-Table1[[#This Row],[Winning Seed]]</f>
        <v>8</v>
      </c>
      <c r="P168" s="1" t="str">
        <f>IF(Table1[[#This Row],[SeD]]&lt;-2,Table1[[#This Row],[Winning Seed]]&amp; " over " &amp;Table1[[#This Row],[Losing Seed]],"")</f>
        <v/>
      </c>
      <c r="Q168">
        <f>VLOOKUP(Table1[[#This Row],[Losing Seed]],'Seed History'!$N$4:$O$19,2)</f>
        <v>0.61805555555555558</v>
      </c>
      <c r="R168" s="1">
        <f>IF(Table1[[#This Row],[Round]]="PI",0,Table1[[#This Row],[Round]]-1)</f>
        <v>1</v>
      </c>
      <c r="S168">
        <f>Table1[[#This Row],[LAW]]-Table1[[#This Row],[LEW]]</f>
        <v>0.38194444444444442</v>
      </c>
    </row>
    <row r="169" spans="1:19" x14ac:dyDescent="0.25">
      <c r="A169" s="66">
        <v>31851</v>
      </c>
      <c r="B169" s="51">
        <f>YEAR(Table1[[#This Row],[Date]])</f>
        <v>1987</v>
      </c>
      <c r="C169" s="1">
        <v>2</v>
      </c>
      <c r="D169" t="s">
        <v>439</v>
      </c>
      <c r="E169" s="1">
        <v>3</v>
      </c>
      <c r="F169" t="s">
        <v>186</v>
      </c>
      <c r="G169" t="str">
        <f>VLOOKUP(Table1[[#This Row],[Winner]],Ranking!C:D,2,FALSE)</f>
        <v>BE</v>
      </c>
      <c r="H169" s="1">
        <v>83</v>
      </c>
      <c r="I169" s="1">
        <v>6</v>
      </c>
      <c r="J169" t="s">
        <v>368</v>
      </c>
      <c r="K169" t="str">
        <f>VLOOKUP(Table1[[#This Row],[Loser]],Ranking!C:D,2,FALSE)</f>
        <v>BE</v>
      </c>
      <c r="L169" s="1">
        <v>75</v>
      </c>
      <c r="M169" s="1" t="s">
        <v>462</v>
      </c>
      <c r="N169" s="1">
        <f>Table1[[#This Row],[Winning Score]]-Table1[[#This Row],[Losing Score]]</f>
        <v>8</v>
      </c>
      <c r="O169" s="1">
        <f>Table1[[#This Row],[Losing Seed]]-Table1[[#This Row],[Winning Seed]]</f>
        <v>3</v>
      </c>
      <c r="P169" s="1" t="str">
        <f>IF(Table1[[#This Row],[SeD]]&lt;-2,Table1[[#This Row],[Winning Seed]]&amp; " over " &amp;Table1[[#This Row],[Losing Seed]],"")</f>
        <v/>
      </c>
      <c r="Q169">
        <f>VLOOKUP(Table1[[#This Row],[Losing Seed]],'Seed History'!$N$4:$O$19,2)</f>
        <v>1.0625</v>
      </c>
      <c r="R169" s="1">
        <f>IF(Table1[[#This Row],[Round]]="PI",0,Table1[[#This Row],[Round]]-1)</f>
        <v>1</v>
      </c>
      <c r="S169">
        <f>Table1[[#This Row],[LAW]]-Table1[[#This Row],[LEW]]</f>
        <v>-6.25E-2</v>
      </c>
    </row>
    <row r="170" spans="1:19" x14ac:dyDescent="0.25">
      <c r="A170" s="66">
        <v>31851</v>
      </c>
      <c r="B170" s="51">
        <f>YEAR(Table1[[#This Row],[Date]])</f>
        <v>1987</v>
      </c>
      <c r="C170" s="1">
        <v>2</v>
      </c>
      <c r="D170" t="s">
        <v>461</v>
      </c>
      <c r="E170" s="1">
        <v>1</v>
      </c>
      <c r="F170" t="s">
        <v>66</v>
      </c>
      <c r="G170" t="str">
        <f>VLOOKUP(Table1[[#This Row],[Winner]],Ranking!C:D,2,FALSE)</f>
        <v>BE</v>
      </c>
      <c r="H170" s="1">
        <v>82</v>
      </c>
      <c r="I170" s="1">
        <v>9</v>
      </c>
      <c r="J170" t="s">
        <v>315</v>
      </c>
      <c r="K170" t="str">
        <f>VLOOKUP(Table1[[#This Row],[Loser]],Ranking!C:D,2,FALSE)</f>
        <v>B10</v>
      </c>
      <c r="L170" s="1">
        <v>79</v>
      </c>
      <c r="N170" s="1">
        <f>Table1[[#This Row],[Winning Score]]-Table1[[#This Row],[Losing Score]]</f>
        <v>3</v>
      </c>
      <c r="O170" s="1">
        <f>Table1[[#This Row],[Losing Seed]]-Table1[[#This Row],[Winning Seed]]</f>
        <v>8</v>
      </c>
      <c r="P170" s="1" t="str">
        <f>IF(Table1[[#This Row],[SeD]]&lt;-2,Table1[[#This Row],[Winning Seed]]&amp; " over " &amp;Table1[[#This Row],[Losing Seed]],"")</f>
        <v/>
      </c>
      <c r="Q170">
        <f>VLOOKUP(Table1[[#This Row],[Losing Seed]],'Seed History'!$N$4:$O$19,2)</f>
        <v>0.59027777777777779</v>
      </c>
      <c r="R170" s="1">
        <f>IF(Table1[[#This Row],[Round]]="PI",0,Table1[[#This Row],[Round]]-1)</f>
        <v>1</v>
      </c>
      <c r="S170">
        <f>Table1[[#This Row],[LAW]]-Table1[[#This Row],[LEW]]</f>
        <v>0.40972222222222221</v>
      </c>
    </row>
    <row r="171" spans="1:19" x14ac:dyDescent="0.25">
      <c r="A171" s="66">
        <v>31851</v>
      </c>
      <c r="B171" s="51">
        <f>YEAR(Table1[[#This Row],[Date]])</f>
        <v>1987</v>
      </c>
      <c r="C171" s="1">
        <v>2</v>
      </c>
      <c r="D171" t="s">
        <v>461</v>
      </c>
      <c r="E171" s="1">
        <v>5</v>
      </c>
      <c r="F171" t="s">
        <v>37</v>
      </c>
      <c r="G171" t="str">
        <f>VLOOKUP(Table1[[#This Row],[Winner]],Ranking!C:D,2,FALSE)</f>
        <v>B12</v>
      </c>
      <c r="H171" s="1">
        <v>67</v>
      </c>
      <c r="I171" s="1">
        <v>13</v>
      </c>
      <c r="J171" t="s">
        <v>278</v>
      </c>
      <c r="K171" t="str">
        <f>VLOOKUP(Table1[[#This Row],[Loser]],Ranking!C:D,2,FALSE)</f>
        <v>MVC</v>
      </c>
      <c r="L171" s="1">
        <v>63</v>
      </c>
      <c r="N171" s="1">
        <f>Table1[[#This Row],[Winning Score]]-Table1[[#This Row],[Losing Score]]</f>
        <v>4</v>
      </c>
      <c r="O171" s="1">
        <f>Table1[[#This Row],[Losing Seed]]-Table1[[#This Row],[Winning Seed]]</f>
        <v>8</v>
      </c>
      <c r="P171" s="1" t="str">
        <f>IF(Table1[[#This Row],[SeD]]&lt;-2,Table1[[#This Row],[Winning Seed]]&amp; " over " &amp;Table1[[#This Row],[Losing Seed]],"")</f>
        <v/>
      </c>
      <c r="Q171">
        <f>VLOOKUP(Table1[[#This Row],[Losing Seed]],'Seed History'!$N$4:$O$19,2)</f>
        <v>0.25694444444444442</v>
      </c>
      <c r="R171" s="1">
        <f>IF(Table1[[#This Row],[Round]]="PI",0,Table1[[#This Row],[Round]]-1)</f>
        <v>1</v>
      </c>
      <c r="S171">
        <f>Table1[[#This Row],[LAW]]-Table1[[#This Row],[LEW]]</f>
        <v>0.74305555555555558</v>
      </c>
    </row>
    <row r="172" spans="1:19" x14ac:dyDescent="0.25">
      <c r="A172" s="66">
        <v>31851</v>
      </c>
      <c r="B172" s="51">
        <f>YEAR(Table1[[#This Row],[Date]])</f>
        <v>1987</v>
      </c>
      <c r="C172" s="1">
        <v>2</v>
      </c>
      <c r="D172" t="s">
        <v>38</v>
      </c>
      <c r="E172" s="1">
        <v>2</v>
      </c>
      <c r="F172" t="s">
        <v>69</v>
      </c>
      <c r="G172" t="str">
        <f>VLOOKUP(Table1[[#This Row],[Winner]],Ranking!C:D,2,FALSE)</f>
        <v>B10</v>
      </c>
      <c r="H172" s="1">
        <v>84</v>
      </c>
      <c r="I172" s="1">
        <v>7</v>
      </c>
      <c r="J172" t="s">
        <v>402</v>
      </c>
      <c r="K172" t="str">
        <f>VLOOKUP(Table1[[#This Row],[Loser]],Ranking!C:D,2,FALSE)</f>
        <v>CUSA</v>
      </c>
      <c r="L172" s="1">
        <v>82</v>
      </c>
      <c r="N172" s="1">
        <f>Table1[[#This Row],[Winning Score]]-Table1[[#This Row],[Losing Score]]</f>
        <v>2</v>
      </c>
      <c r="O172" s="1">
        <f>Table1[[#This Row],[Losing Seed]]-Table1[[#This Row],[Winning Seed]]</f>
        <v>5</v>
      </c>
      <c r="P172" s="1" t="str">
        <f>IF(Table1[[#This Row],[SeD]]&lt;-2,Table1[[#This Row],[Winning Seed]]&amp; " over " &amp;Table1[[#This Row],[Losing Seed]],"")</f>
        <v/>
      </c>
      <c r="Q172">
        <f>VLOOKUP(Table1[[#This Row],[Losing Seed]],'Seed History'!$N$4:$O$19,2)</f>
        <v>0.90277777777777779</v>
      </c>
      <c r="R172" s="1">
        <f>IF(Table1[[#This Row],[Round]]="PI",0,Table1[[#This Row],[Round]]-1)</f>
        <v>1</v>
      </c>
      <c r="S172">
        <f>Table1[[#This Row],[LAW]]-Table1[[#This Row],[LEW]]</f>
        <v>9.722222222222221E-2</v>
      </c>
    </row>
    <row r="173" spans="1:19" x14ac:dyDescent="0.25">
      <c r="A173" s="66">
        <v>31851</v>
      </c>
      <c r="B173" s="51">
        <f>YEAR(Table1[[#This Row],[Date]])</f>
        <v>1987</v>
      </c>
      <c r="C173" s="1">
        <v>2</v>
      </c>
      <c r="D173" t="s">
        <v>439</v>
      </c>
      <c r="E173" s="1">
        <v>10</v>
      </c>
      <c r="F173" t="s">
        <v>52</v>
      </c>
      <c r="G173" t="str">
        <f>VLOOKUP(Table1[[#This Row],[Winner]],Ranking!C:D,2,FALSE)</f>
        <v>SEC</v>
      </c>
      <c r="H173" s="1">
        <v>72</v>
      </c>
      <c r="I173" s="1">
        <v>2</v>
      </c>
      <c r="J173" t="s">
        <v>373</v>
      </c>
      <c r="K173" t="str">
        <f>VLOOKUP(Table1[[#This Row],[Loser]],Ranking!C:D,2,FALSE)</f>
        <v>Amer</v>
      </c>
      <c r="L173" s="1">
        <v>62</v>
      </c>
      <c r="N173" s="1">
        <f>Table1[[#This Row],[Winning Score]]-Table1[[#This Row],[Losing Score]]</f>
        <v>10</v>
      </c>
      <c r="O173" s="1">
        <f>Table1[[#This Row],[Losing Seed]]-Table1[[#This Row],[Winning Seed]]</f>
        <v>-8</v>
      </c>
      <c r="P173" s="1" t="str">
        <f>IF(Table1[[#This Row],[SeD]]&lt;-2,Table1[[#This Row],[Winning Seed]]&amp; " over " &amp;Table1[[#This Row],[Losing Seed]],"")</f>
        <v>10 over 2</v>
      </c>
      <c r="Q173">
        <f>VLOOKUP(Table1[[#This Row],[Losing Seed]],'Seed History'!$N$4:$O$19,2)</f>
        <v>2.3472222222222223</v>
      </c>
      <c r="R173" s="1">
        <f>IF(Table1[[#This Row],[Round]]="PI",0,Table1[[#This Row],[Round]]-1)</f>
        <v>1</v>
      </c>
      <c r="S173">
        <f>Table1[[#This Row],[LAW]]-Table1[[#This Row],[LEW]]</f>
        <v>-1.3472222222222223</v>
      </c>
    </row>
    <row r="174" spans="1:19" x14ac:dyDescent="0.25">
      <c r="A174" s="66">
        <v>31851</v>
      </c>
      <c r="B174" s="51">
        <f>YEAR(Table1[[#This Row],[Date]])</f>
        <v>1987</v>
      </c>
      <c r="C174" s="1">
        <v>2</v>
      </c>
      <c r="D174" t="s">
        <v>49</v>
      </c>
      <c r="E174" s="1">
        <v>6</v>
      </c>
      <c r="F174" t="s">
        <v>81</v>
      </c>
      <c r="G174" t="str">
        <f>VLOOKUP(Table1[[#This Row],[Winner]],Ranking!C:D,2,FALSE)</f>
        <v>SEC</v>
      </c>
      <c r="H174" s="1">
        <v>85</v>
      </c>
      <c r="I174" s="1">
        <v>3</v>
      </c>
      <c r="J174" t="s">
        <v>29</v>
      </c>
      <c r="K174" t="str">
        <f>VLOOKUP(Table1[[#This Row],[Loser]],Ranking!C:D,2,FALSE)</f>
        <v>B10</v>
      </c>
      <c r="L174" s="1">
        <v>66</v>
      </c>
      <c r="N174" s="1">
        <f>Table1[[#This Row],[Winning Score]]-Table1[[#This Row],[Losing Score]]</f>
        <v>19</v>
      </c>
      <c r="O174" s="1">
        <f>Table1[[#This Row],[Losing Seed]]-Table1[[#This Row],[Winning Seed]]</f>
        <v>-3</v>
      </c>
      <c r="P174" s="1" t="str">
        <f>IF(Table1[[#This Row],[SeD]]&lt;-2,Table1[[#This Row],[Winning Seed]]&amp; " over " &amp;Table1[[#This Row],[Losing Seed]],"")</f>
        <v>6 over 3</v>
      </c>
      <c r="Q174">
        <f>VLOOKUP(Table1[[#This Row],[Losing Seed]],'Seed History'!$N$4:$O$19,2)</f>
        <v>1.8472222222222223</v>
      </c>
      <c r="R174" s="1">
        <f>IF(Table1[[#This Row],[Round]]="PI",0,Table1[[#This Row],[Round]]-1)</f>
        <v>1</v>
      </c>
      <c r="S174">
        <f>Table1[[#This Row],[LAW]]-Table1[[#This Row],[LEW]]</f>
        <v>-0.84722222222222232</v>
      </c>
    </row>
    <row r="175" spans="1:19" x14ac:dyDescent="0.25">
      <c r="A175" s="66">
        <v>31851</v>
      </c>
      <c r="B175" s="51">
        <f>YEAR(Table1[[#This Row],[Date]])</f>
        <v>1987</v>
      </c>
      <c r="C175" s="1">
        <v>2</v>
      </c>
      <c r="D175" t="s">
        <v>38</v>
      </c>
      <c r="E175" s="1">
        <v>6</v>
      </c>
      <c r="F175" t="s">
        <v>58</v>
      </c>
      <c r="G175" t="str">
        <f>VLOOKUP(Table1[[#This Row],[Winner]],Ranking!C:D,2,FALSE)</f>
        <v>B12</v>
      </c>
      <c r="H175" s="1">
        <v>96</v>
      </c>
      <c r="I175" s="1">
        <v>3</v>
      </c>
      <c r="J175" t="s">
        <v>83</v>
      </c>
      <c r="K175" t="str">
        <f>VLOOKUP(Table1[[#This Row],[Loser]],Ranking!C:D,2,FALSE)</f>
        <v>ACC</v>
      </c>
      <c r="L175" s="1">
        <v>93</v>
      </c>
      <c r="N175" s="1">
        <f>Table1[[#This Row],[Winning Score]]-Table1[[#This Row],[Losing Score]]</f>
        <v>3</v>
      </c>
      <c r="O175" s="1">
        <f>Table1[[#This Row],[Losing Seed]]-Table1[[#This Row],[Winning Seed]]</f>
        <v>-3</v>
      </c>
      <c r="P175" s="1" t="str">
        <f>IF(Table1[[#This Row],[SeD]]&lt;-2,Table1[[#This Row],[Winning Seed]]&amp; " over " &amp;Table1[[#This Row],[Losing Seed]],"")</f>
        <v>6 over 3</v>
      </c>
      <c r="Q175">
        <f>VLOOKUP(Table1[[#This Row],[Losing Seed]],'Seed History'!$N$4:$O$19,2)</f>
        <v>1.8472222222222223</v>
      </c>
      <c r="R175" s="1">
        <f>IF(Table1[[#This Row],[Round]]="PI",0,Table1[[#This Row],[Round]]-1)</f>
        <v>1</v>
      </c>
      <c r="S175">
        <f>Table1[[#This Row],[LAW]]-Table1[[#This Row],[LEW]]</f>
        <v>-0.84722222222222232</v>
      </c>
    </row>
    <row r="176" spans="1:19" x14ac:dyDescent="0.25">
      <c r="A176" s="66">
        <v>31855</v>
      </c>
      <c r="B176" s="51">
        <f>YEAR(Table1[[#This Row],[Date]])</f>
        <v>1987</v>
      </c>
      <c r="C176" s="1">
        <v>3</v>
      </c>
      <c r="D176" t="s">
        <v>49</v>
      </c>
      <c r="E176" s="1">
        <v>1</v>
      </c>
      <c r="F176" t="s">
        <v>298</v>
      </c>
      <c r="G176" t="str">
        <f>VLOOKUP(Table1[[#This Row],[Winner]],Ranking!C:D,2,FALSE)</f>
        <v>ACC</v>
      </c>
      <c r="H176" s="1">
        <v>74</v>
      </c>
      <c r="I176" s="1">
        <v>5</v>
      </c>
      <c r="J176" t="s">
        <v>35</v>
      </c>
      <c r="K176" t="str">
        <f>VLOOKUP(Table1[[#This Row],[Loser]],Ranking!C:D,2,FALSE)</f>
        <v>ACC</v>
      </c>
      <c r="L176" s="1">
        <v>68</v>
      </c>
      <c r="N176" s="1">
        <f>Table1[[#This Row],[Winning Score]]-Table1[[#This Row],[Losing Score]]</f>
        <v>6</v>
      </c>
      <c r="O176" s="1">
        <f>Table1[[#This Row],[Losing Seed]]-Table1[[#This Row],[Winning Seed]]</f>
        <v>4</v>
      </c>
      <c r="P176" s="1" t="str">
        <f>IF(Table1[[#This Row],[SeD]]&lt;-2,Table1[[#This Row],[Winning Seed]]&amp; " over " &amp;Table1[[#This Row],[Losing Seed]],"")</f>
        <v/>
      </c>
      <c r="Q176">
        <f>VLOOKUP(Table1[[#This Row],[Losing Seed]],'Seed History'!$N$4:$O$19,2)</f>
        <v>1.1180555555555556</v>
      </c>
      <c r="R176" s="1">
        <f>IF(Table1[[#This Row],[Round]]="PI",0,Table1[[#This Row],[Round]]-1)</f>
        <v>2</v>
      </c>
      <c r="S176">
        <f>Table1[[#This Row],[LAW]]-Table1[[#This Row],[LEW]]</f>
        <v>0.88194444444444442</v>
      </c>
    </row>
    <row r="177" spans="1:19" x14ac:dyDescent="0.25">
      <c r="A177" s="66">
        <v>31855</v>
      </c>
      <c r="B177" s="51">
        <f>YEAR(Table1[[#This Row],[Date]])</f>
        <v>1987</v>
      </c>
      <c r="C177" s="1">
        <v>3</v>
      </c>
      <c r="D177" t="s">
        <v>49</v>
      </c>
      <c r="E177" s="1">
        <v>2</v>
      </c>
      <c r="F177" t="s">
        <v>86</v>
      </c>
      <c r="G177" t="str">
        <f>VLOOKUP(Table1[[#This Row],[Winner]],Ranking!C:D,2,FALSE)</f>
        <v>ACC</v>
      </c>
      <c r="H177" s="1">
        <v>87</v>
      </c>
      <c r="I177" s="1">
        <v>6</v>
      </c>
      <c r="J177" t="s">
        <v>81</v>
      </c>
      <c r="K177" t="str">
        <f>VLOOKUP(Table1[[#This Row],[Loser]],Ranking!C:D,2,FALSE)</f>
        <v>SEC</v>
      </c>
      <c r="L177" s="1">
        <v>81</v>
      </c>
      <c r="N177" s="1">
        <f>Table1[[#This Row],[Winning Score]]-Table1[[#This Row],[Losing Score]]</f>
        <v>6</v>
      </c>
      <c r="O177" s="1">
        <f>Table1[[#This Row],[Losing Seed]]-Table1[[#This Row],[Winning Seed]]</f>
        <v>4</v>
      </c>
      <c r="P177" s="1" t="str">
        <f>IF(Table1[[#This Row],[SeD]]&lt;-2,Table1[[#This Row],[Winning Seed]]&amp; " over " &amp;Table1[[#This Row],[Losing Seed]],"")</f>
        <v/>
      </c>
      <c r="Q177">
        <f>VLOOKUP(Table1[[#This Row],[Losing Seed]],'Seed History'!$N$4:$O$19,2)</f>
        <v>1.0625</v>
      </c>
      <c r="R177" s="1">
        <f>IF(Table1[[#This Row],[Round]]="PI",0,Table1[[#This Row],[Round]]-1)</f>
        <v>2</v>
      </c>
      <c r="S177">
        <f>Table1[[#This Row],[LAW]]-Table1[[#This Row],[LEW]]</f>
        <v>0.9375</v>
      </c>
    </row>
    <row r="178" spans="1:19" x14ac:dyDescent="0.25">
      <c r="A178" s="66">
        <v>31855</v>
      </c>
      <c r="B178" s="51">
        <f>YEAR(Table1[[#This Row],[Date]])</f>
        <v>1987</v>
      </c>
      <c r="C178" s="1">
        <v>3</v>
      </c>
      <c r="D178" t="s">
        <v>461</v>
      </c>
      <c r="E178" s="1">
        <v>1</v>
      </c>
      <c r="F178" t="s">
        <v>66</v>
      </c>
      <c r="G178" t="str">
        <f>VLOOKUP(Table1[[#This Row],[Winner]],Ranking!C:D,2,FALSE)</f>
        <v>BE</v>
      </c>
      <c r="H178" s="1">
        <v>70</v>
      </c>
      <c r="I178" s="1">
        <v>5</v>
      </c>
      <c r="J178" t="s">
        <v>37</v>
      </c>
      <c r="K178" t="str">
        <f>VLOOKUP(Table1[[#This Row],[Loser]],Ranking!C:D,2,FALSE)</f>
        <v>B12</v>
      </c>
      <c r="L178" s="1">
        <v>57</v>
      </c>
      <c r="N178" s="1">
        <f>Table1[[#This Row],[Winning Score]]-Table1[[#This Row],[Losing Score]]</f>
        <v>13</v>
      </c>
      <c r="O178" s="1">
        <f>Table1[[#This Row],[Losing Seed]]-Table1[[#This Row],[Winning Seed]]</f>
        <v>4</v>
      </c>
      <c r="P178" s="1" t="str">
        <f>IF(Table1[[#This Row],[SeD]]&lt;-2,Table1[[#This Row],[Winning Seed]]&amp; " over " &amp;Table1[[#This Row],[Losing Seed]],"")</f>
        <v/>
      </c>
      <c r="Q178">
        <f>VLOOKUP(Table1[[#This Row],[Losing Seed]],'Seed History'!$N$4:$O$19,2)</f>
        <v>1.1180555555555556</v>
      </c>
      <c r="R178" s="1">
        <f>IF(Table1[[#This Row],[Round]]="PI",0,Table1[[#This Row],[Round]]-1)</f>
        <v>2</v>
      </c>
      <c r="S178">
        <f>Table1[[#This Row],[LAW]]-Table1[[#This Row],[LEW]]</f>
        <v>0.88194444444444442</v>
      </c>
    </row>
    <row r="179" spans="1:19" x14ac:dyDescent="0.25">
      <c r="A179" s="66">
        <v>31855</v>
      </c>
      <c r="B179" s="51">
        <f>YEAR(Table1[[#This Row],[Date]])</f>
        <v>1987</v>
      </c>
      <c r="C179" s="1">
        <v>3</v>
      </c>
      <c r="D179" t="s">
        <v>461</v>
      </c>
      <c r="E179" s="1">
        <v>6</v>
      </c>
      <c r="F179" t="s">
        <v>56</v>
      </c>
      <c r="G179" t="str">
        <f>VLOOKUP(Table1[[#This Row],[Winner]],Ranking!C:D,2,FALSE)</f>
        <v>BE</v>
      </c>
      <c r="H179" s="1">
        <v>103</v>
      </c>
      <c r="I179" s="1">
        <v>2</v>
      </c>
      <c r="J179" t="s">
        <v>113</v>
      </c>
      <c r="K179" t="str">
        <f>VLOOKUP(Table1[[#This Row],[Loser]],Ranking!C:D,2,FALSE)</f>
        <v>SEC</v>
      </c>
      <c r="L179" s="1">
        <v>82</v>
      </c>
      <c r="N179" s="1">
        <f>Table1[[#This Row],[Winning Score]]-Table1[[#This Row],[Losing Score]]</f>
        <v>21</v>
      </c>
      <c r="O179" s="1">
        <f>Table1[[#This Row],[Losing Seed]]-Table1[[#This Row],[Winning Seed]]</f>
        <v>-4</v>
      </c>
      <c r="P179" s="1" t="str">
        <f>IF(Table1[[#This Row],[SeD]]&lt;-2,Table1[[#This Row],[Winning Seed]]&amp; " over " &amp;Table1[[#This Row],[Losing Seed]],"")</f>
        <v>6 over 2</v>
      </c>
      <c r="Q179">
        <f>VLOOKUP(Table1[[#This Row],[Losing Seed]],'Seed History'!$N$4:$O$19,2)</f>
        <v>2.3472222222222223</v>
      </c>
      <c r="R179" s="1">
        <f>IF(Table1[[#This Row],[Round]]="PI",0,Table1[[#This Row],[Round]]-1)</f>
        <v>2</v>
      </c>
      <c r="S179">
        <f>Table1[[#This Row],[LAW]]-Table1[[#This Row],[LEW]]</f>
        <v>-0.34722222222222232</v>
      </c>
    </row>
    <row r="180" spans="1:19" x14ac:dyDescent="0.25">
      <c r="A180" s="66">
        <v>31856</v>
      </c>
      <c r="B180" s="51">
        <f>YEAR(Table1[[#This Row],[Date]])</f>
        <v>1987</v>
      </c>
      <c r="C180" s="1">
        <v>3</v>
      </c>
      <c r="D180" t="s">
        <v>439</v>
      </c>
      <c r="E180" s="1">
        <v>1</v>
      </c>
      <c r="F180" t="s">
        <v>36</v>
      </c>
      <c r="G180" t="str">
        <f>VLOOKUP(Table1[[#This Row],[Winner]],Ranking!C:D,2,FALSE)</f>
        <v>B10</v>
      </c>
      <c r="H180" s="1">
        <v>88</v>
      </c>
      <c r="I180" s="1">
        <v>5</v>
      </c>
      <c r="J180" t="s">
        <v>64</v>
      </c>
      <c r="K180" t="str">
        <f>VLOOKUP(Table1[[#This Row],[Loser]],Ranking!C:D,2,FALSE)</f>
        <v>ACC</v>
      </c>
      <c r="L180" s="1">
        <v>82</v>
      </c>
      <c r="N180" s="1">
        <f>Table1[[#This Row],[Winning Score]]-Table1[[#This Row],[Losing Score]]</f>
        <v>6</v>
      </c>
      <c r="O180" s="1">
        <f>Table1[[#This Row],[Losing Seed]]-Table1[[#This Row],[Winning Seed]]</f>
        <v>4</v>
      </c>
      <c r="P180" s="1" t="str">
        <f>IF(Table1[[#This Row],[SeD]]&lt;-2,Table1[[#This Row],[Winning Seed]]&amp; " over " &amp;Table1[[#This Row],[Losing Seed]],"")</f>
        <v/>
      </c>
      <c r="Q180">
        <f>VLOOKUP(Table1[[#This Row],[Losing Seed]],'Seed History'!$N$4:$O$19,2)</f>
        <v>1.1180555555555556</v>
      </c>
      <c r="R180" s="1">
        <f>IF(Table1[[#This Row],[Round]]="PI",0,Table1[[#This Row],[Round]]-1)</f>
        <v>2</v>
      </c>
      <c r="S180">
        <f>Table1[[#This Row],[LAW]]-Table1[[#This Row],[LEW]]</f>
        <v>0.88194444444444442</v>
      </c>
    </row>
    <row r="181" spans="1:19" x14ac:dyDescent="0.25">
      <c r="A181" s="66">
        <v>31856</v>
      </c>
      <c r="B181" s="51">
        <f>YEAR(Table1[[#This Row],[Date]])</f>
        <v>1987</v>
      </c>
      <c r="C181" s="1">
        <v>3</v>
      </c>
      <c r="D181" t="s">
        <v>38</v>
      </c>
      <c r="E181" s="1">
        <v>1</v>
      </c>
      <c r="F181" t="s">
        <v>396</v>
      </c>
      <c r="G181" t="str">
        <f>VLOOKUP(Table1[[#This Row],[Winner]],Ranking!C:D,2,FALSE)</f>
        <v>MWC</v>
      </c>
      <c r="H181" s="1">
        <v>92</v>
      </c>
      <c r="I181" s="1">
        <v>12</v>
      </c>
      <c r="J181" t="s">
        <v>53</v>
      </c>
      <c r="K181" t="str">
        <f>VLOOKUP(Table1[[#This Row],[Loser]],Ranking!C:D,2,FALSE)</f>
        <v>MWC</v>
      </c>
      <c r="L181" s="1">
        <v>78</v>
      </c>
      <c r="N181" s="1">
        <f>Table1[[#This Row],[Winning Score]]-Table1[[#This Row],[Losing Score]]</f>
        <v>14</v>
      </c>
      <c r="O181" s="1">
        <f>Table1[[#This Row],[Losing Seed]]-Table1[[#This Row],[Winning Seed]]</f>
        <v>11</v>
      </c>
      <c r="P181" s="1" t="str">
        <f>IF(Table1[[#This Row],[SeD]]&lt;-2,Table1[[#This Row],[Winning Seed]]&amp; " over " &amp;Table1[[#This Row],[Losing Seed]],"")</f>
        <v/>
      </c>
      <c r="Q181">
        <f>VLOOKUP(Table1[[#This Row],[Losing Seed]],'Seed History'!$N$4:$O$19,2)</f>
        <v>0.52083333333333337</v>
      </c>
      <c r="R181" s="1">
        <f>IF(Table1[[#This Row],[Round]]="PI",0,Table1[[#This Row],[Round]]-1)</f>
        <v>2</v>
      </c>
      <c r="S181">
        <f>Table1[[#This Row],[LAW]]-Table1[[#This Row],[LEW]]</f>
        <v>1.4791666666666665</v>
      </c>
    </row>
    <row r="182" spans="1:19" x14ac:dyDescent="0.25">
      <c r="A182" s="66">
        <v>31856</v>
      </c>
      <c r="B182" s="51">
        <f>YEAR(Table1[[#This Row],[Date]])</f>
        <v>1987</v>
      </c>
      <c r="C182" s="1">
        <v>3</v>
      </c>
      <c r="D182" t="s">
        <v>38</v>
      </c>
      <c r="E182" s="1">
        <v>2</v>
      </c>
      <c r="F182" t="s">
        <v>69</v>
      </c>
      <c r="G182" t="str">
        <f>VLOOKUP(Table1[[#This Row],[Winner]],Ranking!C:D,2,FALSE)</f>
        <v>B10</v>
      </c>
      <c r="H182" s="1">
        <v>93</v>
      </c>
      <c r="I182" s="1">
        <v>6</v>
      </c>
      <c r="J182" t="s">
        <v>58</v>
      </c>
      <c r="K182" t="str">
        <f>VLOOKUP(Table1[[#This Row],[Loser]],Ranking!C:D,2,FALSE)</f>
        <v>B12</v>
      </c>
      <c r="L182" s="1">
        <v>91</v>
      </c>
      <c r="M182" s="1" t="s">
        <v>462</v>
      </c>
      <c r="N182" s="1">
        <f>Table1[[#This Row],[Winning Score]]-Table1[[#This Row],[Losing Score]]</f>
        <v>2</v>
      </c>
      <c r="O182" s="1">
        <f>Table1[[#This Row],[Losing Seed]]-Table1[[#This Row],[Winning Seed]]</f>
        <v>4</v>
      </c>
      <c r="P182" s="1" t="str">
        <f>IF(Table1[[#This Row],[SeD]]&lt;-2,Table1[[#This Row],[Winning Seed]]&amp; " over " &amp;Table1[[#This Row],[Losing Seed]],"")</f>
        <v/>
      </c>
      <c r="Q182">
        <f>VLOOKUP(Table1[[#This Row],[Losing Seed]],'Seed History'!$N$4:$O$19,2)</f>
        <v>1.0625</v>
      </c>
      <c r="R182" s="1">
        <f>IF(Table1[[#This Row],[Round]]="PI",0,Table1[[#This Row],[Round]]-1)</f>
        <v>2</v>
      </c>
      <c r="S182">
        <f>Table1[[#This Row],[LAW]]-Table1[[#This Row],[LEW]]</f>
        <v>0.9375</v>
      </c>
    </row>
    <row r="183" spans="1:19" x14ac:dyDescent="0.25">
      <c r="A183" s="66">
        <v>31856</v>
      </c>
      <c r="B183" s="51">
        <f>YEAR(Table1[[#This Row],[Date]])</f>
        <v>1987</v>
      </c>
      <c r="C183" s="1">
        <v>3</v>
      </c>
      <c r="D183" t="s">
        <v>439</v>
      </c>
      <c r="E183" s="1">
        <v>10</v>
      </c>
      <c r="F183" t="s">
        <v>52</v>
      </c>
      <c r="G183" t="str">
        <f>VLOOKUP(Table1[[#This Row],[Winner]],Ranking!C:D,2,FALSE)</f>
        <v>SEC</v>
      </c>
      <c r="H183" s="1">
        <v>63</v>
      </c>
      <c r="I183" s="1">
        <v>3</v>
      </c>
      <c r="J183" t="s">
        <v>186</v>
      </c>
      <c r="K183" t="str">
        <f>VLOOKUP(Table1[[#This Row],[Loser]],Ranking!C:D,2,FALSE)</f>
        <v>BE</v>
      </c>
      <c r="L183" s="1">
        <v>58</v>
      </c>
      <c r="N183" s="1">
        <f>Table1[[#This Row],[Winning Score]]-Table1[[#This Row],[Losing Score]]</f>
        <v>5</v>
      </c>
      <c r="O183" s="1">
        <f>Table1[[#This Row],[Losing Seed]]-Table1[[#This Row],[Winning Seed]]</f>
        <v>-7</v>
      </c>
      <c r="P183" s="1" t="str">
        <f>IF(Table1[[#This Row],[SeD]]&lt;-2,Table1[[#This Row],[Winning Seed]]&amp; " over " &amp;Table1[[#This Row],[Losing Seed]],"")</f>
        <v>10 over 3</v>
      </c>
      <c r="Q183">
        <f>VLOOKUP(Table1[[#This Row],[Losing Seed]],'Seed History'!$N$4:$O$19,2)</f>
        <v>1.8472222222222223</v>
      </c>
      <c r="R183" s="1">
        <f>IF(Table1[[#This Row],[Round]]="PI",0,Table1[[#This Row],[Round]]-1)</f>
        <v>2</v>
      </c>
      <c r="S183">
        <f>Table1[[#This Row],[LAW]]-Table1[[#This Row],[LEW]]</f>
        <v>0.15277777777777768</v>
      </c>
    </row>
    <row r="184" spans="1:19" x14ac:dyDescent="0.25">
      <c r="A184" s="66">
        <v>31857</v>
      </c>
      <c r="B184" s="51">
        <f>YEAR(Table1[[#This Row],[Date]])</f>
        <v>1987</v>
      </c>
      <c r="C184" s="1">
        <v>4</v>
      </c>
      <c r="D184" t="s">
        <v>461</v>
      </c>
      <c r="E184" s="1">
        <v>6</v>
      </c>
      <c r="F184" t="s">
        <v>56</v>
      </c>
      <c r="G184" t="str">
        <f>VLOOKUP(Table1[[#This Row],[Winner]],Ranking!C:D,2,FALSE)</f>
        <v>BE</v>
      </c>
      <c r="H184" s="1">
        <v>88</v>
      </c>
      <c r="I184" s="1">
        <v>1</v>
      </c>
      <c r="J184" t="s">
        <v>66</v>
      </c>
      <c r="K184" t="str">
        <f>VLOOKUP(Table1[[#This Row],[Loser]],Ranking!C:D,2,FALSE)</f>
        <v>BE</v>
      </c>
      <c r="L184" s="1">
        <v>73</v>
      </c>
      <c r="N184" s="1">
        <f>Table1[[#This Row],[Winning Score]]-Table1[[#This Row],[Losing Score]]</f>
        <v>15</v>
      </c>
      <c r="O184" s="1">
        <f>Table1[[#This Row],[Losing Seed]]-Table1[[#This Row],[Winning Seed]]</f>
        <v>-5</v>
      </c>
      <c r="P184" s="1" t="str">
        <f>IF(Table1[[#This Row],[SeD]]&lt;-2,Table1[[#This Row],[Winning Seed]]&amp; " over " &amp;Table1[[#This Row],[Losing Seed]],"")</f>
        <v>6 over 1</v>
      </c>
      <c r="Q184">
        <f>VLOOKUP(Table1[[#This Row],[Losing Seed]],'Seed History'!$N$4:$O$19,2)</f>
        <v>3.3263888888888888</v>
      </c>
      <c r="R184" s="1">
        <f>IF(Table1[[#This Row],[Round]]="PI",0,Table1[[#This Row],[Round]]-1)</f>
        <v>3</v>
      </c>
      <c r="S184">
        <f>Table1[[#This Row],[LAW]]-Table1[[#This Row],[LEW]]</f>
        <v>-0.32638888888888884</v>
      </c>
    </row>
    <row r="185" spans="1:19" x14ac:dyDescent="0.25">
      <c r="A185" s="66">
        <v>31857</v>
      </c>
      <c r="B185" s="51">
        <f>YEAR(Table1[[#This Row],[Date]])</f>
        <v>1987</v>
      </c>
      <c r="C185" s="1">
        <v>4</v>
      </c>
      <c r="D185" t="s">
        <v>49</v>
      </c>
      <c r="E185" s="1">
        <v>2</v>
      </c>
      <c r="F185" t="s">
        <v>86</v>
      </c>
      <c r="G185" t="str">
        <f>VLOOKUP(Table1[[#This Row],[Winner]],Ranking!C:D,2,FALSE)</f>
        <v>ACC</v>
      </c>
      <c r="H185" s="1">
        <v>79</v>
      </c>
      <c r="I185" s="1">
        <v>1</v>
      </c>
      <c r="J185" t="s">
        <v>298</v>
      </c>
      <c r="K185" t="str">
        <f>VLOOKUP(Table1[[#This Row],[Loser]],Ranking!C:D,2,FALSE)</f>
        <v>ACC</v>
      </c>
      <c r="L185" s="1">
        <v>75</v>
      </c>
      <c r="N185" s="1">
        <f>Table1[[#This Row],[Winning Score]]-Table1[[#This Row],[Losing Score]]</f>
        <v>4</v>
      </c>
      <c r="O185" s="1">
        <f>Table1[[#This Row],[Losing Seed]]-Table1[[#This Row],[Winning Seed]]</f>
        <v>-1</v>
      </c>
      <c r="P185" s="1" t="str">
        <f>IF(Table1[[#This Row],[SeD]]&lt;-2,Table1[[#This Row],[Winning Seed]]&amp; " over " &amp;Table1[[#This Row],[Losing Seed]],"")</f>
        <v/>
      </c>
      <c r="Q185">
        <f>VLOOKUP(Table1[[#This Row],[Losing Seed]],'Seed History'!$N$4:$O$19,2)</f>
        <v>3.3263888888888888</v>
      </c>
      <c r="R185" s="1">
        <f>IF(Table1[[#This Row],[Round]]="PI",0,Table1[[#This Row],[Round]]-1)</f>
        <v>3</v>
      </c>
      <c r="S185">
        <f>Table1[[#This Row],[LAW]]-Table1[[#This Row],[LEW]]</f>
        <v>-0.32638888888888884</v>
      </c>
    </row>
    <row r="186" spans="1:19" x14ac:dyDescent="0.25">
      <c r="A186" s="66">
        <v>31858</v>
      </c>
      <c r="B186" s="51">
        <f>YEAR(Table1[[#This Row],[Date]])</f>
        <v>1987</v>
      </c>
      <c r="C186" s="1">
        <v>4</v>
      </c>
      <c r="D186" t="s">
        <v>439</v>
      </c>
      <c r="E186" s="1">
        <v>1</v>
      </c>
      <c r="F186" t="s">
        <v>36</v>
      </c>
      <c r="G186" t="str">
        <f>VLOOKUP(Table1[[#This Row],[Winner]],Ranking!C:D,2,FALSE)</f>
        <v>B10</v>
      </c>
      <c r="H186" s="1">
        <v>77</v>
      </c>
      <c r="I186" s="1">
        <v>10</v>
      </c>
      <c r="J186" t="s">
        <v>52</v>
      </c>
      <c r="K186" t="str">
        <f>VLOOKUP(Table1[[#This Row],[Loser]],Ranking!C:D,2,FALSE)</f>
        <v>SEC</v>
      </c>
      <c r="L186" s="1">
        <v>76</v>
      </c>
      <c r="N186" s="1">
        <f>Table1[[#This Row],[Winning Score]]-Table1[[#This Row],[Losing Score]]</f>
        <v>1</v>
      </c>
      <c r="O186" s="1">
        <f>Table1[[#This Row],[Losing Seed]]-Table1[[#This Row],[Winning Seed]]</f>
        <v>9</v>
      </c>
      <c r="P186" s="1" t="str">
        <f>IF(Table1[[#This Row],[SeD]]&lt;-2,Table1[[#This Row],[Winning Seed]]&amp; " over " &amp;Table1[[#This Row],[Losing Seed]],"")</f>
        <v/>
      </c>
      <c r="Q186">
        <f>VLOOKUP(Table1[[#This Row],[Losing Seed]],'Seed History'!$N$4:$O$19,2)</f>
        <v>0.61805555555555558</v>
      </c>
      <c r="R186" s="1">
        <f>IF(Table1[[#This Row],[Round]]="PI",0,Table1[[#This Row],[Round]]-1)</f>
        <v>3</v>
      </c>
      <c r="S186">
        <f>Table1[[#This Row],[LAW]]-Table1[[#This Row],[LEW]]</f>
        <v>2.3819444444444446</v>
      </c>
    </row>
    <row r="187" spans="1:19" x14ac:dyDescent="0.25">
      <c r="A187" s="66">
        <v>31858</v>
      </c>
      <c r="B187" s="51">
        <f>YEAR(Table1[[#This Row],[Date]])</f>
        <v>1987</v>
      </c>
      <c r="C187" s="1">
        <v>4</v>
      </c>
      <c r="D187" t="s">
        <v>38</v>
      </c>
      <c r="E187" s="1">
        <v>1</v>
      </c>
      <c r="F187" t="s">
        <v>396</v>
      </c>
      <c r="G187" t="str">
        <f>VLOOKUP(Table1[[#This Row],[Winner]],Ranking!C:D,2,FALSE)</f>
        <v>MWC</v>
      </c>
      <c r="H187" s="1">
        <v>84</v>
      </c>
      <c r="I187" s="1">
        <v>2</v>
      </c>
      <c r="J187" t="s">
        <v>69</v>
      </c>
      <c r="K187" t="str">
        <f>VLOOKUP(Table1[[#This Row],[Loser]],Ranking!C:D,2,FALSE)</f>
        <v>B10</v>
      </c>
      <c r="L187" s="1">
        <v>81</v>
      </c>
      <c r="N187" s="1">
        <f>Table1[[#This Row],[Winning Score]]-Table1[[#This Row],[Losing Score]]</f>
        <v>3</v>
      </c>
      <c r="O187" s="1">
        <f>Table1[[#This Row],[Losing Seed]]-Table1[[#This Row],[Winning Seed]]</f>
        <v>1</v>
      </c>
      <c r="P187" s="1" t="str">
        <f>IF(Table1[[#This Row],[SeD]]&lt;-2,Table1[[#This Row],[Winning Seed]]&amp; " over " &amp;Table1[[#This Row],[Losing Seed]],"")</f>
        <v/>
      </c>
      <c r="Q187">
        <f>VLOOKUP(Table1[[#This Row],[Losing Seed]],'Seed History'!$N$4:$O$19,2)</f>
        <v>2.3472222222222223</v>
      </c>
      <c r="R187" s="1">
        <f>IF(Table1[[#This Row],[Round]]="PI",0,Table1[[#This Row],[Round]]-1)</f>
        <v>3</v>
      </c>
      <c r="S187">
        <f>Table1[[#This Row],[LAW]]-Table1[[#This Row],[LEW]]</f>
        <v>0.65277777777777768</v>
      </c>
    </row>
    <row r="188" spans="1:19" x14ac:dyDescent="0.25">
      <c r="A188" s="66">
        <v>31864</v>
      </c>
      <c r="B188" s="51">
        <f>YEAR(Table1[[#This Row],[Date]])</f>
        <v>1987</v>
      </c>
      <c r="C188" s="1">
        <v>5</v>
      </c>
      <c r="D188" t="s">
        <v>467</v>
      </c>
      <c r="E188" s="1">
        <v>1</v>
      </c>
      <c r="F188" t="s">
        <v>36</v>
      </c>
      <c r="G188" t="str">
        <f>VLOOKUP(Table1[[#This Row],[Winner]],Ranking!C:D,2,FALSE)</f>
        <v>B10</v>
      </c>
      <c r="H188" s="1">
        <v>97</v>
      </c>
      <c r="I188" s="1">
        <v>1</v>
      </c>
      <c r="J188" t="s">
        <v>396</v>
      </c>
      <c r="K188" t="str">
        <f>VLOOKUP(Table1[[#This Row],[Loser]],Ranking!C:D,2,FALSE)</f>
        <v>MWC</v>
      </c>
      <c r="L188" s="1">
        <v>93</v>
      </c>
      <c r="N188" s="1">
        <f>Table1[[#This Row],[Winning Score]]-Table1[[#This Row],[Losing Score]]</f>
        <v>4</v>
      </c>
      <c r="O188" s="1">
        <f>Table1[[#This Row],[Losing Seed]]-Table1[[#This Row],[Winning Seed]]</f>
        <v>0</v>
      </c>
      <c r="P188" s="1" t="str">
        <f>IF(Table1[[#This Row],[SeD]]&lt;-2,Table1[[#This Row],[Winning Seed]]&amp; " over " &amp;Table1[[#This Row],[Losing Seed]],"")</f>
        <v/>
      </c>
      <c r="Q188">
        <f>VLOOKUP(Table1[[#This Row],[Losing Seed]],'Seed History'!$N$4:$O$19,2)</f>
        <v>3.3263888888888888</v>
      </c>
      <c r="R188" s="1">
        <f>IF(Table1[[#This Row],[Round]]="PI",0,Table1[[#This Row],[Round]]-1)</f>
        <v>4</v>
      </c>
      <c r="S188">
        <f>Table1[[#This Row],[LAW]]-Table1[[#This Row],[LEW]]</f>
        <v>0.67361111111111116</v>
      </c>
    </row>
    <row r="189" spans="1:19" x14ac:dyDescent="0.25">
      <c r="A189" s="66">
        <v>31864</v>
      </c>
      <c r="B189" s="51">
        <f>YEAR(Table1[[#This Row],[Date]])</f>
        <v>1987</v>
      </c>
      <c r="C189" s="1">
        <v>5</v>
      </c>
      <c r="D189" t="s">
        <v>467</v>
      </c>
      <c r="E189" s="1">
        <v>2</v>
      </c>
      <c r="F189" t="s">
        <v>86</v>
      </c>
      <c r="G189" t="str">
        <f>VLOOKUP(Table1[[#This Row],[Winner]],Ranking!C:D,2,FALSE)</f>
        <v>ACC</v>
      </c>
      <c r="H189" s="1">
        <v>77</v>
      </c>
      <c r="I189" s="1">
        <v>6</v>
      </c>
      <c r="J189" t="s">
        <v>56</v>
      </c>
      <c r="K189" t="str">
        <f>VLOOKUP(Table1[[#This Row],[Loser]],Ranking!C:D,2,FALSE)</f>
        <v>BE</v>
      </c>
      <c r="L189" s="1">
        <v>63</v>
      </c>
      <c r="N189" s="1">
        <f>Table1[[#This Row],[Winning Score]]-Table1[[#This Row],[Losing Score]]</f>
        <v>14</v>
      </c>
      <c r="O189" s="1">
        <f>Table1[[#This Row],[Losing Seed]]-Table1[[#This Row],[Winning Seed]]</f>
        <v>4</v>
      </c>
      <c r="P189" s="1" t="str">
        <f>IF(Table1[[#This Row],[SeD]]&lt;-2,Table1[[#This Row],[Winning Seed]]&amp; " over " &amp;Table1[[#This Row],[Losing Seed]],"")</f>
        <v/>
      </c>
      <c r="Q189">
        <f>VLOOKUP(Table1[[#This Row],[Losing Seed]],'Seed History'!$N$4:$O$19,2)</f>
        <v>1.0625</v>
      </c>
      <c r="R189" s="1">
        <f>IF(Table1[[#This Row],[Round]]="PI",0,Table1[[#This Row],[Round]]-1)</f>
        <v>4</v>
      </c>
      <c r="S189">
        <f>Table1[[#This Row],[LAW]]-Table1[[#This Row],[LEW]]</f>
        <v>2.9375</v>
      </c>
    </row>
    <row r="190" spans="1:19" x14ac:dyDescent="0.25">
      <c r="A190" s="66">
        <v>31866</v>
      </c>
      <c r="B190" s="51">
        <f>YEAR(Table1[[#This Row],[Date]])</f>
        <v>1987</v>
      </c>
      <c r="C190" s="1">
        <v>6</v>
      </c>
      <c r="D190" t="s">
        <v>468</v>
      </c>
      <c r="E190" s="1">
        <v>1</v>
      </c>
      <c r="F190" t="s">
        <v>36</v>
      </c>
      <c r="G190" t="str">
        <f>VLOOKUP(Table1[[#This Row],[Winner]],Ranking!C:D,2,FALSE)</f>
        <v>B10</v>
      </c>
      <c r="H190" s="1">
        <v>74</v>
      </c>
      <c r="I190" s="1">
        <v>2</v>
      </c>
      <c r="J190" t="s">
        <v>86</v>
      </c>
      <c r="K190" t="str">
        <f>VLOOKUP(Table1[[#This Row],[Loser]],Ranking!C:D,2,FALSE)</f>
        <v>ACC</v>
      </c>
      <c r="L190" s="1">
        <v>73</v>
      </c>
      <c r="N190" s="1">
        <f>Table1[[#This Row],[Winning Score]]-Table1[[#This Row],[Losing Score]]</f>
        <v>1</v>
      </c>
      <c r="O190" s="1">
        <f>Table1[[#This Row],[Losing Seed]]-Table1[[#This Row],[Winning Seed]]</f>
        <v>1</v>
      </c>
      <c r="P190" s="1" t="str">
        <f>IF(Table1[[#This Row],[SeD]]&lt;-2,Table1[[#This Row],[Winning Seed]]&amp; " over " &amp;Table1[[#This Row],[Losing Seed]],"")</f>
        <v/>
      </c>
      <c r="Q190">
        <f>VLOOKUP(Table1[[#This Row],[Losing Seed]],'Seed History'!$N$4:$O$19,2)</f>
        <v>2.3472222222222223</v>
      </c>
      <c r="R190" s="1">
        <f>IF(Table1[[#This Row],[Round]]="PI",0,Table1[[#This Row],[Round]]-1)</f>
        <v>5</v>
      </c>
      <c r="S190">
        <f>Table1[[#This Row],[LAW]]-Table1[[#This Row],[LEW]]</f>
        <v>2.6527777777777777</v>
      </c>
    </row>
    <row r="191" spans="1:19" x14ac:dyDescent="0.25">
      <c r="A191" s="66">
        <v>32219</v>
      </c>
      <c r="B191" s="51">
        <f>YEAR(Table1[[#This Row],[Date]])</f>
        <v>1988</v>
      </c>
      <c r="C191" s="1">
        <v>1</v>
      </c>
      <c r="D191" t="s">
        <v>49</v>
      </c>
      <c r="E191" s="1">
        <v>2</v>
      </c>
      <c r="F191" t="s">
        <v>64</v>
      </c>
      <c r="G191" t="str">
        <f>VLOOKUP(Table1[[#This Row],[Winner]],Ranking!C:D,2,FALSE)</f>
        <v>ACC</v>
      </c>
      <c r="H191" s="1">
        <v>85</v>
      </c>
      <c r="I191" s="1">
        <v>15</v>
      </c>
      <c r="J191" t="s">
        <v>140</v>
      </c>
      <c r="K191" t="str">
        <f>VLOOKUP(Table1[[#This Row],[Loser]],Ranking!C:D,2,FALSE)</f>
        <v>Pat</v>
      </c>
      <c r="L191" s="1">
        <v>69</v>
      </c>
      <c r="N191" s="1">
        <f>Table1[[#This Row],[Winning Score]]-Table1[[#This Row],[Losing Score]]</f>
        <v>16</v>
      </c>
      <c r="O191" s="1">
        <f>Table1[[#This Row],[Losing Seed]]-Table1[[#This Row],[Winning Seed]]</f>
        <v>13</v>
      </c>
      <c r="P191" s="1" t="str">
        <f>IF(Table1[[#This Row],[SeD]]&lt;-2,Table1[[#This Row],[Winning Seed]]&amp; " over " &amp;Table1[[#This Row],[Losing Seed]],"")</f>
        <v/>
      </c>
      <c r="Q191">
        <f>VLOOKUP(Table1[[#This Row],[Losing Seed]],'Seed History'!$N$4:$O$19,2)</f>
        <v>7.6388888888888895E-2</v>
      </c>
      <c r="R191" s="1">
        <f>IF(Table1[[#This Row],[Round]]="PI",0,Table1[[#This Row],[Round]]-1)</f>
        <v>0</v>
      </c>
      <c r="S191">
        <f>Table1[[#This Row],[LAW]]-Table1[[#This Row],[LEW]]</f>
        <v>-7.6388888888888895E-2</v>
      </c>
    </row>
    <row r="192" spans="1:19" x14ac:dyDescent="0.25">
      <c r="A192" s="66">
        <v>32219</v>
      </c>
      <c r="B192" s="51">
        <f>YEAR(Table1[[#This Row],[Date]])</f>
        <v>1988</v>
      </c>
      <c r="C192" s="1">
        <v>1</v>
      </c>
      <c r="D192" t="s">
        <v>49</v>
      </c>
      <c r="E192" s="1">
        <v>3</v>
      </c>
      <c r="F192" t="s">
        <v>86</v>
      </c>
      <c r="G192" t="str">
        <f>VLOOKUP(Table1[[#This Row],[Winner]],Ranking!C:D,2,FALSE)</f>
        <v>ACC</v>
      </c>
      <c r="H192" s="1">
        <v>69</v>
      </c>
      <c r="I192" s="1">
        <v>14</v>
      </c>
      <c r="J192" t="s">
        <v>299</v>
      </c>
      <c r="K192" t="str">
        <f>VLOOKUP(Table1[[#This Row],[Loser]],Ranking!C:D,2,FALSE)</f>
        <v>MEAC</v>
      </c>
      <c r="L192" s="1">
        <v>55</v>
      </c>
      <c r="N192" s="1">
        <f>Table1[[#This Row],[Winning Score]]-Table1[[#This Row],[Losing Score]]</f>
        <v>14</v>
      </c>
      <c r="O192" s="1">
        <f>Table1[[#This Row],[Losing Seed]]-Table1[[#This Row],[Winning Seed]]</f>
        <v>11</v>
      </c>
      <c r="P192" s="1" t="str">
        <f>IF(Table1[[#This Row],[SeD]]&lt;-2,Table1[[#This Row],[Winning Seed]]&amp; " over " &amp;Table1[[#This Row],[Losing Seed]],"")</f>
        <v/>
      </c>
      <c r="Q192">
        <f>VLOOKUP(Table1[[#This Row],[Losing Seed]],'Seed History'!$N$4:$O$19,2)</f>
        <v>0.16666666666666666</v>
      </c>
      <c r="R192" s="1">
        <f>IF(Table1[[#This Row],[Round]]="PI",0,Table1[[#This Row],[Round]]-1)</f>
        <v>0</v>
      </c>
      <c r="S192">
        <f>Table1[[#This Row],[LAW]]-Table1[[#This Row],[LEW]]</f>
        <v>-0.16666666666666666</v>
      </c>
    </row>
    <row r="193" spans="1:19" x14ac:dyDescent="0.25">
      <c r="A193" s="66">
        <v>32219</v>
      </c>
      <c r="B193" s="51">
        <f>YEAR(Table1[[#This Row],[Date]])</f>
        <v>1988</v>
      </c>
      <c r="C193" s="1">
        <v>1</v>
      </c>
      <c r="D193" t="s">
        <v>49</v>
      </c>
      <c r="E193" s="1">
        <v>7</v>
      </c>
      <c r="F193" t="s">
        <v>352</v>
      </c>
      <c r="G193" t="str">
        <f>VLOOKUP(Table1[[#This Row],[Winner]],Ranking!C:D,2,FALSE)</f>
        <v>Amer</v>
      </c>
      <c r="H193" s="1">
        <v>83</v>
      </c>
      <c r="I193" s="1">
        <v>10</v>
      </c>
      <c r="J193" t="s">
        <v>35</v>
      </c>
      <c r="K193" t="str">
        <f>VLOOKUP(Table1[[#This Row],[Loser]],Ranking!C:D,2,FALSE)</f>
        <v>ACC</v>
      </c>
      <c r="L193" s="1">
        <v>75</v>
      </c>
      <c r="N193" s="1">
        <f>Table1[[#This Row],[Winning Score]]-Table1[[#This Row],[Losing Score]]</f>
        <v>8</v>
      </c>
      <c r="O193" s="1">
        <f>Table1[[#This Row],[Losing Seed]]-Table1[[#This Row],[Winning Seed]]</f>
        <v>3</v>
      </c>
      <c r="P193" s="1" t="str">
        <f>IF(Table1[[#This Row],[SeD]]&lt;-2,Table1[[#This Row],[Winning Seed]]&amp; " over " &amp;Table1[[#This Row],[Losing Seed]],"")</f>
        <v/>
      </c>
      <c r="Q193">
        <f>VLOOKUP(Table1[[#This Row],[Losing Seed]],'Seed History'!$N$4:$O$19,2)</f>
        <v>0.61805555555555558</v>
      </c>
      <c r="R193" s="1">
        <f>IF(Table1[[#This Row],[Round]]="PI",0,Table1[[#This Row],[Round]]-1)</f>
        <v>0</v>
      </c>
      <c r="S193">
        <f>Table1[[#This Row],[LAW]]-Table1[[#This Row],[LEW]]</f>
        <v>-0.61805555555555558</v>
      </c>
    </row>
    <row r="194" spans="1:19" x14ac:dyDescent="0.25">
      <c r="A194" s="66">
        <v>32219</v>
      </c>
      <c r="B194" s="51">
        <f>YEAR(Table1[[#This Row],[Date]])</f>
        <v>1988</v>
      </c>
      <c r="C194" s="1">
        <v>1</v>
      </c>
      <c r="D194" t="s">
        <v>439</v>
      </c>
      <c r="E194" s="1">
        <v>1</v>
      </c>
      <c r="F194" t="s">
        <v>29</v>
      </c>
      <c r="G194" t="str">
        <f>VLOOKUP(Table1[[#This Row],[Winner]],Ranking!C:D,2,FALSE)</f>
        <v>B10</v>
      </c>
      <c r="H194" s="1">
        <v>94</v>
      </c>
      <c r="I194" s="1">
        <v>16</v>
      </c>
      <c r="J194" t="s">
        <v>201</v>
      </c>
      <c r="K194" t="str">
        <f>VLOOKUP(Table1[[#This Row],[Loser]],Ranking!C:D,2,FALSE)</f>
        <v>NEC</v>
      </c>
      <c r="L194" s="1">
        <v>79</v>
      </c>
      <c r="N194" s="1">
        <f>Table1[[#This Row],[Winning Score]]-Table1[[#This Row],[Losing Score]]</f>
        <v>15</v>
      </c>
      <c r="O194" s="1">
        <f>Table1[[#This Row],[Losing Seed]]-Table1[[#This Row],[Winning Seed]]</f>
        <v>15</v>
      </c>
      <c r="P194" s="1" t="str">
        <f>IF(Table1[[#This Row],[SeD]]&lt;-2,Table1[[#This Row],[Winning Seed]]&amp; " over " &amp;Table1[[#This Row],[Losing Seed]],"")</f>
        <v/>
      </c>
      <c r="Q194">
        <f>VLOOKUP(Table1[[#This Row],[Losing Seed]],'Seed History'!$N$4:$O$19,2)</f>
        <v>6.9444444444444441E-3</v>
      </c>
      <c r="R194" s="1">
        <f>IF(Table1[[#This Row],[Round]]="PI",0,Table1[[#This Row],[Round]]-1)</f>
        <v>0</v>
      </c>
      <c r="S194">
        <f>Table1[[#This Row],[LAW]]-Table1[[#This Row],[LEW]]</f>
        <v>-6.9444444444444441E-3</v>
      </c>
    </row>
    <row r="195" spans="1:19" x14ac:dyDescent="0.25">
      <c r="A195" s="66">
        <v>32219</v>
      </c>
      <c r="B195" s="51">
        <f>YEAR(Table1[[#This Row],[Date]])</f>
        <v>1988</v>
      </c>
      <c r="C195" s="1">
        <v>1</v>
      </c>
      <c r="D195" t="s">
        <v>439</v>
      </c>
      <c r="E195" s="1">
        <v>4</v>
      </c>
      <c r="F195" t="s">
        <v>243</v>
      </c>
      <c r="G195" t="str">
        <f>VLOOKUP(Table1[[#This Row],[Winner]],Ranking!C:D,2,FALSE)</f>
        <v>B12</v>
      </c>
      <c r="H195" s="1">
        <v>66</v>
      </c>
      <c r="I195" s="1">
        <v>13</v>
      </c>
      <c r="J195" t="s">
        <v>246</v>
      </c>
      <c r="K195" t="str">
        <f>VLOOKUP(Table1[[#This Row],[Loser]],Ranking!C:D,2,FALSE)</f>
        <v>A10</v>
      </c>
      <c r="L195" s="1">
        <v>53</v>
      </c>
      <c r="N195" s="1">
        <f>Table1[[#This Row],[Winning Score]]-Table1[[#This Row],[Losing Score]]</f>
        <v>13</v>
      </c>
      <c r="O195" s="1">
        <f>Table1[[#This Row],[Losing Seed]]-Table1[[#This Row],[Winning Seed]]</f>
        <v>9</v>
      </c>
      <c r="P195" s="1" t="str">
        <f>IF(Table1[[#This Row],[SeD]]&lt;-2,Table1[[#This Row],[Winning Seed]]&amp; " over " &amp;Table1[[#This Row],[Losing Seed]],"")</f>
        <v/>
      </c>
      <c r="Q195">
        <f>VLOOKUP(Table1[[#This Row],[Losing Seed]],'Seed History'!$N$4:$O$19,2)</f>
        <v>0.25694444444444442</v>
      </c>
      <c r="R195" s="1">
        <f>IF(Table1[[#This Row],[Round]]="PI",0,Table1[[#This Row],[Round]]-1)</f>
        <v>0</v>
      </c>
      <c r="S195">
        <f>Table1[[#This Row],[LAW]]-Table1[[#This Row],[LEW]]</f>
        <v>-0.25694444444444442</v>
      </c>
    </row>
    <row r="196" spans="1:19" x14ac:dyDescent="0.25">
      <c r="A196" s="66">
        <v>32219</v>
      </c>
      <c r="B196" s="51">
        <f>YEAR(Table1[[#This Row],[Date]])</f>
        <v>1988</v>
      </c>
      <c r="C196" s="1">
        <v>1</v>
      </c>
      <c r="D196" t="s">
        <v>439</v>
      </c>
      <c r="E196" s="1">
        <v>5</v>
      </c>
      <c r="F196" t="s">
        <v>186</v>
      </c>
      <c r="G196" t="str">
        <f>VLOOKUP(Table1[[#This Row],[Winner]],Ranking!C:D,2,FALSE)</f>
        <v>BE</v>
      </c>
      <c r="H196" s="1">
        <v>83</v>
      </c>
      <c r="I196" s="1">
        <v>12</v>
      </c>
      <c r="J196" t="s">
        <v>417</v>
      </c>
      <c r="K196" t="str">
        <f>VLOOKUP(Table1[[#This Row],[Loser]],Ranking!C:D,2,FALSE)</f>
        <v>Amer</v>
      </c>
      <c r="L196" s="1">
        <v>62</v>
      </c>
      <c r="N196" s="1">
        <f>Table1[[#This Row],[Winning Score]]-Table1[[#This Row],[Losing Score]]</f>
        <v>21</v>
      </c>
      <c r="O196" s="1">
        <f>Table1[[#This Row],[Losing Seed]]-Table1[[#This Row],[Winning Seed]]</f>
        <v>7</v>
      </c>
      <c r="P196" s="1" t="str">
        <f>IF(Table1[[#This Row],[SeD]]&lt;-2,Table1[[#This Row],[Winning Seed]]&amp; " over " &amp;Table1[[#This Row],[Losing Seed]],"")</f>
        <v/>
      </c>
      <c r="Q196">
        <f>VLOOKUP(Table1[[#This Row],[Losing Seed]],'Seed History'!$N$4:$O$19,2)</f>
        <v>0.52083333333333337</v>
      </c>
      <c r="R196" s="1">
        <f>IF(Table1[[#This Row],[Round]]="PI",0,Table1[[#This Row],[Round]]-1)</f>
        <v>0</v>
      </c>
      <c r="S196">
        <f>Table1[[#This Row],[LAW]]-Table1[[#This Row],[LEW]]</f>
        <v>-0.52083333333333337</v>
      </c>
    </row>
    <row r="197" spans="1:19" x14ac:dyDescent="0.25">
      <c r="A197" s="66">
        <v>32219</v>
      </c>
      <c r="B197" s="51">
        <f>YEAR(Table1[[#This Row],[Date]])</f>
        <v>1988</v>
      </c>
      <c r="C197" s="1">
        <v>1</v>
      </c>
      <c r="D197" t="s">
        <v>461</v>
      </c>
      <c r="E197" s="1">
        <v>1</v>
      </c>
      <c r="F197" t="s">
        <v>58</v>
      </c>
      <c r="G197" t="str">
        <f>VLOOKUP(Table1[[#This Row],[Winner]],Ranking!C:D,2,FALSE)</f>
        <v>B12</v>
      </c>
      <c r="H197" s="1">
        <v>94</v>
      </c>
      <c r="I197" s="1">
        <v>16</v>
      </c>
      <c r="J197" t="s">
        <v>167</v>
      </c>
      <c r="K197" t="str">
        <f>VLOOKUP(Table1[[#This Row],[Loser]],Ranking!C:D,2,FALSE)</f>
        <v>SC</v>
      </c>
      <c r="L197" s="1">
        <v>66</v>
      </c>
      <c r="N197" s="1">
        <f>Table1[[#This Row],[Winning Score]]-Table1[[#This Row],[Losing Score]]</f>
        <v>28</v>
      </c>
      <c r="O197" s="1">
        <f>Table1[[#This Row],[Losing Seed]]-Table1[[#This Row],[Winning Seed]]</f>
        <v>15</v>
      </c>
      <c r="P197" s="1" t="str">
        <f>IF(Table1[[#This Row],[SeD]]&lt;-2,Table1[[#This Row],[Winning Seed]]&amp; " over " &amp;Table1[[#This Row],[Losing Seed]],"")</f>
        <v/>
      </c>
      <c r="Q197">
        <f>VLOOKUP(Table1[[#This Row],[Losing Seed]],'Seed History'!$N$4:$O$19,2)</f>
        <v>6.9444444444444441E-3</v>
      </c>
      <c r="R197" s="1">
        <f>IF(Table1[[#This Row],[Round]]="PI",0,Table1[[#This Row],[Round]]-1)</f>
        <v>0</v>
      </c>
      <c r="S197">
        <f>Table1[[#This Row],[LAW]]-Table1[[#This Row],[LEW]]</f>
        <v>-6.9444444444444441E-3</v>
      </c>
    </row>
    <row r="198" spans="1:19" x14ac:dyDescent="0.25">
      <c r="A198" s="66">
        <v>32219</v>
      </c>
      <c r="B198" s="51">
        <f>YEAR(Table1[[#This Row],[Date]])</f>
        <v>1988</v>
      </c>
      <c r="C198" s="1">
        <v>1</v>
      </c>
      <c r="D198" t="s">
        <v>461</v>
      </c>
      <c r="E198" s="1">
        <v>4</v>
      </c>
      <c r="F198" t="s">
        <v>72</v>
      </c>
      <c r="G198" t="str">
        <f>VLOOKUP(Table1[[#This Row],[Winner]],Ranking!C:D,2,FALSE)</f>
        <v>WCC</v>
      </c>
      <c r="H198" s="1">
        <v>98</v>
      </c>
      <c r="I198" s="1">
        <v>13</v>
      </c>
      <c r="J198" t="s">
        <v>165</v>
      </c>
      <c r="K198" t="str">
        <f>VLOOKUP(Table1[[#This Row],[Loser]],Ranking!C:D,2,FALSE)</f>
        <v>CUSA</v>
      </c>
      <c r="L198" s="1">
        <v>92</v>
      </c>
      <c r="M198" s="1" t="s">
        <v>462</v>
      </c>
      <c r="N198" s="1">
        <f>Table1[[#This Row],[Winning Score]]-Table1[[#This Row],[Losing Score]]</f>
        <v>6</v>
      </c>
      <c r="O198" s="1">
        <f>Table1[[#This Row],[Losing Seed]]-Table1[[#This Row],[Winning Seed]]</f>
        <v>9</v>
      </c>
      <c r="P198" s="1" t="str">
        <f>IF(Table1[[#This Row],[SeD]]&lt;-2,Table1[[#This Row],[Winning Seed]]&amp; " over " &amp;Table1[[#This Row],[Losing Seed]],"")</f>
        <v/>
      </c>
      <c r="Q198">
        <f>VLOOKUP(Table1[[#This Row],[Losing Seed]],'Seed History'!$N$4:$O$19,2)</f>
        <v>0.25694444444444442</v>
      </c>
      <c r="R198" s="1">
        <f>IF(Table1[[#This Row],[Round]]="PI",0,Table1[[#This Row],[Round]]-1)</f>
        <v>0</v>
      </c>
      <c r="S198">
        <f>Table1[[#This Row],[LAW]]-Table1[[#This Row],[LEW]]</f>
        <v>-0.25694444444444442</v>
      </c>
    </row>
    <row r="199" spans="1:19" x14ac:dyDescent="0.25">
      <c r="A199" s="66">
        <v>32219</v>
      </c>
      <c r="B199" s="51">
        <f>YEAR(Table1[[#This Row],[Date]])</f>
        <v>1988</v>
      </c>
      <c r="C199" s="1">
        <v>1</v>
      </c>
      <c r="D199" t="s">
        <v>461</v>
      </c>
      <c r="E199" s="1">
        <v>5</v>
      </c>
      <c r="F199" t="s">
        <v>54</v>
      </c>
      <c r="G199" t="str">
        <f>VLOOKUP(Table1[[#This Row],[Winner]],Ranking!C:D,2,FALSE)</f>
        <v>ACC</v>
      </c>
      <c r="H199" s="1">
        <v>70</v>
      </c>
      <c r="I199" s="1">
        <v>12</v>
      </c>
      <c r="J199" t="s">
        <v>319</v>
      </c>
      <c r="K199" t="str">
        <f>VLOOKUP(Table1[[#This Row],[Loser]],Ranking!C:D,2,FALSE)</f>
        <v>P12</v>
      </c>
      <c r="L199" s="1">
        <v>61</v>
      </c>
      <c r="N199" s="1">
        <f>Table1[[#This Row],[Winning Score]]-Table1[[#This Row],[Losing Score]]</f>
        <v>9</v>
      </c>
      <c r="O199" s="1">
        <f>Table1[[#This Row],[Losing Seed]]-Table1[[#This Row],[Winning Seed]]</f>
        <v>7</v>
      </c>
      <c r="P199" s="1" t="str">
        <f>IF(Table1[[#This Row],[SeD]]&lt;-2,Table1[[#This Row],[Winning Seed]]&amp; " over " &amp;Table1[[#This Row],[Losing Seed]],"")</f>
        <v/>
      </c>
      <c r="Q199">
        <f>VLOOKUP(Table1[[#This Row],[Losing Seed]],'Seed History'!$N$4:$O$19,2)</f>
        <v>0.52083333333333337</v>
      </c>
      <c r="R199" s="1">
        <f>IF(Table1[[#This Row],[Round]]="PI",0,Table1[[#This Row],[Round]]-1)</f>
        <v>0</v>
      </c>
      <c r="S199">
        <f>Table1[[#This Row],[LAW]]-Table1[[#This Row],[LEW]]</f>
        <v>-0.52083333333333337</v>
      </c>
    </row>
    <row r="200" spans="1:19" x14ac:dyDescent="0.25">
      <c r="A200" s="66">
        <v>32219</v>
      </c>
      <c r="B200" s="51">
        <f>YEAR(Table1[[#This Row],[Date]])</f>
        <v>1988</v>
      </c>
      <c r="C200" s="1">
        <v>1</v>
      </c>
      <c r="D200" t="s">
        <v>461</v>
      </c>
      <c r="E200" s="1">
        <v>8</v>
      </c>
      <c r="F200" t="s">
        <v>129</v>
      </c>
      <c r="G200" t="str">
        <f>VLOOKUP(Table1[[#This Row],[Winner]],Ranking!C:D,2,FALSE)</f>
        <v>SEC</v>
      </c>
      <c r="H200" s="1">
        <v>90</v>
      </c>
      <c r="I200" s="1">
        <v>9</v>
      </c>
      <c r="J200" t="s">
        <v>142</v>
      </c>
      <c r="K200" t="str">
        <f>VLOOKUP(Table1[[#This Row],[Loser]],Ranking!C:D,2,FALSE)</f>
        <v>MVC</v>
      </c>
      <c r="L200" s="1">
        <v>86</v>
      </c>
      <c r="N200" s="1">
        <f>Table1[[#This Row],[Winning Score]]-Table1[[#This Row],[Losing Score]]</f>
        <v>4</v>
      </c>
      <c r="O200" s="1">
        <f>Table1[[#This Row],[Losing Seed]]-Table1[[#This Row],[Winning Seed]]</f>
        <v>1</v>
      </c>
      <c r="P200" s="1" t="str">
        <f>IF(Table1[[#This Row],[SeD]]&lt;-2,Table1[[#This Row],[Winning Seed]]&amp; " over " &amp;Table1[[#This Row],[Losing Seed]],"")</f>
        <v/>
      </c>
      <c r="Q200">
        <f>VLOOKUP(Table1[[#This Row],[Losing Seed]],'Seed History'!$N$4:$O$19,2)</f>
        <v>0.59027777777777779</v>
      </c>
      <c r="R200" s="1">
        <f>IF(Table1[[#This Row],[Round]]="PI",0,Table1[[#This Row],[Round]]-1)</f>
        <v>0</v>
      </c>
      <c r="S200">
        <f>Table1[[#This Row],[LAW]]-Table1[[#This Row],[LEW]]</f>
        <v>-0.59027777777777779</v>
      </c>
    </row>
    <row r="201" spans="1:19" x14ac:dyDescent="0.25">
      <c r="A201" s="66">
        <v>32219</v>
      </c>
      <c r="B201" s="51">
        <f>YEAR(Table1[[#This Row],[Date]])</f>
        <v>1988</v>
      </c>
      <c r="C201" s="1">
        <v>1</v>
      </c>
      <c r="D201" t="s">
        <v>38</v>
      </c>
      <c r="E201" s="1">
        <v>2</v>
      </c>
      <c r="F201" t="s">
        <v>298</v>
      </c>
      <c r="G201" t="str">
        <f>VLOOKUP(Table1[[#This Row],[Winner]],Ranking!C:D,2,FALSE)</f>
        <v>ACC</v>
      </c>
      <c r="H201" s="1">
        <v>83</v>
      </c>
      <c r="I201" s="1">
        <v>15</v>
      </c>
      <c r="J201" t="s">
        <v>305</v>
      </c>
      <c r="K201" t="str">
        <f>VLOOKUP(Table1[[#This Row],[Loser]],Ranking!C:D,2,FALSE)</f>
        <v>CUSA</v>
      </c>
      <c r="L201" s="1">
        <v>65</v>
      </c>
      <c r="N201" s="1">
        <f>Table1[[#This Row],[Winning Score]]-Table1[[#This Row],[Losing Score]]</f>
        <v>18</v>
      </c>
      <c r="O201" s="1">
        <f>Table1[[#This Row],[Losing Seed]]-Table1[[#This Row],[Winning Seed]]</f>
        <v>13</v>
      </c>
      <c r="P201" s="1" t="str">
        <f>IF(Table1[[#This Row],[SeD]]&lt;-2,Table1[[#This Row],[Winning Seed]]&amp; " over " &amp;Table1[[#This Row],[Losing Seed]],"")</f>
        <v/>
      </c>
      <c r="Q201">
        <f>VLOOKUP(Table1[[#This Row],[Losing Seed]],'Seed History'!$N$4:$O$19,2)</f>
        <v>7.6388888888888895E-2</v>
      </c>
      <c r="R201" s="1">
        <f>IF(Table1[[#This Row],[Round]]="PI",0,Table1[[#This Row],[Round]]-1)</f>
        <v>0</v>
      </c>
      <c r="S201">
        <f>Table1[[#This Row],[LAW]]-Table1[[#This Row],[LEW]]</f>
        <v>-7.6388888888888895E-2</v>
      </c>
    </row>
    <row r="202" spans="1:19" x14ac:dyDescent="0.25">
      <c r="A202" s="66">
        <v>32219</v>
      </c>
      <c r="B202" s="51">
        <f>YEAR(Table1[[#This Row],[Date]])</f>
        <v>1988</v>
      </c>
      <c r="C202" s="1">
        <v>1</v>
      </c>
      <c r="D202" t="s">
        <v>38</v>
      </c>
      <c r="E202" s="1">
        <v>3</v>
      </c>
      <c r="F202" t="s">
        <v>82</v>
      </c>
      <c r="G202" t="str">
        <f>VLOOKUP(Table1[[#This Row],[Winner]],Ranking!C:D,2,FALSE)</f>
        <v>B10</v>
      </c>
      <c r="H202" s="1">
        <v>63</v>
      </c>
      <c r="I202" s="1">
        <v>14</v>
      </c>
      <c r="J202" t="s">
        <v>137</v>
      </c>
      <c r="K202" t="str">
        <f>VLOOKUP(Table1[[#This Row],[Loser]],Ranking!C:D,2,FALSE)</f>
        <v>MWC</v>
      </c>
      <c r="L202" s="1">
        <v>58</v>
      </c>
      <c r="N202" s="1">
        <f>Table1[[#This Row],[Winning Score]]-Table1[[#This Row],[Losing Score]]</f>
        <v>5</v>
      </c>
      <c r="O202" s="1">
        <f>Table1[[#This Row],[Losing Seed]]-Table1[[#This Row],[Winning Seed]]</f>
        <v>11</v>
      </c>
      <c r="P202" s="1" t="str">
        <f>IF(Table1[[#This Row],[SeD]]&lt;-2,Table1[[#This Row],[Winning Seed]]&amp; " over " &amp;Table1[[#This Row],[Losing Seed]],"")</f>
        <v/>
      </c>
      <c r="Q202">
        <f>VLOOKUP(Table1[[#This Row],[Losing Seed]],'Seed History'!$N$4:$O$19,2)</f>
        <v>0.16666666666666666</v>
      </c>
      <c r="R202" s="1">
        <f>IF(Table1[[#This Row],[Round]]="PI",0,Table1[[#This Row],[Round]]-1)</f>
        <v>0</v>
      </c>
      <c r="S202">
        <f>Table1[[#This Row],[LAW]]-Table1[[#This Row],[LEW]]</f>
        <v>-0.16666666666666666</v>
      </c>
    </row>
    <row r="203" spans="1:19" x14ac:dyDescent="0.25">
      <c r="A203" s="66">
        <v>32219</v>
      </c>
      <c r="B203" s="51">
        <f>YEAR(Table1[[#This Row],[Date]])</f>
        <v>1988</v>
      </c>
      <c r="C203" s="1">
        <v>1</v>
      </c>
      <c r="D203" t="s">
        <v>38</v>
      </c>
      <c r="E203" s="1">
        <v>6</v>
      </c>
      <c r="F203" t="s">
        <v>81</v>
      </c>
      <c r="G203" t="str">
        <f>VLOOKUP(Table1[[#This Row],[Winner]],Ranking!C:D,2,FALSE)</f>
        <v>SEC</v>
      </c>
      <c r="H203" s="1">
        <v>62</v>
      </c>
      <c r="I203" s="1">
        <v>11</v>
      </c>
      <c r="J203" t="s">
        <v>368</v>
      </c>
      <c r="K203" t="str">
        <f>VLOOKUP(Table1[[#This Row],[Loser]],Ranking!C:D,2,FALSE)</f>
        <v>BE</v>
      </c>
      <c r="L203" s="1">
        <v>59</v>
      </c>
      <c r="N203" s="1">
        <f>Table1[[#This Row],[Winning Score]]-Table1[[#This Row],[Losing Score]]</f>
        <v>3</v>
      </c>
      <c r="O203" s="1">
        <f>Table1[[#This Row],[Losing Seed]]-Table1[[#This Row],[Winning Seed]]</f>
        <v>5</v>
      </c>
      <c r="P203" s="1" t="str">
        <f>IF(Table1[[#This Row],[SeD]]&lt;-2,Table1[[#This Row],[Winning Seed]]&amp; " over " &amp;Table1[[#This Row],[Losing Seed]],"")</f>
        <v/>
      </c>
      <c r="Q203">
        <f>VLOOKUP(Table1[[#This Row],[Losing Seed]],'Seed History'!$N$4:$O$19,2)</f>
        <v>0.63194444444444442</v>
      </c>
      <c r="R203" s="1">
        <f>IF(Table1[[#This Row],[Round]]="PI",0,Table1[[#This Row],[Round]]-1)</f>
        <v>0</v>
      </c>
      <c r="S203">
        <f>Table1[[#This Row],[LAW]]-Table1[[#This Row],[LEW]]</f>
        <v>-0.63194444444444442</v>
      </c>
    </row>
    <row r="204" spans="1:19" x14ac:dyDescent="0.25">
      <c r="A204" s="66">
        <v>32219</v>
      </c>
      <c r="B204" s="51">
        <f>YEAR(Table1[[#This Row],[Date]])</f>
        <v>1988</v>
      </c>
      <c r="C204" s="1">
        <v>1</v>
      </c>
      <c r="D204" t="s">
        <v>49</v>
      </c>
      <c r="E204" s="1">
        <v>11</v>
      </c>
      <c r="F204" t="s">
        <v>96</v>
      </c>
      <c r="G204" t="str">
        <f>VLOOKUP(Table1[[#This Row],[Winner]],Ranking!C:D,2,FALSE)</f>
        <v>A10</v>
      </c>
      <c r="H204" s="1">
        <v>87</v>
      </c>
      <c r="I204" s="1">
        <v>6</v>
      </c>
      <c r="J204" t="s">
        <v>277</v>
      </c>
      <c r="K204" t="str">
        <f>VLOOKUP(Table1[[#This Row],[Loser]],Ranking!C:D,2,FALSE)</f>
        <v>SEC</v>
      </c>
      <c r="L204" s="1">
        <v>80</v>
      </c>
      <c r="N204" s="1">
        <f>Table1[[#This Row],[Winning Score]]-Table1[[#This Row],[Losing Score]]</f>
        <v>7</v>
      </c>
      <c r="O204" s="1">
        <f>Table1[[#This Row],[Losing Seed]]-Table1[[#This Row],[Winning Seed]]</f>
        <v>-5</v>
      </c>
      <c r="P204" s="1" t="str">
        <f>IF(Table1[[#This Row],[SeD]]&lt;-2,Table1[[#This Row],[Winning Seed]]&amp; " over " &amp;Table1[[#This Row],[Losing Seed]],"")</f>
        <v>11 over 6</v>
      </c>
      <c r="Q204">
        <f>VLOOKUP(Table1[[#This Row],[Losing Seed]],'Seed History'!$N$4:$O$19,2)</f>
        <v>1.0625</v>
      </c>
      <c r="R204" s="1">
        <f>IF(Table1[[#This Row],[Round]]="PI",0,Table1[[#This Row],[Round]]-1)</f>
        <v>0</v>
      </c>
      <c r="S204">
        <f>Table1[[#This Row],[LAW]]-Table1[[#This Row],[LEW]]</f>
        <v>-1.0625</v>
      </c>
    </row>
    <row r="205" spans="1:19" x14ac:dyDescent="0.25">
      <c r="A205" s="66">
        <v>32219</v>
      </c>
      <c r="B205" s="51">
        <f>YEAR(Table1[[#This Row],[Date]])</f>
        <v>1988</v>
      </c>
      <c r="C205" s="1">
        <v>1</v>
      </c>
      <c r="D205" t="s">
        <v>38</v>
      </c>
      <c r="E205" s="1">
        <v>10</v>
      </c>
      <c r="F205" t="s">
        <v>258</v>
      </c>
      <c r="G205" t="str">
        <f>VLOOKUP(Table1[[#This Row],[Winner]],Ranking!C:D,2,FALSE)</f>
        <v>WCC</v>
      </c>
      <c r="H205" s="1">
        <v>119</v>
      </c>
      <c r="I205" s="1">
        <v>7</v>
      </c>
      <c r="J205" t="s">
        <v>53</v>
      </c>
      <c r="K205" t="str">
        <f>VLOOKUP(Table1[[#This Row],[Loser]],Ranking!C:D,2,FALSE)</f>
        <v>MWC</v>
      </c>
      <c r="L205" s="1">
        <v>115</v>
      </c>
      <c r="N205" s="1">
        <f>Table1[[#This Row],[Winning Score]]-Table1[[#This Row],[Losing Score]]</f>
        <v>4</v>
      </c>
      <c r="O205" s="1">
        <f>Table1[[#This Row],[Losing Seed]]-Table1[[#This Row],[Winning Seed]]</f>
        <v>-3</v>
      </c>
      <c r="P205" s="1" t="str">
        <f>IF(Table1[[#This Row],[SeD]]&lt;-2,Table1[[#This Row],[Winning Seed]]&amp; " over " &amp;Table1[[#This Row],[Losing Seed]],"")</f>
        <v>10 over 7</v>
      </c>
      <c r="Q205">
        <f>VLOOKUP(Table1[[#This Row],[Losing Seed]],'Seed History'!$N$4:$O$19,2)</f>
        <v>0.90277777777777779</v>
      </c>
      <c r="R205" s="1">
        <f>IF(Table1[[#This Row],[Round]]="PI",0,Table1[[#This Row],[Round]]-1)</f>
        <v>0</v>
      </c>
      <c r="S205">
        <f>Table1[[#This Row],[LAW]]-Table1[[#This Row],[LEW]]</f>
        <v>-0.90277777777777779</v>
      </c>
    </row>
    <row r="206" spans="1:19" x14ac:dyDescent="0.25">
      <c r="A206" s="66">
        <v>32219</v>
      </c>
      <c r="B206" s="51">
        <f>YEAR(Table1[[#This Row],[Date]])</f>
        <v>1988</v>
      </c>
      <c r="C206" s="1">
        <v>1</v>
      </c>
      <c r="D206" t="s">
        <v>439</v>
      </c>
      <c r="E206" s="1">
        <v>9</v>
      </c>
      <c r="F206" t="s">
        <v>267</v>
      </c>
      <c r="G206" t="str">
        <f>VLOOKUP(Table1[[#This Row],[Winner]],Ranking!C:D,2,FALSE)</f>
        <v>Amer</v>
      </c>
      <c r="H206" s="1">
        <v>75</v>
      </c>
      <c r="I206" s="1">
        <v>8</v>
      </c>
      <c r="J206" t="s">
        <v>46</v>
      </c>
      <c r="K206" t="str">
        <f>VLOOKUP(Table1[[#This Row],[Loser]],Ranking!C:D,2,FALSE)</f>
        <v>B12</v>
      </c>
      <c r="L206" s="1">
        <v>60</v>
      </c>
      <c r="N206" s="1">
        <f>Table1[[#This Row],[Winning Score]]-Table1[[#This Row],[Losing Score]]</f>
        <v>15</v>
      </c>
      <c r="O206" s="1">
        <f>Table1[[#This Row],[Losing Seed]]-Table1[[#This Row],[Winning Seed]]</f>
        <v>-1</v>
      </c>
      <c r="P206" s="1" t="str">
        <f>IF(Table1[[#This Row],[SeD]]&lt;-2,Table1[[#This Row],[Winning Seed]]&amp; " over " &amp;Table1[[#This Row],[Losing Seed]],"")</f>
        <v/>
      </c>
      <c r="Q206">
        <f>VLOOKUP(Table1[[#This Row],[Losing Seed]],'Seed History'!$N$4:$O$19,2)</f>
        <v>0.70833333333333337</v>
      </c>
      <c r="R206" s="1">
        <f>IF(Table1[[#This Row],[Round]]="PI",0,Table1[[#This Row],[Round]]-1)</f>
        <v>0</v>
      </c>
      <c r="S206">
        <f>Table1[[#This Row],[LAW]]-Table1[[#This Row],[LEW]]</f>
        <v>-0.70833333333333337</v>
      </c>
    </row>
    <row r="207" spans="1:19" x14ac:dyDescent="0.25">
      <c r="A207" s="66">
        <v>32220</v>
      </c>
      <c r="B207" s="51">
        <f>YEAR(Table1[[#This Row],[Date]])</f>
        <v>1988</v>
      </c>
      <c r="C207" s="1">
        <v>1</v>
      </c>
      <c r="D207" t="s">
        <v>439</v>
      </c>
      <c r="E207" s="1">
        <v>14</v>
      </c>
      <c r="F207" t="s">
        <v>285</v>
      </c>
      <c r="G207" t="str">
        <f>VLOOKUP(Table1[[#This Row],[Winner]],Ranking!C:D,2,FALSE)</f>
        <v>OVC</v>
      </c>
      <c r="H207" s="1">
        <v>78</v>
      </c>
      <c r="I207" s="1">
        <v>3</v>
      </c>
      <c r="J207" t="s">
        <v>301</v>
      </c>
      <c r="K207" t="e">
        <f>VLOOKUP(Table1[[#This Row],[Loser]],Ranking!C:D,2,FALSE)</f>
        <v>#N/A</v>
      </c>
      <c r="L207" s="1">
        <v>75</v>
      </c>
      <c r="N207" s="1">
        <f>Table1[[#This Row],[Winning Score]]-Table1[[#This Row],[Losing Score]]</f>
        <v>3</v>
      </c>
      <c r="O207" s="1">
        <f>Table1[[#This Row],[Losing Seed]]-Table1[[#This Row],[Winning Seed]]</f>
        <v>-11</v>
      </c>
      <c r="P207" s="1" t="str">
        <f>IF(Table1[[#This Row],[SeD]]&lt;-2,Table1[[#This Row],[Winning Seed]]&amp; " over " &amp;Table1[[#This Row],[Losing Seed]],"")</f>
        <v>14 over 3</v>
      </c>
      <c r="Q207">
        <f>VLOOKUP(Table1[[#This Row],[Losing Seed]],'Seed History'!$N$4:$O$19,2)</f>
        <v>1.8472222222222223</v>
      </c>
      <c r="R207" s="1">
        <f>IF(Table1[[#This Row],[Round]]="PI",0,Table1[[#This Row],[Round]]-1)</f>
        <v>0</v>
      </c>
      <c r="S207">
        <f>Table1[[#This Row],[LAW]]-Table1[[#This Row],[LEW]]</f>
        <v>-1.8472222222222223</v>
      </c>
    </row>
    <row r="208" spans="1:19" x14ac:dyDescent="0.25">
      <c r="A208" s="66">
        <v>32220</v>
      </c>
      <c r="B208" s="51">
        <f>YEAR(Table1[[#This Row],[Date]])</f>
        <v>1988</v>
      </c>
      <c r="C208" s="1">
        <v>1</v>
      </c>
      <c r="D208" t="s">
        <v>49</v>
      </c>
      <c r="E208" s="1">
        <v>13</v>
      </c>
      <c r="F208" t="s">
        <v>331</v>
      </c>
      <c r="G208" t="str">
        <f>VLOOKUP(Table1[[#This Row],[Winner]],Ranking!C:D,2,FALSE)</f>
        <v>A10</v>
      </c>
      <c r="H208" s="1">
        <v>72</v>
      </c>
      <c r="I208" s="1">
        <v>4</v>
      </c>
      <c r="J208" t="s">
        <v>36</v>
      </c>
      <c r="K208" t="str">
        <f>VLOOKUP(Table1[[#This Row],[Loser]],Ranking!C:D,2,FALSE)</f>
        <v>B10</v>
      </c>
      <c r="L208" s="1">
        <v>69</v>
      </c>
      <c r="N208" s="1">
        <f>Table1[[#This Row],[Winning Score]]-Table1[[#This Row],[Losing Score]]</f>
        <v>3</v>
      </c>
      <c r="O208" s="1">
        <f>Table1[[#This Row],[Losing Seed]]-Table1[[#This Row],[Winning Seed]]</f>
        <v>-9</v>
      </c>
      <c r="P208" s="1" t="str">
        <f>IF(Table1[[#This Row],[SeD]]&lt;-2,Table1[[#This Row],[Winning Seed]]&amp; " over " &amp;Table1[[#This Row],[Losing Seed]],"")</f>
        <v>13 over 4</v>
      </c>
      <c r="Q208">
        <f>VLOOKUP(Table1[[#This Row],[Losing Seed]],'Seed History'!$N$4:$O$19,2)</f>
        <v>1.5208333333333333</v>
      </c>
      <c r="R208" s="1">
        <f>IF(Table1[[#This Row],[Round]]="PI",0,Table1[[#This Row],[Round]]-1)</f>
        <v>0</v>
      </c>
      <c r="S208">
        <f>Table1[[#This Row],[LAW]]-Table1[[#This Row],[LEW]]</f>
        <v>-1.5208333333333333</v>
      </c>
    </row>
    <row r="209" spans="1:19" x14ac:dyDescent="0.25">
      <c r="A209" s="66">
        <v>32220</v>
      </c>
      <c r="B209" s="51">
        <f>YEAR(Table1[[#This Row],[Date]])</f>
        <v>1988</v>
      </c>
      <c r="C209" s="1">
        <v>1</v>
      </c>
      <c r="D209" t="s">
        <v>49</v>
      </c>
      <c r="E209" s="1">
        <v>1</v>
      </c>
      <c r="F209" t="s">
        <v>373</v>
      </c>
      <c r="G209" t="str">
        <f>VLOOKUP(Table1[[#This Row],[Winner]],Ranking!C:D,2,FALSE)</f>
        <v>Amer</v>
      </c>
      <c r="H209" s="1">
        <v>87</v>
      </c>
      <c r="I209" s="1">
        <v>16</v>
      </c>
      <c r="J209" t="s">
        <v>248</v>
      </c>
      <c r="K209" t="str">
        <f>VLOOKUP(Table1[[#This Row],[Loser]],Ranking!C:D,2,FALSE)</f>
        <v>Pat</v>
      </c>
      <c r="L209" s="1">
        <v>73</v>
      </c>
      <c r="N209" s="1">
        <f>Table1[[#This Row],[Winning Score]]-Table1[[#This Row],[Losing Score]]</f>
        <v>14</v>
      </c>
      <c r="O209" s="1">
        <f>Table1[[#This Row],[Losing Seed]]-Table1[[#This Row],[Winning Seed]]</f>
        <v>15</v>
      </c>
      <c r="P209" s="1" t="str">
        <f>IF(Table1[[#This Row],[SeD]]&lt;-2,Table1[[#This Row],[Winning Seed]]&amp; " over " &amp;Table1[[#This Row],[Losing Seed]],"")</f>
        <v/>
      </c>
      <c r="Q209">
        <f>VLOOKUP(Table1[[#This Row],[Losing Seed]],'Seed History'!$N$4:$O$19,2)</f>
        <v>6.9444444444444441E-3</v>
      </c>
      <c r="R209" s="1">
        <f>IF(Table1[[#This Row],[Round]]="PI",0,Table1[[#This Row],[Round]]-1)</f>
        <v>0</v>
      </c>
      <c r="S209">
        <f>Table1[[#This Row],[LAW]]-Table1[[#This Row],[LEW]]</f>
        <v>-6.9444444444444441E-3</v>
      </c>
    </row>
    <row r="210" spans="1:19" x14ac:dyDescent="0.25">
      <c r="A210" s="66">
        <v>32220</v>
      </c>
      <c r="B210" s="51">
        <f>YEAR(Table1[[#This Row],[Date]])</f>
        <v>1988</v>
      </c>
      <c r="C210" s="1">
        <v>1</v>
      </c>
      <c r="D210" t="s">
        <v>49</v>
      </c>
      <c r="E210" s="1">
        <v>5</v>
      </c>
      <c r="F210" t="s">
        <v>216</v>
      </c>
      <c r="G210" t="str">
        <f>VLOOKUP(Table1[[#This Row],[Winner]],Ranking!C:D,2,FALSE)</f>
        <v>ACC</v>
      </c>
      <c r="H210" s="1">
        <v>90</v>
      </c>
      <c r="I210" s="1">
        <v>12</v>
      </c>
      <c r="J210" t="s">
        <v>237</v>
      </c>
      <c r="K210" t="str">
        <f>VLOOKUP(Table1[[#This Row],[Loser]],Ranking!C:D,2,FALSE)</f>
        <v>B12</v>
      </c>
      <c r="L210" s="1">
        <v>78</v>
      </c>
      <c r="N210" s="1">
        <f>Table1[[#This Row],[Winning Score]]-Table1[[#This Row],[Losing Score]]</f>
        <v>12</v>
      </c>
      <c r="O210" s="1">
        <f>Table1[[#This Row],[Losing Seed]]-Table1[[#This Row],[Winning Seed]]</f>
        <v>7</v>
      </c>
      <c r="P210" s="1" t="str">
        <f>IF(Table1[[#This Row],[SeD]]&lt;-2,Table1[[#This Row],[Winning Seed]]&amp; " over " &amp;Table1[[#This Row],[Losing Seed]],"")</f>
        <v/>
      </c>
      <c r="Q210">
        <f>VLOOKUP(Table1[[#This Row],[Losing Seed]],'Seed History'!$N$4:$O$19,2)</f>
        <v>0.52083333333333337</v>
      </c>
      <c r="R210" s="1">
        <f>IF(Table1[[#This Row],[Round]]="PI",0,Table1[[#This Row],[Round]]-1)</f>
        <v>0</v>
      </c>
      <c r="S210">
        <f>Table1[[#This Row],[LAW]]-Table1[[#This Row],[LEW]]</f>
        <v>-0.52083333333333337</v>
      </c>
    </row>
    <row r="211" spans="1:19" x14ac:dyDescent="0.25">
      <c r="A211" s="66">
        <v>32220</v>
      </c>
      <c r="B211" s="51">
        <f>YEAR(Table1[[#This Row],[Date]])</f>
        <v>1988</v>
      </c>
      <c r="C211" s="1">
        <v>1</v>
      </c>
      <c r="D211" t="s">
        <v>49</v>
      </c>
      <c r="E211" s="1">
        <v>8</v>
      </c>
      <c r="F211" t="s">
        <v>66</v>
      </c>
      <c r="G211" t="str">
        <f>VLOOKUP(Table1[[#This Row],[Winner]],Ranking!C:D,2,FALSE)</f>
        <v>BE</v>
      </c>
      <c r="H211" s="1">
        <v>66</v>
      </c>
      <c r="I211" s="1">
        <v>9</v>
      </c>
      <c r="J211" t="s">
        <v>52</v>
      </c>
      <c r="K211" t="str">
        <f>VLOOKUP(Table1[[#This Row],[Loser]],Ranking!C:D,2,FALSE)</f>
        <v>SEC</v>
      </c>
      <c r="L211" s="1">
        <v>63</v>
      </c>
      <c r="N211" s="1">
        <f>Table1[[#This Row],[Winning Score]]-Table1[[#This Row],[Losing Score]]</f>
        <v>3</v>
      </c>
      <c r="O211" s="1">
        <f>Table1[[#This Row],[Losing Seed]]-Table1[[#This Row],[Winning Seed]]</f>
        <v>1</v>
      </c>
      <c r="P211" s="1" t="str">
        <f>IF(Table1[[#This Row],[SeD]]&lt;-2,Table1[[#This Row],[Winning Seed]]&amp; " over " &amp;Table1[[#This Row],[Losing Seed]],"")</f>
        <v/>
      </c>
      <c r="Q211">
        <f>VLOOKUP(Table1[[#This Row],[Losing Seed]],'Seed History'!$N$4:$O$19,2)</f>
        <v>0.59027777777777779</v>
      </c>
      <c r="R211" s="1">
        <f>IF(Table1[[#This Row],[Round]]="PI",0,Table1[[#This Row],[Round]]-1)</f>
        <v>0</v>
      </c>
      <c r="S211">
        <f>Table1[[#This Row],[LAW]]-Table1[[#This Row],[LEW]]</f>
        <v>-0.59027777777777779</v>
      </c>
    </row>
    <row r="212" spans="1:19" x14ac:dyDescent="0.25">
      <c r="A212" s="66">
        <v>32220</v>
      </c>
      <c r="B212" s="51">
        <f>YEAR(Table1[[#This Row],[Date]])</f>
        <v>1988</v>
      </c>
      <c r="C212" s="1">
        <v>1</v>
      </c>
      <c r="D212" t="s">
        <v>439</v>
      </c>
      <c r="E212" s="1">
        <v>2</v>
      </c>
      <c r="F212" t="s">
        <v>83</v>
      </c>
      <c r="G212" t="str">
        <f>VLOOKUP(Table1[[#This Row],[Winner]],Ranking!C:D,2,FALSE)</f>
        <v>ACC</v>
      </c>
      <c r="H212" s="1">
        <v>108</v>
      </c>
      <c r="I212" s="1">
        <v>15</v>
      </c>
      <c r="J212" t="s">
        <v>195</v>
      </c>
      <c r="K212" t="str">
        <f>VLOOKUP(Table1[[#This Row],[Loser]],Ranking!C:D,2,FALSE)</f>
        <v>MAC</v>
      </c>
      <c r="L212" s="1">
        <v>90</v>
      </c>
      <c r="N212" s="1">
        <f>Table1[[#This Row],[Winning Score]]-Table1[[#This Row],[Losing Score]]</f>
        <v>18</v>
      </c>
      <c r="O212" s="1">
        <f>Table1[[#This Row],[Losing Seed]]-Table1[[#This Row],[Winning Seed]]</f>
        <v>13</v>
      </c>
      <c r="P212" s="1" t="str">
        <f>IF(Table1[[#This Row],[SeD]]&lt;-2,Table1[[#This Row],[Winning Seed]]&amp; " over " &amp;Table1[[#This Row],[Losing Seed]],"")</f>
        <v/>
      </c>
      <c r="Q212">
        <f>VLOOKUP(Table1[[#This Row],[Losing Seed]],'Seed History'!$N$4:$O$19,2)</f>
        <v>7.6388888888888895E-2</v>
      </c>
      <c r="R212" s="1">
        <f>IF(Table1[[#This Row],[Round]]="PI",0,Table1[[#This Row],[Round]]-1)</f>
        <v>0</v>
      </c>
      <c r="S212">
        <f>Table1[[#This Row],[LAW]]-Table1[[#This Row],[LEW]]</f>
        <v>-7.6388888888888895E-2</v>
      </c>
    </row>
    <row r="213" spans="1:19" x14ac:dyDescent="0.25">
      <c r="A213" s="66">
        <v>32220</v>
      </c>
      <c r="B213" s="51">
        <f>YEAR(Table1[[#This Row],[Date]])</f>
        <v>1988</v>
      </c>
      <c r="C213" s="1">
        <v>1</v>
      </c>
      <c r="D213" t="s">
        <v>439</v>
      </c>
      <c r="E213" s="1">
        <v>6</v>
      </c>
      <c r="F213" t="s">
        <v>37</v>
      </c>
      <c r="G213" t="str">
        <f>VLOOKUP(Table1[[#This Row],[Winner]],Ranking!C:D,2,FALSE)</f>
        <v>B12</v>
      </c>
      <c r="H213" s="1">
        <v>85</v>
      </c>
      <c r="I213" s="1">
        <v>11</v>
      </c>
      <c r="J213" t="s">
        <v>44</v>
      </c>
      <c r="K213" t="str">
        <f>VLOOKUP(Table1[[#This Row],[Loser]],Ranking!C:D,2,FALSE)</f>
        <v>BE</v>
      </c>
      <c r="L213" s="1">
        <v>72</v>
      </c>
      <c r="N213" s="1">
        <f>Table1[[#This Row],[Winning Score]]-Table1[[#This Row],[Losing Score]]</f>
        <v>13</v>
      </c>
      <c r="O213" s="1">
        <f>Table1[[#This Row],[Losing Seed]]-Table1[[#This Row],[Winning Seed]]</f>
        <v>5</v>
      </c>
      <c r="P213" s="1" t="str">
        <f>IF(Table1[[#This Row],[SeD]]&lt;-2,Table1[[#This Row],[Winning Seed]]&amp; " over " &amp;Table1[[#This Row],[Losing Seed]],"")</f>
        <v/>
      </c>
      <c r="Q213">
        <f>VLOOKUP(Table1[[#This Row],[Losing Seed]],'Seed History'!$N$4:$O$19,2)</f>
        <v>0.63194444444444442</v>
      </c>
      <c r="R213" s="1">
        <f>IF(Table1[[#This Row],[Round]]="PI",0,Table1[[#This Row],[Round]]-1)</f>
        <v>0</v>
      </c>
      <c r="S213">
        <f>Table1[[#This Row],[LAW]]-Table1[[#This Row],[LEW]]</f>
        <v>-0.63194444444444442</v>
      </c>
    </row>
    <row r="214" spans="1:19" x14ac:dyDescent="0.25">
      <c r="A214" s="66">
        <v>32220</v>
      </c>
      <c r="B214" s="51">
        <f>YEAR(Table1[[#This Row],[Date]])</f>
        <v>1988</v>
      </c>
      <c r="C214" s="1">
        <v>1</v>
      </c>
      <c r="D214" t="s">
        <v>439</v>
      </c>
      <c r="E214" s="1">
        <v>7</v>
      </c>
      <c r="F214" t="s">
        <v>78</v>
      </c>
      <c r="G214" t="str">
        <f>VLOOKUP(Table1[[#This Row],[Winner]],Ranking!C:D,2,FALSE)</f>
        <v>SEC</v>
      </c>
      <c r="H214" s="1">
        <v>80</v>
      </c>
      <c r="I214" s="1">
        <v>10</v>
      </c>
      <c r="J214" t="s">
        <v>400</v>
      </c>
      <c r="K214" t="str">
        <f>VLOOKUP(Table1[[#This Row],[Loser]],Ranking!C:D,2,FALSE)</f>
        <v>MWC</v>
      </c>
      <c r="L214" s="1">
        <v>77</v>
      </c>
      <c r="N214" s="1">
        <f>Table1[[#This Row],[Winning Score]]-Table1[[#This Row],[Losing Score]]</f>
        <v>3</v>
      </c>
      <c r="O214" s="1">
        <f>Table1[[#This Row],[Losing Seed]]-Table1[[#This Row],[Winning Seed]]</f>
        <v>3</v>
      </c>
      <c r="P214" s="1" t="str">
        <f>IF(Table1[[#This Row],[SeD]]&lt;-2,Table1[[#This Row],[Winning Seed]]&amp; " over " &amp;Table1[[#This Row],[Losing Seed]],"")</f>
        <v/>
      </c>
      <c r="Q214">
        <f>VLOOKUP(Table1[[#This Row],[Losing Seed]],'Seed History'!$N$4:$O$19,2)</f>
        <v>0.61805555555555558</v>
      </c>
      <c r="R214" s="1">
        <f>IF(Table1[[#This Row],[Round]]="PI",0,Table1[[#This Row],[Round]]-1)</f>
        <v>0</v>
      </c>
      <c r="S214">
        <f>Table1[[#This Row],[LAW]]-Table1[[#This Row],[LEW]]</f>
        <v>-0.61805555555555558</v>
      </c>
    </row>
    <row r="215" spans="1:19" x14ac:dyDescent="0.25">
      <c r="A215" s="66">
        <v>32220</v>
      </c>
      <c r="B215" s="51">
        <f>YEAR(Table1[[#This Row],[Date]])</f>
        <v>1988</v>
      </c>
      <c r="C215" s="1">
        <v>1</v>
      </c>
      <c r="D215" t="s">
        <v>461</v>
      </c>
      <c r="E215" s="1">
        <v>2</v>
      </c>
      <c r="F215" t="s">
        <v>26</v>
      </c>
      <c r="G215" t="str">
        <f>VLOOKUP(Table1[[#This Row],[Winner]],Ranking!C:D,2,FALSE)</f>
        <v>SEC</v>
      </c>
      <c r="H215" s="1">
        <v>99</v>
      </c>
      <c r="I215" s="1">
        <v>15</v>
      </c>
      <c r="J215" t="s">
        <v>361</v>
      </c>
      <c r="K215" t="str">
        <f>VLOOKUP(Table1[[#This Row],[Loser]],Ranking!C:D,2,FALSE)</f>
        <v>SWAC</v>
      </c>
      <c r="L215" s="1">
        <v>84</v>
      </c>
      <c r="N215" s="1">
        <f>Table1[[#This Row],[Winning Score]]-Table1[[#This Row],[Losing Score]]</f>
        <v>15</v>
      </c>
      <c r="O215" s="1">
        <f>Table1[[#This Row],[Losing Seed]]-Table1[[#This Row],[Winning Seed]]</f>
        <v>13</v>
      </c>
      <c r="P215" s="1" t="str">
        <f>IF(Table1[[#This Row],[SeD]]&lt;-2,Table1[[#This Row],[Winning Seed]]&amp; " over " &amp;Table1[[#This Row],[Losing Seed]],"")</f>
        <v/>
      </c>
      <c r="Q215">
        <f>VLOOKUP(Table1[[#This Row],[Losing Seed]],'Seed History'!$N$4:$O$19,2)</f>
        <v>7.6388888888888895E-2</v>
      </c>
      <c r="R215" s="1">
        <f>IF(Table1[[#This Row],[Round]]="PI",0,Table1[[#This Row],[Round]]-1)</f>
        <v>0</v>
      </c>
      <c r="S215">
        <f>Table1[[#This Row],[LAW]]-Table1[[#This Row],[LEW]]</f>
        <v>-7.6388888888888895E-2</v>
      </c>
    </row>
    <row r="216" spans="1:19" x14ac:dyDescent="0.25">
      <c r="A216" s="66">
        <v>32220</v>
      </c>
      <c r="B216" s="51">
        <f>YEAR(Table1[[#This Row],[Date]])</f>
        <v>1988</v>
      </c>
      <c r="C216" s="1">
        <v>1</v>
      </c>
      <c r="D216" t="s">
        <v>461</v>
      </c>
      <c r="E216" s="1">
        <v>3</v>
      </c>
      <c r="F216" t="s">
        <v>230</v>
      </c>
      <c r="G216" t="str">
        <f>VLOOKUP(Table1[[#This Row],[Winner]],Ranking!C:D,2,FALSE)</f>
        <v>B10</v>
      </c>
      <c r="H216" s="1">
        <v>81</v>
      </c>
      <c r="I216" s="1">
        <v>14</v>
      </c>
      <c r="J216" t="s">
        <v>403</v>
      </c>
      <c r="K216" t="str">
        <f>VLOOKUP(Table1[[#This Row],[Loser]],Ranking!C:D,2,FALSE)</f>
        <v>CUSA</v>
      </c>
      <c r="L216" s="1">
        <v>72</v>
      </c>
      <c r="N216" s="1">
        <f>Table1[[#This Row],[Winning Score]]-Table1[[#This Row],[Losing Score]]</f>
        <v>9</v>
      </c>
      <c r="O216" s="1">
        <f>Table1[[#This Row],[Losing Seed]]-Table1[[#This Row],[Winning Seed]]</f>
        <v>11</v>
      </c>
      <c r="P216" s="1" t="str">
        <f>IF(Table1[[#This Row],[SeD]]&lt;-2,Table1[[#This Row],[Winning Seed]]&amp; " over " &amp;Table1[[#This Row],[Losing Seed]],"")</f>
        <v/>
      </c>
      <c r="Q216">
        <f>VLOOKUP(Table1[[#This Row],[Losing Seed]],'Seed History'!$N$4:$O$19,2)</f>
        <v>0.16666666666666666</v>
      </c>
      <c r="R216" s="1">
        <f>IF(Table1[[#This Row],[Round]]="PI",0,Table1[[#This Row],[Round]]-1)</f>
        <v>0</v>
      </c>
      <c r="S216">
        <f>Table1[[#This Row],[LAW]]-Table1[[#This Row],[LEW]]</f>
        <v>-0.16666666666666666</v>
      </c>
    </row>
    <row r="217" spans="1:19" x14ac:dyDescent="0.25">
      <c r="A217" s="66">
        <v>32220</v>
      </c>
      <c r="B217" s="51">
        <f>YEAR(Table1[[#This Row],[Date]])</f>
        <v>1988</v>
      </c>
      <c r="C217" s="1">
        <v>1</v>
      </c>
      <c r="D217" t="s">
        <v>461</v>
      </c>
      <c r="E217" s="1">
        <v>6</v>
      </c>
      <c r="F217" t="s">
        <v>50</v>
      </c>
      <c r="G217" t="str">
        <f>VLOOKUP(Table1[[#This Row],[Winner]],Ranking!C:D,2,FALSE)</f>
        <v>BE</v>
      </c>
      <c r="H217" s="1">
        <v>82</v>
      </c>
      <c r="I217" s="1">
        <v>11</v>
      </c>
      <c r="J217" t="s">
        <v>41</v>
      </c>
      <c r="K217" t="str">
        <f>VLOOKUP(Table1[[#This Row],[Loser]],Ranking!C:D,2,FALSE)</f>
        <v>SEC</v>
      </c>
      <c r="L217" s="1">
        <v>74</v>
      </c>
      <c r="N217" s="1">
        <f>Table1[[#This Row],[Winning Score]]-Table1[[#This Row],[Losing Score]]</f>
        <v>8</v>
      </c>
      <c r="O217" s="1">
        <f>Table1[[#This Row],[Losing Seed]]-Table1[[#This Row],[Winning Seed]]</f>
        <v>5</v>
      </c>
      <c r="P217" s="1" t="str">
        <f>IF(Table1[[#This Row],[SeD]]&lt;-2,Table1[[#This Row],[Winning Seed]]&amp; " over " &amp;Table1[[#This Row],[Losing Seed]],"")</f>
        <v/>
      </c>
      <c r="Q217">
        <f>VLOOKUP(Table1[[#This Row],[Losing Seed]],'Seed History'!$N$4:$O$19,2)</f>
        <v>0.63194444444444442</v>
      </c>
      <c r="R217" s="1">
        <f>IF(Table1[[#This Row],[Round]]="PI",0,Table1[[#This Row],[Round]]-1)</f>
        <v>0</v>
      </c>
      <c r="S217">
        <f>Table1[[#This Row],[LAW]]-Table1[[#This Row],[LEW]]</f>
        <v>-0.63194444444444442</v>
      </c>
    </row>
    <row r="218" spans="1:19" x14ac:dyDescent="0.25">
      <c r="A218" s="66">
        <v>32220</v>
      </c>
      <c r="B218" s="51">
        <f>YEAR(Table1[[#This Row],[Date]])</f>
        <v>1988</v>
      </c>
      <c r="C218" s="1">
        <v>1</v>
      </c>
      <c r="D218" t="s">
        <v>461</v>
      </c>
      <c r="E218" s="1">
        <v>7</v>
      </c>
      <c r="F218" t="s">
        <v>31</v>
      </c>
      <c r="G218" t="str">
        <f>VLOOKUP(Table1[[#This Row],[Winner]],Ranking!C:D,2,FALSE)</f>
        <v>B10</v>
      </c>
      <c r="H218" s="1">
        <v>92</v>
      </c>
      <c r="I218" s="1">
        <v>10</v>
      </c>
      <c r="J218" t="s">
        <v>388</v>
      </c>
      <c r="K218" t="str">
        <f>VLOOKUP(Table1[[#This Row],[Loser]],Ranking!C:D,2,FALSE)</f>
        <v>BW</v>
      </c>
      <c r="L218" s="1">
        <v>82</v>
      </c>
      <c r="N218" s="1">
        <f>Table1[[#This Row],[Winning Score]]-Table1[[#This Row],[Losing Score]]</f>
        <v>10</v>
      </c>
      <c r="O218" s="1">
        <f>Table1[[#This Row],[Losing Seed]]-Table1[[#This Row],[Winning Seed]]</f>
        <v>3</v>
      </c>
      <c r="P218" s="1" t="str">
        <f>IF(Table1[[#This Row],[SeD]]&lt;-2,Table1[[#This Row],[Winning Seed]]&amp; " over " &amp;Table1[[#This Row],[Losing Seed]],"")</f>
        <v/>
      </c>
      <c r="Q218">
        <f>VLOOKUP(Table1[[#This Row],[Losing Seed]],'Seed History'!$N$4:$O$19,2)</f>
        <v>0.61805555555555558</v>
      </c>
      <c r="R218" s="1">
        <f>IF(Table1[[#This Row],[Round]]="PI",0,Table1[[#This Row],[Round]]-1)</f>
        <v>0</v>
      </c>
      <c r="S218">
        <f>Table1[[#This Row],[LAW]]-Table1[[#This Row],[LEW]]</f>
        <v>-0.61805555555555558</v>
      </c>
    </row>
    <row r="219" spans="1:19" x14ac:dyDescent="0.25">
      <c r="A219" s="66">
        <v>32220</v>
      </c>
      <c r="B219" s="51">
        <f>YEAR(Table1[[#This Row],[Date]])</f>
        <v>1988</v>
      </c>
      <c r="C219" s="1">
        <v>1</v>
      </c>
      <c r="D219" t="s">
        <v>38</v>
      </c>
      <c r="E219" s="1">
        <v>1</v>
      </c>
      <c r="F219" t="s">
        <v>48</v>
      </c>
      <c r="G219" t="str">
        <f>VLOOKUP(Table1[[#This Row],[Winner]],Ranking!C:D,2,FALSE)</f>
        <v>P12</v>
      </c>
      <c r="H219" s="1">
        <v>90</v>
      </c>
      <c r="I219" s="1">
        <v>16</v>
      </c>
      <c r="J219" t="s">
        <v>179</v>
      </c>
      <c r="K219" t="str">
        <f>VLOOKUP(Table1[[#This Row],[Loser]],Ranking!C:D,2,FALSE)</f>
        <v>Ivy</v>
      </c>
      <c r="L219" s="1">
        <v>50</v>
      </c>
      <c r="N219" s="1">
        <f>Table1[[#This Row],[Winning Score]]-Table1[[#This Row],[Losing Score]]</f>
        <v>40</v>
      </c>
      <c r="O219" s="1">
        <f>Table1[[#This Row],[Losing Seed]]-Table1[[#This Row],[Winning Seed]]</f>
        <v>15</v>
      </c>
      <c r="P219" s="1" t="str">
        <f>IF(Table1[[#This Row],[SeD]]&lt;-2,Table1[[#This Row],[Winning Seed]]&amp; " over " &amp;Table1[[#This Row],[Losing Seed]],"")</f>
        <v/>
      </c>
      <c r="Q219">
        <f>VLOOKUP(Table1[[#This Row],[Losing Seed]],'Seed History'!$N$4:$O$19,2)</f>
        <v>6.9444444444444441E-3</v>
      </c>
      <c r="R219" s="1">
        <f>IF(Table1[[#This Row],[Round]]="PI",0,Table1[[#This Row],[Round]]-1)</f>
        <v>0</v>
      </c>
      <c r="S219">
        <f>Table1[[#This Row],[LAW]]-Table1[[#This Row],[LEW]]</f>
        <v>-6.9444444444444441E-3</v>
      </c>
    </row>
    <row r="220" spans="1:19" x14ac:dyDescent="0.25">
      <c r="A220" s="66">
        <v>32220</v>
      </c>
      <c r="B220" s="51">
        <f>YEAR(Table1[[#This Row],[Date]])</f>
        <v>1988</v>
      </c>
      <c r="C220" s="1">
        <v>1</v>
      </c>
      <c r="D220" t="s">
        <v>38</v>
      </c>
      <c r="E220" s="1">
        <v>4</v>
      </c>
      <c r="F220" t="s">
        <v>396</v>
      </c>
      <c r="G220" t="str">
        <f>VLOOKUP(Table1[[#This Row],[Winner]],Ranking!C:D,2,FALSE)</f>
        <v>MWC</v>
      </c>
      <c r="H220" s="1">
        <v>54</v>
      </c>
      <c r="I220" s="1">
        <v>13</v>
      </c>
      <c r="J220" t="s">
        <v>278</v>
      </c>
      <c r="K220" t="str">
        <f>VLOOKUP(Table1[[#This Row],[Loser]],Ranking!C:D,2,FALSE)</f>
        <v>MVC</v>
      </c>
      <c r="L220" s="1">
        <v>50</v>
      </c>
      <c r="N220" s="1">
        <f>Table1[[#This Row],[Winning Score]]-Table1[[#This Row],[Losing Score]]</f>
        <v>4</v>
      </c>
      <c r="O220" s="1">
        <f>Table1[[#This Row],[Losing Seed]]-Table1[[#This Row],[Winning Seed]]</f>
        <v>9</v>
      </c>
      <c r="P220" s="1" t="str">
        <f>IF(Table1[[#This Row],[SeD]]&lt;-2,Table1[[#This Row],[Winning Seed]]&amp; " over " &amp;Table1[[#This Row],[Losing Seed]],"")</f>
        <v/>
      </c>
      <c r="Q220">
        <f>VLOOKUP(Table1[[#This Row],[Losing Seed]],'Seed History'!$N$4:$O$19,2)</f>
        <v>0.25694444444444442</v>
      </c>
      <c r="R220" s="1">
        <f>IF(Table1[[#This Row],[Round]]="PI",0,Table1[[#This Row],[Round]]-1)</f>
        <v>0</v>
      </c>
      <c r="S220">
        <f>Table1[[#This Row],[LAW]]-Table1[[#This Row],[LEW]]</f>
        <v>-0.25694444444444442</v>
      </c>
    </row>
    <row r="221" spans="1:19" x14ac:dyDescent="0.25">
      <c r="A221" s="66">
        <v>32220</v>
      </c>
      <c r="B221" s="51">
        <f>YEAR(Table1[[#This Row],[Date]])</f>
        <v>1988</v>
      </c>
      <c r="C221" s="1">
        <v>1</v>
      </c>
      <c r="D221" t="s">
        <v>38</v>
      </c>
      <c r="E221" s="1">
        <v>5</v>
      </c>
      <c r="F221" t="s">
        <v>69</v>
      </c>
      <c r="G221" t="str">
        <f>VLOOKUP(Table1[[#This Row],[Winner]],Ranking!C:D,2,FALSE)</f>
        <v>B10</v>
      </c>
      <c r="H221" s="1">
        <v>102</v>
      </c>
      <c r="I221" s="1">
        <v>12</v>
      </c>
      <c r="J221" t="s">
        <v>207</v>
      </c>
      <c r="K221" t="str">
        <f>VLOOKUP(Table1[[#This Row],[Loser]],Ranking!C:D,2,FALSE)</f>
        <v>ACC</v>
      </c>
      <c r="L221" s="1">
        <v>98</v>
      </c>
      <c r="N221" s="1">
        <f>Table1[[#This Row],[Winning Score]]-Table1[[#This Row],[Losing Score]]</f>
        <v>4</v>
      </c>
      <c r="O221" s="1">
        <f>Table1[[#This Row],[Losing Seed]]-Table1[[#This Row],[Winning Seed]]</f>
        <v>7</v>
      </c>
      <c r="P221" s="1" t="str">
        <f>IF(Table1[[#This Row],[SeD]]&lt;-2,Table1[[#This Row],[Winning Seed]]&amp; " over " &amp;Table1[[#This Row],[Losing Seed]],"")</f>
        <v/>
      </c>
      <c r="Q221">
        <f>VLOOKUP(Table1[[#This Row],[Losing Seed]],'Seed History'!$N$4:$O$19,2)</f>
        <v>0.52083333333333337</v>
      </c>
      <c r="R221" s="1">
        <f>IF(Table1[[#This Row],[Round]]="PI",0,Table1[[#This Row],[Round]]-1)</f>
        <v>0</v>
      </c>
      <c r="S221">
        <f>Table1[[#This Row],[LAW]]-Table1[[#This Row],[LEW]]</f>
        <v>-0.52083333333333337</v>
      </c>
    </row>
    <row r="222" spans="1:19" x14ac:dyDescent="0.25">
      <c r="A222" s="66">
        <v>32220</v>
      </c>
      <c r="B222" s="51">
        <f>YEAR(Table1[[#This Row],[Date]])</f>
        <v>1988</v>
      </c>
      <c r="C222" s="1">
        <v>1</v>
      </c>
      <c r="D222" t="s">
        <v>38</v>
      </c>
      <c r="E222" s="1">
        <v>8</v>
      </c>
      <c r="F222" t="s">
        <v>87</v>
      </c>
      <c r="G222" t="str">
        <f>VLOOKUP(Table1[[#This Row],[Winner]],Ranking!C:D,2,FALSE)</f>
        <v>BE</v>
      </c>
      <c r="H222" s="1">
        <v>80</v>
      </c>
      <c r="I222" s="1">
        <v>9</v>
      </c>
      <c r="J222" t="s">
        <v>402</v>
      </c>
      <c r="K222" t="str">
        <f>VLOOKUP(Table1[[#This Row],[Loser]],Ranking!C:D,2,FALSE)</f>
        <v>CUSA</v>
      </c>
      <c r="L222" s="1">
        <v>64</v>
      </c>
      <c r="N222" s="1">
        <f>Table1[[#This Row],[Winning Score]]-Table1[[#This Row],[Losing Score]]</f>
        <v>16</v>
      </c>
      <c r="O222" s="1">
        <f>Table1[[#This Row],[Losing Seed]]-Table1[[#This Row],[Winning Seed]]</f>
        <v>1</v>
      </c>
      <c r="P222" s="1" t="str">
        <f>IF(Table1[[#This Row],[SeD]]&lt;-2,Table1[[#This Row],[Winning Seed]]&amp; " over " &amp;Table1[[#This Row],[Losing Seed]],"")</f>
        <v/>
      </c>
      <c r="Q222">
        <f>VLOOKUP(Table1[[#This Row],[Losing Seed]],'Seed History'!$N$4:$O$19,2)</f>
        <v>0.59027777777777779</v>
      </c>
      <c r="R222" s="1">
        <f>IF(Table1[[#This Row],[Round]]="PI",0,Table1[[#This Row],[Round]]-1)</f>
        <v>0</v>
      </c>
      <c r="S222">
        <f>Table1[[#This Row],[LAW]]-Table1[[#This Row],[LEW]]</f>
        <v>-0.59027777777777779</v>
      </c>
    </row>
    <row r="223" spans="1:19" x14ac:dyDescent="0.25">
      <c r="A223" s="66">
        <v>32221</v>
      </c>
      <c r="B223" s="51">
        <f>YEAR(Table1[[#This Row],[Date]])</f>
        <v>1988</v>
      </c>
      <c r="C223" s="1">
        <v>2</v>
      </c>
      <c r="D223" t="s">
        <v>49</v>
      </c>
      <c r="E223" s="1">
        <v>2</v>
      </c>
      <c r="F223" t="s">
        <v>64</v>
      </c>
      <c r="G223" t="str">
        <f>VLOOKUP(Table1[[#This Row],[Winner]],Ranking!C:D,2,FALSE)</f>
        <v>ACC</v>
      </c>
      <c r="H223" s="1">
        <v>94</v>
      </c>
      <c r="I223" s="1">
        <v>7</v>
      </c>
      <c r="J223" t="s">
        <v>352</v>
      </c>
      <c r="K223" t="str">
        <f>VLOOKUP(Table1[[#This Row],[Loser]],Ranking!C:D,2,FALSE)</f>
        <v>Amer</v>
      </c>
      <c r="L223" s="1">
        <v>79</v>
      </c>
      <c r="N223" s="1">
        <f>Table1[[#This Row],[Winning Score]]-Table1[[#This Row],[Losing Score]]</f>
        <v>15</v>
      </c>
      <c r="O223" s="1">
        <f>Table1[[#This Row],[Losing Seed]]-Table1[[#This Row],[Winning Seed]]</f>
        <v>5</v>
      </c>
      <c r="P223" s="1" t="str">
        <f>IF(Table1[[#This Row],[SeD]]&lt;-2,Table1[[#This Row],[Winning Seed]]&amp; " over " &amp;Table1[[#This Row],[Losing Seed]],"")</f>
        <v/>
      </c>
      <c r="Q223">
        <f>VLOOKUP(Table1[[#This Row],[Losing Seed]],'Seed History'!$N$4:$O$19,2)</f>
        <v>0.90277777777777779</v>
      </c>
      <c r="R223" s="1">
        <f>IF(Table1[[#This Row],[Round]]="PI",0,Table1[[#This Row],[Round]]-1)</f>
        <v>1</v>
      </c>
      <c r="S223">
        <f>Table1[[#This Row],[LAW]]-Table1[[#This Row],[LEW]]</f>
        <v>9.722222222222221E-2</v>
      </c>
    </row>
    <row r="224" spans="1:19" x14ac:dyDescent="0.25">
      <c r="A224" s="66">
        <v>32221</v>
      </c>
      <c r="B224" s="51">
        <f>YEAR(Table1[[#This Row],[Date]])</f>
        <v>1988</v>
      </c>
      <c r="C224" s="1">
        <v>2</v>
      </c>
      <c r="D224" t="s">
        <v>439</v>
      </c>
      <c r="E224" s="1">
        <v>1</v>
      </c>
      <c r="F224" t="s">
        <v>29</v>
      </c>
      <c r="G224" t="str">
        <f>VLOOKUP(Table1[[#This Row],[Winner]],Ranking!C:D,2,FALSE)</f>
        <v>B10</v>
      </c>
      <c r="H224" s="1">
        <v>100</v>
      </c>
      <c r="I224" s="1">
        <v>9</v>
      </c>
      <c r="J224" t="s">
        <v>267</v>
      </c>
      <c r="K224" t="str">
        <f>VLOOKUP(Table1[[#This Row],[Loser]],Ranking!C:D,2,FALSE)</f>
        <v>Amer</v>
      </c>
      <c r="L224" s="1">
        <v>73</v>
      </c>
      <c r="N224" s="1">
        <f>Table1[[#This Row],[Winning Score]]-Table1[[#This Row],[Losing Score]]</f>
        <v>27</v>
      </c>
      <c r="O224" s="1">
        <f>Table1[[#This Row],[Losing Seed]]-Table1[[#This Row],[Winning Seed]]</f>
        <v>8</v>
      </c>
      <c r="P224" s="1" t="str">
        <f>IF(Table1[[#This Row],[SeD]]&lt;-2,Table1[[#This Row],[Winning Seed]]&amp; " over " &amp;Table1[[#This Row],[Losing Seed]],"")</f>
        <v/>
      </c>
      <c r="Q224">
        <f>VLOOKUP(Table1[[#This Row],[Losing Seed]],'Seed History'!$N$4:$O$19,2)</f>
        <v>0.59027777777777779</v>
      </c>
      <c r="R224" s="1">
        <f>IF(Table1[[#This Row],[Round]]="PI",0,Table1[[#This Row],[Round]]-1)</f>
        <v>1</v>
      </c>
      <c r="S224">
        <f>Table1[[#This Row],[LAW]]-Table1[[#This Row],[LEW]]</f>
        <v>0.40972222222222221</v>
      </c>
    </row>
    <row r="225" spans="1:19" x14ac:dyDescent="0.25">
      <c r="A225" s="66">
        <v>32221</v>
      </c>
      <c r="B225" s="51">
        <f>YEAR(Table1[[#This Row],[Date]])</f>
        <v>1988</v>
      </c>
      <c r="C225" s="1">
        <v>2</v>
      </c>
      <c r="D225" t="s">
        <v>439</v>
      </c>
      <c r="E225" s="1">
        <v>4</v>
      </c>
      <c r="F225" t="s">
        <v>243</v>
      </c>
      <c r="G225" t="str">
        <f>VLOOKUP(Table1[[#This Row],[Winner]],Ranking!C:D,2,FALSE)</f>
        <v>B12</v>
      </c>
      <c r="H225" s="1">
        <v>66</v>
      </c>
      <c r="I225" s="1">
        <v>5</v>
      </c>
      <c r="J225" t="s">
        <v>186</v>
      </c>
      <c r="K225" t="str">
        <f>VLOOKUP(Table1[[#This Row],[Loser]],Ranking!C:D,2,FALSE)</f>
        <v>BE</v>
      </c>
      <c r="L225" s="1">
        <v>58</v>
      </c>
      <c r="N225" s="1">
        <f>Table1[[#This Row],[Winning Score]]-Table1[[#This Row],[Losing Score]]</f>
        <v>8</v>
      </c>
      <c r="O225" s="1">
        <f>Table1[[#This Row],[Losing Seed]]-Table1[[#This Row],[Winning Seed]]</f>
        <v>1</v>
      </c>
      <c r="P225" s="1" t="str">
        <f>IF(Table1[[#This Row],[SeD]]&lt;-2,Table1[[#This Row],[Winning Seed]]&amp; " over " &amp;Table1[[#This Row],[Losing Seed]],"")</f>
        <v/>
      </c>
      <c r="Q225">
        <f>VLOOKUP(Table1[[#This Row],[Losing Seed]],'Seed History'!$N$4:$O$19,2)</f>
        <v>1.1180555555555556</v>
      </c>
      <c r="R225" s="1">
        <f>IF(Table1[[#This Row],[Round]]="PI",0,Table1[[#This Row],[Round]]-1)</f>
        <v>1</v>
      </c>
      <c r="S225">
        <f>Table1[[#This Row],[LAW]]-Table1[[#This Row],[LEW]]</f>
        <v>-0.11805555555555558</v>
      </c>
    </row>
    <row r="226" spans="1:19" x14ac:dyDescent="0.25">
      <c r="A226" s="66">
        <v>32221</v>
      </c>
      <c r="B226" s="51">
        <f>YEAR(Table1[[#This Row],[Date]])</f>
        <v>1988</v>
      </c>
      <c r="C226" s="1">
        <v>2</v>
      </c>
      <c r="D226" t="s">
        <v>461</v>
      </c>
      <c r="E226" s="1">
        <v>1</v>
      </c>
      <c r="F226" t="s">
        <v>58</v>
      </c>
      <c r="G226" t="str">
        <f>VLOOKUP(Table1[[#This Row],[Winner]],Ranking!C:D,2,FALSE)</f>
        <v>B12</v>
      </c>
      <c r="H226" s="1">
        <v>107</v>
      </c>
      <c r="I226" s="1">
        <v>8</v>
      </c>
      <c r="J226" t="s">
        <v>129</v>
      </c>
      <c r="K226" t="str">
        <f>VLOOKUP(Table1[[#This Row],[Loser]],Ranking!C:D,2,FALSE)</f>
        <v>SEC</v>
      </c>
      <c r="L226" s="1">
        <v>87</v>
      </c>
      <c r="N226" s="1">
        <f>Table1[[#This Row],[Winning Score]]-Table1[[#This Row],[Losing Score]]</f>
        <v>20</v>
      </c>
      <c r="O226" s="1">
        <f>Table1[[#This Row],[Losing Seed]]-Table1[[#This Row],[Winning Seed]]</f>
        <v>7</v>
      </c>
      <c r="P226" s="1" t="str">
        <f>IF(Table1[[#This Row],[SeD]]&lt;-2,Table1[[#This Row],[Winning Seed]]&amp; " over " &amp;Table1[[#This Row],[Losing Seed]],"")</f>
        <v/>
      </c>
      <c r="Q226">
        <f>VLOOKUP(Table1[[#This Row],[Losing Seed]],'Seed History'!$N$4:$O$19,2)</f>
        <v>0.70833333333333337</v>
      </c>
      <c r="R226" s="1">
        <f>IF(Table1[[#This Row],[Round]]="PI",0,Table1[[#This Row],[Round]]-1)</f>
        <v>1</v>
      </c>
      <c r="S226">
        <f>Table1[[#This Row],[LAW]]-Table1[[#This Row],[LEW]]</f>
        <v>0.29166666666666663</v>
      </c>
    </row>
    <row r="227" spans="1:19" x14ac:dyDescent="0.25">
      <c r="A227" s="66">
        <v>32221</v>
      </c>
      <c r="B227" s="51">
        <f>YEAR(Table1[[#This Row],[Date]])</f>
        <v>1988</v>
      </c>
      <c r="C227" s="1">
        <v>2</v>
      </c>
      <c r="D227" t="s">
        <v>38</v>
      </c>
      <c r="E227" s="1">
        <v>2</v>
      </c>
      <c r="F227" t="s">
        <v>298</v>
      </c>
      <c r="G227" t="str">
        <f>VLOOKUP(Table1[[#This Row],[Winner]],Ranking!C:D,2,FALSE)</f>
        <v>ACC</v>
      </c>
      <c r="H227" s="1">
        <v>123</v>
      </c>
      <c r="I227" s="1">
        <v>10</v>
      </c>
      <c r="J227" t="s">
        <v>258</v>
      </c>
      <c r="K227" t="str">
        <f>VLOOKUP(Table1[[#This Row],[Loser]],Ranking!C:D,2,FALSE)</f>
        <v>WCC</v>
      </c>
      <c r="L227" s="1">
        <v>97</v>
      </c>
      <c r="N227" s="1">
        <f>Table1[[#This Row],[Winning Score]]-Table1[[#This Row],[Losing Score]]</f>
        <v>26</v>
      </c>
      <c r="O227" s="1">
        <f>Table1[[#This Row],[Losing Seed]]-Table1[[#This Row],[Winning Seed]]</f>
        <v>8</v>
      </c>
      <c r="P227" s="1" t="str">
        <f>IF(Table1[[#This Row],[SeD]]&lt;-2,Table1[[#This Row],[Winning Seed]]&amp; " over " &amp;Table1[[#This Row],[Losing Seed]],"")</f>
        <v/>
      </c>
      <c r="Q227">
        <f>VLOOKUP(Table1[[#This Row],[Losing Seed]],'Seed History'!$N$4:$O$19,2)</f>
        <v>0.61805555555555558</v>
      </c>
      <c r="R227" s="1">
        <f>IF(Table1[[#This Row],[Round]]="PI",0,Table1[[#This Row],[Round]]-1)</f>
        <v>1</v>
      </c>
      <c r="S227">
        <f>Table1[[#This Row],[LAW]]-Table1[[#This Row],[LEW]]</f>
        <v>0.38194444444444442</v>
      </c>
    </row>
    <row r="228" spans="1:19" x14ac:dyDescent="0.25">
      <c r="A228" s="66">
        <v>32221</v>
      </c>
      <c r="B228" s="51">
        <f>YEAR(Table1[[#This Row],[Date]])</f>
        <v>1988</v>
      </c>
      <c r="C228" s="1">
        <v>2</v>
      </c>
      <c r="D228" t="s">
        <v>38</v>
      </c>
      <c r="E228" s="1">
        <v>3</v>
      </c>
      <c r="F228" t="s">
        <v>82</v>
      </c>
      <c r="G228" t="str">
        <f>VLOOKUP(Table1[[#This Row],[Winner]],Ranking!C:D,2,FALSE)</f>
        <v>B10</v>
      </c>
      <c r="H228" s="1">
        <v>108</v>
      </c>
      <c r="I228" s="1">
        <v>6</v>
      </c>
      <c r="J228" t="s">
        <v>81</v>
      </c>
      <c r="K228" t="str">
        <f>VLOOKUP(Table1[[#This Row],[Loser]],Ranking!C:D,2,FALSE)</f>
        <v>SEC</v>
      </c>
      <c r="L228" s="1">
        <v>85</v>
      </c>
      <c r="N228" s="1">
        <f>Table1[[#This Row],[Winning Score]]-Table1[[#This Row],[Losing Score]]</f>
        <v>23</v>
      </c>
      <c r="O228" s="1">
        <f>Table1[[#This Row],[Losing Seed]]-Table1[[#This Row],[Winning Seed]]</f>
        <v>3</v>
      </c>
      <c r="P228" s="1" t="str">
        <f>IF(Table1[[#This Row],[SeD]]&lt;-2,Table1[[#This Row],[Winning Seed]]&amp; " over " &amp;Table1[[#This Row],[Losing Seed]],"")</f>
        <v/>
      </c>
      <c r="Q228">
        <f>VLOOKUP(Table1[[#This Row],[Losing Seed]],'Seed History'!$N$4:$O$19,2)</f>
        <v>1.0625</v>
      </c>
      <c r="R228" s="1">
        <f>IF(Table1[[#This Row],[Round]]="PI",0,Table1[[#This Row],[Round]]-1)</f>
        <v>1</v>
      </c>
      <c r="S228">
        <f>Table1[[#This Row],[LAW]]-Table1[[#This Row],[LEW]]</f>
        <v>-6.25E-2</v>
      </c>
    </row>
    <row r="229" spans="1:19" x14ac:dyDescent="0.25">
      <c r="A229" s="66">
        <v>32221</v>
      </c>
      <c r="B229" s="51">
        <f>YEAR(Table1[[#This Row],[Date]])</f>
        <v>1988</v>
      </c>
      <c r="C229" s="1">
        <v>2</v>
      </c>
      <c r="D229" t="s">
        <v>49</v>
      </c>
      <c r="E229" s="1">
        <v>11</v>
      </c>
      <c r="F229" t="s">
        <v>96</v>
      </c>
      <c r="G229" t="str">
        <f>VLOOKUP(Table1[[#This Row],[Winner]],Ranking!C:D,2,FALSE)</f>
        <v>A10</v>
      </c>
      <c r="H229" s="1">
        <v>97</v>
      </c>
      <c r="I229" s="1">
        <v>3</v>
      </c>
      <c r="J229" t="s">
        <v>86</v>
      </c>
      <c r="K229" t="str">
        <f>VLOOKUP(Table1[[#This Row],[Loser]],Ranking!C:D,2,FALSE)</f>
        <v>ACC</v>
      </c>
      <c r="L229" s="1">
        <v>94</v>
      </c>
      <c r="N229" s="1">
        <f>Table1[[#This Row],[Winning Score]]-Table1[[#This Row],[Losing Score]]</f>
        <v>3</v>
      </c>
      <c r="O229" s="1">
        <f>Table1[[#This Row],[Losing Seed]]-Table1[[#This Row],[Winning Seed]]</f>
        <v>-8</v>
      </c>
      <c r="P229" s="1" t="str">
        <f>IF(Table1[[#This Row],[SeD]]&lt;-2,Table1[[#This Row],[Winning Seed]]&amp; " over " &amp;Table1[[#This Row],[Losing Seed]],"")</f>
        <v>11 over 3</v>
      </c>
      <c r="Q229">
        <f>VLOOKUP(Table1[[#This Row],[Losing Seed]],'Seed History'!$N$4:$O$19,2)</f>
        <v>1.8472222222222223</v>
      </c>
      <c r="R229" s="1">
        <f>IF(Table1[[#This Row],[Round]]="PI",0,Table1[[#This Row],[Round]]-1)</f>
        <v>1</v>
      </c>
      <c r="S229">
        <f>Table1[[#This Row],[LAW]]-Table1[[#This Row],[LEW]]</f>
        <v>-0.84722222222222232</v>
      </c>
    </row>
    <row r="230" spans="1:19" x14ac:dyDescent="0.25">
      <c r="A230" s="66">
        <v>32221</v>
      </c>
      <c r="B230" s="51">
        <f>YEAR(Table1[[#This Row],[Date]])</f>
        <v>1988</v>
      </c>
      <c r="C230" s="1">
        <v>2</v>
      </c>
      <c r="D230" t="s">
        <v>461</v>
      </c>
      <c r="E230" s="1">
        <v>5</v>
      </c>
      <c r="F230" t="s">
        <v>54</v>
      </c>
      <c r="G230" t="str">
        <f>VLOOKUP(Table1[[#This Row],[Winner]],Ranking!C:D,2,FALSE)</f>
        <v>ACC</v>
      </c>
      <c r="H230" s="1">
        <v>97</v>
      </c>
      <c r="I230" s="1">
        <v>4</v>
      </c>
      <c r="J230" t="s">
        <v>72</v>
      </c>
      <c r="K230" t="str">
        <f>VLOOKUP(Table1[[#This Row],[Loser]],Ranking!C:D,2,FALSE)</f>
        <v>WCC</v>
      </c>
      <c r="L230" s="1">
        <v>76</v>
      </c>
      <c r="N230" s="1">
        <f>Table1[[#This Row],[Winning Score]]-Table1[[#This Row],[Losing Score]]</f>
        <v>21</v>
      </c>
      <c r="O230" s="1">
        <f>Table1[[#This Row],[Losing Seed]]-Table1[[#This Row],[Winning Seed]]</f>
        <v>-1</v>
      </c>
      <c r="P230" s="1" t="str">
        <f>IF(Table1[[#This Row],[SeD]]&lt;-2,Table1[[#This Row],[Winning Seed]]&amp; " over " &amp;Table1[[#This Row],[Losing Seed]],"")</f>
        <v/>
      </c>
      <c r="Q230">
        <f>VLOOKUP(Table1[[#This Row],[Losing Seed]],'Seed History'!$N$4:$O$19,2)</f>
        <v>1.5208333333333333</v>
      </c>
      <c r="R230" s="1">
        <f>IF(Table1[[#This Row],[Round]]="PI",0,Table1[[#This Row],[Round]]-1)</f>
        <v>1</v>
      </c>
      <c r="S230">
        <f>Table1[[#This Row],[LAW]]-Table1[[#This Row],[LEW]]</f>
        <v>-0.52083333333333326</v>
      </c>
    </row>
    <row r="231" spans="1:19" x14ac:dyDescent="0.25">
      <c r="A231" s="66">
        <v>32222</v>
      </c>
      <c r="B231" s="51">
        <f>YEAR(Table1[[#This Row],[Date]])</f>
        <v>1988</v>
      </c>
      <c r="C231" s="1">
        <v>2</v>
      </c>
      <c r="D231" t="s">
        <v>49</v>
      </c>
      <c r="E231" s="1">
        <v>1</v>
      </c>
      <c r="F231" t="s">
        <v>373</v>
      </c>
      <c r="G231" t="str">
        <f>VLOOKUP(Table1[[#This Row],[Winner]],Ranking!C:D,2,FALSE)</f>
        <v>Amer</v>
      </c>
      <c r="H231" s="1">
        <v>74</v>
      </c>
      <c r="I231" s="1">
        <v>8</v>
      </c>
      <c r="J231" t="s">
        <v>66</v>
      </c>
      <c r="K231" t="str">
        <f>VLOOKUP(Table1[[#This Row],[Loser]],Ranking!C:D,2,FALSE)</f>
        <v>BE</v>
      </c>
      <c r="L231" s="1">
        <v>53</v>
      </c>
      <c r="N231" s="1">
        <f>Table1[[#This Row],[Winning Score]]-Table1[[#This Row],[Losing Score]]</f>
        <v>21</v>
      </c>
      <c r="O231" s="1">
        <f>Table1[[#This Row],[Losing Seed]]-Table1[[#This Row],[Winning Seed]]</f>
        <v>7</v>
      </c>
      <c r="P231" s="1" t="str">
        <f>IF(Table1[[#This Row],[SeD]]&lt;-2,Table1[[#This Row],[Winning Seed]]&amp; " over " &amp;Table1[[#This Row],[Losing Seed]],"")</f>
        <v/>
      </c>
      <c r="Q231">
        <f>VLOOKUP(Table1[[#This Row],[Losing Seed]],'Seed History'!$N$4:$O$19,2)</f>
        <v>0.70833333333333337</v>
      </c>
      <c r="R231" s="1">
        <f>IF(Table1[[#This Row],[Round]]="PI",0,Table1[[#This Row],[Round]]-1)</f>
        <v>1</v>
      </c>
      <c r="S231">
        <f>Table1[[#This Row],[LAW]]-Table1[[#This Row],[LEW]]</f>
        <v>0.29166666666666663</v>
      </c>
    </row>
    <row r="232" spans="1:19" x14ac:dyDescent="0.25">
      <c r="A232" s="66">
        <v>32222</v>
      </c>
      <c r="B232" s="51">
        <f>YEAR(Table1[[#This Row],[Date]])</f>
        <v>1988</v>
      </c>
      <c r="C232" s="1">
        <v>2</v>
      </c>
      <c r="D232" t="s">
        <v>439</v>
      </c>
      <c r="E232" s="1">
        <v>6</v>
      </c>
      <c r="F232" t="s">
        <v>37</v>
      </c>
      <c r="G232" t="str">
        <f>VLOOKUP(Table1[[#This Row],[Winner]],Ranking!C:D,2,FALSE)</f>
        <v>B12</v>
      </c>
      <c r="H232" s="1">
        <v>61</v>
      </c>
      <c r="I232" s="1">
        <v>14</v>
      </c>
      <c r="J232" t="s">
        <v>285</v>
      </c>
      <c r="K232" t="str">
        <f>VLOOKUP(Table1[[#This Row],[Loser]],Ranking!C:D,2,FALSE)</f>
        <v>OVC</v>
      </c>
      <c r="L232" s="1">
        <v>58</v>
      </c>
      <c r="N232" s="1">
        <f>Table1[[#This Row],[Winning Score]]-Table1[[#This Row],[Losing Score]]</f>
        <v>3</v>
      </c>
      <c r="O232" s="1">
        <f>Table1[[#This Row],[Losing Seed]]-Table1[[#This Row],[Winning Seed]]</f>
        <v>8</v>
      </c>
      <c r="P232" s="1" t="str">
        <f>IF(Table1[[#This Row],[SeD]]&lt;-2,Table1[[#This Row],[Winning Seed]]&amp; " over " &amp;Table1[[#This Row],[Losing Seed]],"")</f>
        <v/>
      </c>
      <c r="Q232">
        <f>VLOOKUP(Table1[[#This Row],[Losing Seed]],'Seed History'!$N$4:$O$19,2)</f>
        <v>0.16666666666666666</v>
      </c>
      <c r="R232" s="1">
        <f>IF(Table1[[#This Row],[Round]]="PI",0,Table1[[#This Row],[Round]]-1)</f>
        <v>1</v>
      </c>
      <c r="S232">
        <f>Table1[[#This Row],[LAW]]-Table1[[#This Row],[LEW]]</f>
        <v>0.83333333333333337</v>
      </c>
    </row>
    <row r="233" spans="1:19" x14ac:dyDescent="0.25">
      <c r="A233" s="66">
        <v>32222</v>
      </c>
      <c r="B233" s="51">
        <f>YEAR(Table1[[#This Row],[Date]])</f>
        <v>1988</v>
      </c>
      <c r="C233" s="1">
        <v>2</v>
      </c>
      <c r="D233" t="s">
        <v>461</v>
      </c>
      <c r="E233" s="1">
        <v>2</v>
      </c>
      <c r="F233" t="s">
        <v>26</v>
      </c>
      <c r="G233" t="str">
        <f>VLOOKUP(Table1[[#This Row],[Winner]],Ranking!C:D,2,FALSE)</f>
        <v>SEC</v>
      </c>
      <c r="H233" s="1">
        <v>90</v>
      </c>
      <c r="I233" s="1">
        <v>7</v>
      </c>
      <c r="J233" t="s">
        <v>31</v>
      </c>
      <c r="K233" t="str">
        <f>VLOOKUP(Table1[[#This Row],[Loser]],Ranking!C:D,2,FALSE)</f>
        <v>B10</v>
      </c>
      <c r="L233" s="1">
        <v>81</v>
      </c>
      <c r="N233" s="1">
        <f>Table1[[#This Row],[Winning Score]]-Table1[[#This Row],[Losing Score]]</f>
        <v>9</v>
      </c>
      <c r="O233" s="1">
        <f>Table1[[#This Row],[Losing Seed]]-Table1[[#This Row],[Winning Seed]]</f>
        <v>5</v>
      </c>
      <c r="P233" s="1" t="str">
        <f>IF(Table1[[#This Row],[SeD]]&lt;-2,Table1[[#This Row],[Winning Seed]]&amp; " over " &amp;Table1[[#This Row],[Losing Seed]],"")</f>
        <v/>
      </c>
      <c r="Q233">
        <f>VLOOKUP(Table1[[#This Row],[Losing Seed]],'Seed History'!$N$4:$O$19,2)</f>
        <v>0.90277777777777779</v>
      </c>
      <c r="R233" s="1">
        <f>IF(Table1[[#This Row],[Round]]="PI",0,Table1[[#This Row],[Round]]-1)</f>
        <v>1</v>
      </c>
      <c r="S233">
        <f>Table1[[#This Row],[LAW]]-Table1[[#This Row],[LEW]]</f>
        <v>9.722222222222221E-2</v>
      </c>
    </row>
    <row r="234" spans="1:19" x14ac:dyDescent="0.25">
      <c r="A234" s="66">
        <v>32222</v>
      </c>
      <c r="B234" s="51">
        <f>YEAR(Table1[[#This Row],[Date]])</f>
        <v>1988</v>
      </c>
      <c r="C234" s="1">
        <v>2</v>
      </c>
      <c r="D234" t="s">
        <v>38</v>
      </c>
      <c r="E234" s="1">
        <v>1</v>
      </c>
      <c r="F234" t="s">
        <v>48</v>
      </c>
      <c r="G234" t="str">
        <f>VLOOKUP(Table1[[#This Row],[Winner]],Ranking!C:D,2,FALSE)</f>
        <v>P12</v>
      </c>
      <c r="H234" s="1">
        <v>84</v>
      </c>
      <c r="I234" s="1">
        <v>8</v>
      </c>
      <c r="J234" t="s">
        <v>87</v>
      </c>
      <c r="K234" t="str">
        <f>VLOOKUP(Table1[[#This Row],[Loser]],Ranking!C:D,2,FALSE)</f>
        <v>BE</v>
      </c>
      <c r="L234" s="1">
        <v>55</v>
      </c>
      <c r="N234" s="1">
        <f>Table1[[#This Row],[Winning Score]]-Table1[[#This Row],[Losing Score]]</f>
        <v>29</v>
      </c>
      <c r="O234" s="1">
        <f>Table1[[#This Row],[Losing Seed]]-Table1[[#This Row],[Winning Seed]]</f>
        <v>7</v>
      </c>
      <c r="P234" s="1" t="str">
        <f>IF(Table1[[#This Row],[SeD]]&lt;-2,Table1[[#This Row],[Winning Seed]]&amp; " over " &amp;Table1[[#This Row],[Losing Seed]],"")</f>
        <v/>
      </c>
      <c r="Q234">
        <f>VLOOKUP(Table1[[#This Row],[Losing Seed]],'Seed History'!$N$4:$O$19,2)</f>
        <v>0.70833333333333337</v>
      </c>
      <c r="R234" s="1">
        <f>IF(Table1[[#This Row],[Round]]="PI",0,Table1[[#This Row],[Round]]-1)</f>
        <v>1</v>
      </c>
      <c r="S234">
        <f>Table1[[#This Row],[LAW]]-Table1[[#This Row],[LEW]]</f>
        <v>0.29166666666666663</v>
      </c>
    </row>
    <row r="235" spans="1:19" x14ac:dyDescent="0.25">
      <c r="A235" s="66">
        <v>32222</v>
      </c>
      <c r="B235" s="51">
        <f>YEAR(Table1[[#This Row],[Date]])</f>
        <v>1988</v>
      </c>
      <c r="C235" s="1">
        <v>2</v>
      </c>
      <c r="D235" t="s">
        <v>49</v>
      </c>
      <c r="E235" s="1">
        <v>13</v>
      </c>
      <c r="F235" t="s">
        <v>331</v>
      </c>
      <c r="G235" t="str">
        <f>VLOOKUP(Table1[[#This Row],[Winner]],Ranking!C:D,2,FALSE)</f>
        <v>A10</v>
      </c>
      <c r="H235" s="1">
        <v>59</v>
      </c>
      <c r="I235" s="1">
        <v>5</v>
      </c>
      <c r="J235" t="s">
        <v>216</v>
      </c>
      <c r="K235" t="str">
        <f>VLOOKUP(Table1[[#This Row],[Loser]],Ranking!C:D,2,FALSE)</f>
        <v>ACC</v>
      </c>
      <c r="L235" s="1">
        <v>55</v>
      </c>
      <c r="N235" s="1">
        <f>Table1[[#This Row],[Winning Score]]-Table1[[#This Row],[Losing Score]]</f>
        <v>4</v>
      </c>
      <c r="O235" s="1">
        <f>Table1[[#This Row],[Losing Seed]]-Table1[[#This Row],[Winning Seed]]</f>
        <v>-8</v>
      </c>
      <c r="P235" s="1" t="str">
        <f>IF(Table1[[#This Row],[SeD]]&lt;-2,Table1[[#This Row],[Winning Seed]]&amp; " over " &amp;Table1[[#This Row],[Losing Seed]],"")</f>
        <v>13 over 5</v>
      </c>
      <c r="Q235">
        <f>VLOOKUP(Table1[[#This Row],[Losing Seed]],'Seed History'!$N$4:$O$19,2)</f>
        <v>1.1180555555555556</v>
      </c>
      <c r="R235" s="1">
        <f>IF(Table1[[#This Row],[Round]]="PI",0,Table1[[#This Row],[Round]]-1)</f>
        <v>1</v>
      </c>
      <c r="S235">
        <f>Table1[[#This Row],[LAW]]-Table1[[#This Row],[LEW]]</f>
        <v>-0.11805555555555558</v>
      </c>
    </row>
    <row r="236" spans="1:19" x14ac:dyDescent="0.25">
      <c r="A236" s="66">
        <v>32222</v>
      </c>
      <c r="B236" s="51">
        <f>YEAR(Table1[[#This Row],[Date]])</f>
        <v>1988</v>
      </c>
      <c r="C236" s="1">
        <v>2</v>
      </c>
      <c r="D236" t="s">
        <v>439</v>
      </c>
      <c r="E236" s="1">
        <v>7</v>
      </c>
      <c r="F236" t="s">
        <v>78</v>
      </c>
      <c r="G236" t="str">
        <f>VLOOKUP(Table1[[#This Row],[Winner]],Ranking!C:D,2,FALSE)</f>
        <v>SEC</v>
      </c>
      <c r="H236" s="1">
        <v>80</v>
      </c>
      <c r="I236" s="1">
        <v>2</v>
      </c>
      <c r="J236" t="s">
        <v>83</v>
      </c>
      <c r="K236" t="str">
        <f>VLOOKUP(Table1[[#This Row],[Loser]],Ranking!C:D,2,FALSE)</f>
        <v>ACC</v>
      </c>
      <c r="L236" s="1">
        <v>74</v>
      </c>
      <c r="M236" s="1" t="s">
        <v>462</v>
      </c>
      <c r="N236" s="1">
        <f>Table1[[#This Row],[Winning Score]]-Table1[[#This Row],[Losing Score]]</f>
        <v>6</v>
      </c>
      <c r="O236" s="1">
        <f>Table1[[#This Row],[Losing Seed]]-Table1[[#This Row],[Winning Seed]]</f>
        <v>-5</v>
      </c>
      <c r="P236" s="1" t="str">
        <f>IF(Table1[[#This Row],[SeD]]&lt;-2,Table1[[#This Row],[Winning Seed]]&amp; " over " &amp;Table1[[#This Row],[Losing Seed]],"")</f>
        <v>7 over 2</v>
      </c>
      <c r="Q236">
        <f>VLOOKUP(Table1[[#This Row],[Losing Seed]],'Seed History'!$N$4:$O$19,2)</f>
        <v>2.3472222222222223</v>
      </c>
      <c r="R236" s="1">
        <f>IF(Table1[[#This Row],[Round]]="PI",0,Table1[[#This Row],[Round]]-1)</f>
        <v>1</v>
      </c>
      <c r="S236">
        <f>Table1[[#This Row],[LAW]]-Table1[[#This Row],[LEW]]</f>
        <v>-1.3472222222222223</v>
      </c>
    </row>
    <row r="237" spans="1:19" x14ac:dyDescent="0.25">
      <c r="A237" s="66">
        <v>32222</v>
      </c>
      <c r="B237" s="51">
        <f>YEAR(Table1[[#This Row],[Date]])</f>
        <v>1988</v>
      </c>
      <c r="C237" s="1">
        <v>2</v>
      </c>
      <c r="D237" t="s">
        <v>461</v>
      </c>
      <c r="E237" s="1">
        <v>6</v>
      </c>
      <c r="F237" t="s">
        <v>50</v>
      </c>
      <c r="G237" t="str">
        <f>VLOOKUP(Table1[[#This Row],[Winner]],Ranking!C:D,2,FALSE)</f>
        <v>BE</v>
      </c>
      <c r="H237" s="1">
        <v>66</v>
      </c>
      <c r="I237" s="1">
        <v>3</v>
      </c>
      <c r="J237" t="s">
        <v>230</v>
      </c>
      <c r="K237" t="str">
        <f>VLOOKUP(Table1[[#This Row],[Loser]],Ranking!C:D,2,FALSE)</f>
        <v>B10</v>
      </c>
      <c r="L237" s="1">
        <v>63</v>
      </c>
      <c r="N237" s="1">
        <f>Table1[[#This Row],[Winning Score]]-Table1[[#This Row],[Losing Score]]</f>
        <v>3</v>
      </c>
      <c r="O237" s="1">
        <f>Table1[[#This Row],[Losing Seed]]-Table1[[#This Row],[Winning Seed]]</f>
        <v>-3</v>
      </c>
      <c r="P237" s="1" t="str">
        <f>IF(Table1[[#This Row],[SeD]]&lt;-2,Table1[[#This Row],[Winning Seed]]&amp; " over " &amp;Table1[[#This Row],[Losing Seed]],"")</f>
        <v>6 over 3</v>
      </c>
      <c r="Q237">
        <f>VLOOKUP(Table1[[#This Row],[Losing Seed]],'Seed History'!$N$4:$O$19,2)</f>
        <v>1.8472222222222223</v>
      </c>
      <c r="R237" s="1">
        <f>IF(Table1[[#This Row],[Round]]="PI",0,Table1[[#This Row],[Round]]-1)</f>
        <v>1</v>
      </c>
      <c r="S237">
        <f>Table1[[#This Row],[LAW]]-Table1[[#This Row],[LEW]]</f>
        <v>-0.84722222222222232</v>
      </c>
    </row>
    <row r="238" spans="1:19" x14ac:dyDescent="0.25">
      <c r="A238" s="66">
        <v>32222</v>
      </c>
      <c r="B238" s="51">
        <f>YEAR(Table1[[#This Row],[Date]])</f>
        <v>1988</v>
      </c>
      <c r="C238" s="1">
        <v>2</v>
      </c>
      <c r="D238" t="s">
        <v>38</v>
      </c>
      <c r="E238" s="1">
        <v>5</v>
      </c>
      <c r="F238" t="s">
        <v>69</v>
      </c>
      <c r="G238" t="str">
        <f>VLOOKUP(Table1[[#This Row],[Winner]],Ranking!C:D,2,FALSE)</f>
        <v>B10</v>
      </c>
      <c r="H238" s="1">
        <v>104</v>
      </c>
      <c r="I238" s="1">
        <v>4</v>
      </c>
      <c r="J238" t="s">
        <v>396</v>
      </c>
      <c r="K238" t="str">
        <f>VLOOKUP(Table1[[#This Row],[Loser]],Ranking!C:D,2,FALSE)</f>
        <v>MWC</v>
      </c>
      <c r="L238" s="1">
        <v>86</v>
      </c>
      <c r="N238" s="1">
        <f>Table1[[#This Row],[Winning Score]]-Table1[[#This Row],[Losing Score]]</f>
        <v>18</v>
      </c>
      <c r="O238" s="1">
        <f>Table1[[#This Row],[Losing Seed]]-Table1[[#This Row],[Winning Seed]]</f>
        <v>-1</v>
      </c>
      <c r="P238" s="1" t="str">
        <f>IF(Table1[[#This Row],[SeD]]&lt;-2,Table1[[#This Row],[Winning Seed]]&amp; " over " &amp;Table1[[#This Row],[Losing Seed]],"")</f>
        <v/>
      </c>
      <c r="Q238">
        <f>VLOOKUP(Table1[[#This Row],[Losing Seed]],'Seed History'!$N$4:$O$19,2)</f>
        <v>1.5208333333333333</v>
      </c>
      <c r="R238" s="1">
        <f>IF(Table1[[#This Row],[Round]]="PI",0,Table1[[#This Row],[Round]]-1)</f>
        <v>1</v>
      </c>
      <c r="S238">
        <f>Table1[[#This Row],[LAW]]-Table1[[#This Row],[LEW]]</f>
        <v>-0.52083333333333326</v>
      </c>
    </row>
    <row r="239" spans="1:19" x14ac:dyDescent="0.25">
      <c r="A239" s="66">
        <v>32226</v>
      </c>
      <c r="B239" s="51">
        <f>YEAR(Table1[[#This Row],[Date]])</f>
        <v>1988</v>
      </c>
      <c r="C239" s="1">
        <v>3</v>
      </c>
      <c r="D239" t="s">
        <v>49</v>
      </c>
      <c r="E239" s="1">
        <v>1</v>
      </c>
      <c r="F239" t="s">
        <v>373</v>
      </c>
      <c r="G239" t="str">
        <f>VLOOKUP(Table1[[#This Row],[Winner]],Ranking!C:D,2,FALSE)</f>
        <v>Amer</v>
      </c>
      <c r="H239" s="1">
        <v>69</v>
      </c>
      <c r="I239" s="1">
        <v>13</v>
      </c>
      <c r="J239" t="s">
        <v>331</v>
      </c>
      <c r="K239" t="str">
        <f>VLOOKUP(Table1[[#This Row],[Loser]],Ranking!C:D,2,FALSE)</f>
        <v>A10</v>
      </c>
      <c r="L239" s="1">
        <v>47</v>
      </c>
      <c r="N239" s="1">
        <f>Table1[[#This Row],[Winning Score]]-Table1[[#This Row],[Losing Score]]</f>
        <v>22</v>
      </c>
      <c r="O239" s="1">
        <f>Table1[[#This Row],[Losing Seed]]-Table1[[#This Row],[Winning Seed]]</f>
        <v>12</v>
      </c>
      <c r="P239" s="1" t="str">
        <f>IF(Table1[[#This Row],[SeD]]&lt;-2,Table1[[#This Row],[Winning Seed]]&amp; " over " &amp;Table1[[#This Row],[Losing Seed]],"")</f>
        <v/>
      </c>
      <c r="Q239">
        <f>VLOOKUP(Table1[[#This Row],[Losing Seed]],'Seed History'!$N$4:$O$19,2)</f>
        <v>0.25694444444444442</v>
      </c>
      <c r="R239" s="1">
        <f>IF(Table1[[#This Row],[Round]]="PI",0,Table1[[#This Row],[Round]]-1)</f>
        <v>2</v>
      </c>
      <c r="S239">
        <f>Table1[[#This Row],[LAW]]-Table1[[#This Row],[LEW]]</f>
        <v>1.7430555555555556</v>
      </c>
    </row>
    <row r="240" spans="1:19" x14ac:dyDescent="0.25">
      <c r="A240" s="66">
        <v>32226</v>
      </c>
      <c r="B240" s="51">
        <f>YEAR(Table1[[#This Row],[Date]])</f>
        <v>1988</v>
      </c>
      <c r="C240" s="1">
        <v>3</v>
      </c>
      <c r="D240" t="s">
        <v>49</v>
      </c>
      <c r="E240" s="1">
        <v>2</v>
      </c>
      <c r="F240" t="s">
        <v>64</v>
      </c>
      <c r="G240" t="str">
        <f>VLOOKUP(Table1[[#This Row],[Winner]],Ranking!C:D,2,FALSE)</f>
        <v>ACC</v>
      </c>
      <c r="H240" s="1">
        <v>73</v>
      </c>
      <c r="I240" s="1">
        <v>11</v>
      </c>
      <c r="J240" t="s">
        <v>96</v>
      </c>
      <c r="K240" t="str">
        <f>VLOOKUP(Table1[[#This Row],[Loser]],Ranking!C:D,2,FALSE)</f>
        <v>A10</v>
      </c>
      <c r="L240" s="1">
        <v>72</v>
      </c>
      <c r="N240" s="1">
        <f>Table1[[#This Row],[Winning Score]]-Table1[[#This Row],[Losing Score]]</f>
        <v>1</v>
      </c>
      <c r="O240" s="1">
        <f>Table1[[#This Row],[Losing Seed]]-Table1[[#This Row],[Winning Seed]]</f>
        <v>9</v>
      </c>
      <c r="P240" s="1" t="str">
        <f>IF(Table1[[#This Row],[SeD]]&lt;-2,Table1[[#This Row],[Winning Seed]]&amp; " over " &amp;Table1[[#This Row],[Losing Seed]],"")</f>
        <v/>
      </c>
      <c r="Q240">
        <f>VLOOKUP(Table1[[#This Row],[Losing Seed]],'Seed History'!$N$4:$O$19,2)</f>
        <v>0.63194444444444442</v>
      </c>
      <c r="R240" s="1">
        <f>IF(Table1[[#This Row],[Round]]="PI",0,Table1[[#This Row],[Round]]-1)</f>
        <v>2</v>
      </c>
      <c r="S240">
        <f>Table1[[#This Row],[LAW]]-Table1[[#This Row],[LEW]]</f>
        <v>1.3680555555555556</v>
      </c>
    </row>
    <row r="241" spans="1:19" x14ac:dyDescent="0.25">
      <c r="A241" s="66">
        <v>32226</v>
      </c>
      <c r="B241" s="51">
        <f>YEAR(Table1[[#This Row],[Date]])</f>
        <v>1988</v>
      </c>
      <c r="C241" s="1">
        <v>3</v>
      </c>
      <c r="D241" t="s">
        <v>461</v>
      </c>
      <c r="E241" s="1">
        <v>1</v>
      </c>
      <c r="F241" t="s">
        <v>58</v>
      </c>
      <c r="G241" t="str">
        <f>VLOOKUP(Table1[[#This Row],[Winner]],Ranking!C:D,2,FALSE)</f>
        <v>B12</v>
      </c>
      <c r="H241" s="1">
        <v>108</v>
      </c>
      <c r="I241" s="1">
        <v>5</v>
      </c>
      <c r="J241" t="s">
        <v>54</v>
      </c>
      <c r="K241" t="str">
        <f>VLOOKUP(Table1[[#This Row],[Loser]],Ranking!C:D,2,FALSE)</f>
        <v>ACC</v>
      </c>
      <c r="L241" s="1">
        <v>98</v>
      </c>
      <c r="N241" s="1">
        <f>Table1[[#This Row],[Winning Score]]-Table1[[#This Row],[Losing Score]]</f>
        <v>10</v>
      </c>
      <c r="O241" s="1">
        <f>Table1[[#This Row],[Losing Seed]]-Table1[[#This Row],[Winning Seed]]</f>
        <v>4</v>
      </c>
      <c r="P241" s="1" t="str">
        <f>IF(Table1[[#This Row],[SeD]]&lt;-2,Table1[[#This Row],[Winning Seed]]&amp; " over " &amp;Table1[[#This Row],[Losing Seed]],"")</f>
        <v/>
      </c>
      <c r="Q241">
        <f>VLOOKUP(Table1[[#This Row],[Losing Seed]],'Seed History'!$N$4:$O$19,2)</f>
        <v>1.1180555555555556</v>
      </c>
      <c r="R241" s="1">
        <f>IF(Table1[[#This Row],[Round]]="PI",0,Table1[[#This Row],[Round]]-1)</f>
        <v>2</v>
      </c>
      <c r="S241">
        <f>Table1[[#This Row],[LAW]]-Table1[[#This Row],[LEW]]</f>
        <v>0.88194444444444442</v>
      </c>
    </row>
    <row r="242" spans="1:19" x14ac:dyDescent="0.25">
      <c r="A242" s="66">
        <v>32226</v>
      </c>
      <c r="B242" s="51">
        <f>YEAR(Table1[[#This Row],[Date]])</f>
        <v>1988</v>
      </c>
      <c r="C242" s="1">
        <v>3</v>
      </c>
      <c r="D242" t="s">
        <v>461</v>
      </c>
      <c r="E242" s="1">
        <v>6</v>
      </c>
      <c r="F242" t="s">
        <v>50</v>
      </c>
      <c r="G242" t="str">
        <f>VLOOKUP(Table1[[#This Row],[Winner]],Ranking!C:D,2,FALSE)</f>
        <v>BE</v>
      </c>
      <c r="H242" s="1">
        <v>80</v>
      </c>
      <c r="I242" s="1">
        <v>2</v>
      </c>
      <c r="J242" t="s">
        <v>26</v>
      </c>
      <c r="K242" t="str">
        <f>VLOOKUP(Table1[[#This Row],[Loser]],Ranking!C:D,2,FALSE)</f>
        <v>SEC</v>
      </c>
      <c r="L242" s="1">
        <v>74</v>
      </c>
      <c r="N242" s="1">
        <f>Table1[[#This Row],[Winning Score]]-Table1[[#This Row],[Losing Score]]</f>
        <v>6</v>
      </c>
      <c r="O242" s="1">
        <f>Table1[[#This Row],[Losing Seed]]-Table1[[#This Row],[Winning Seed]]</f>
        <v>-4</v>
      </c>
      <c r="P242" s="1" t="str">
        <f>IF(Table1[[#This Row],[SeD]]&lt;-2,Table1[[#This Row],[Winning Seed]]&amp; " over " &amp;Table1[[#This Row],[Losing Seed]],"")</f>
        <v>6 over 2</v>
      </c>
      <c r="Q242">
        <f>VLOOKUP(Table1[[#This Row],[Losing Seed]],'Seed History'!$N$4:$O$19,2)</f>
        <v>2.3472222222222223</v>
      </c>
      <c r="R242" s="1">
        <f>IF(Table1[[#This Row],[Round]]="PI",0,Table1[[#This Row],[Round]]-1)</f>
        <v>2</v>
      </c>
      <c r="S242">
        <f>Table1[[#This Row],[LAW]]-Table1[[#This Row],[LEW]]</f>
        <v>-0.34722222222222232</v>
      </c>
    </row>
    <row r="243" spans="1:19" x14ac:dyDescent="0.25">
      <c r="A243" s="66">
        <v>32227</v>
      </c>
      <c r="B243" s="51">
        <f>YEAR(Table1[[#This Row],[Date]])</f>
        <v>1988</v>
      </c>
      <c r="C243" s="1">
        <v>3</v>
      </c>
      <c r="D243" t="s">
        <v>439</v>
      </c>
      <c r="E243" s="1">
        <v>6</v>
      </c>
      <c r="F243" t="s">
        <v>37</v>
      </c>
      <c r="G243" t="str">
        <f>VLOOKUP(Table1[[#This Row],[Winner]],Ranking!C:D,2,FALSE)</f>
        <v>B12</v>
      </c>
      <c r="H243" s="1">
        <v>77</v>
      </c>
      <c r="I243" s="1">
        <v>7</v>
      </c>
      <c r="J243" t="s">
        <v>78</v>
      </c>
      <c r="K243" t="str">
        <f>VLOOKUP(Table1[[#This Row],[Loser]],Ranking!C:D,2,FALSE)</f>
        <v>SEC</v>
      </c>
      <c r="L243" s="1">
        <v>64</v>
      </c>
      <c r="N243" s="1">
        <f>Table1[[#This Row],[Winning Score]]-Table1[[#This Row],[Losing Score]]</f>
        <v>13</v>
      </c>
      <c r="O243" s="1">
        <f>Table1[[#This Row],[Losing Seed]]-Table1[[#This Row],[Winning Seed]]</f>
        <v>1</v>
      </c>
      <c r="P243" s="1" t="str">
        <f>IF(Table1[[#This Row],[SeD]]&lt;-2,Table1[[#This Row],[Winning Seed]]&amp; " over " &amp;Table1[[#This Row],[Losing Seed]],"")</f>
        <v/>
      </c>
      <c r="Q243">
        <f>VLOOKUP(Table1[[#This Row],[Losing Seed]],'Seed History'!$N$4:$O$19,2)</f>
        <v>0.90277777777777779</v>
      </c>
      <c r="R243" s="1">
        <f>IF(Table1[[#This Row],[Round]]="PI",0,Table1[[#This Row],[Round]]-1)</f>
        <v>2</v>
      </c>
      <c r="S243">
        <f>Table1[[#This Row],[LAW]]-Table1[[#This Row],[LEW]]</f>
        <v>1.0972222222222223</v>
      </c>
    </row>
    <row r="244" spans="1:19" x14ac:dyDescent="0.25">
      <c r="A244" s="66">
        <v>32227</v>
      </c>
      <c r="B244" s="51">
        <f>YEAR(Table1[[#This Row],[Date]])</f>
        <v>1988</v>
      </c>
      <c r="C244" s="1">
        <v>3</v>
      </c>
      <c r="D244" t="s">
        <v>38</v>
      </c>
      <c r="E244" s="1">
        <v>1</v>
      </c>
      <c r="F244" t="s">
        <v>48</v>
      </c>
      <c r="G244" t="str">
        <f>VLOOKUP(Table1[[#This Row],[Winner]],Ranking!C:D,2,FALSE)</f>
        <v>P12</v>
      </c>
      <c r="H244" s="1">
        <v>99</v>
      </c>
      <c r="I244" s="1">
        <v>5</v>
      </c>
      <c r="J244" t="s">
        <v>69</v>
      </c>
      <c r="K244" t="str">
        <f>VLOOKUP(Table1[[#This Row],[Loser]],Ranking!C:D,2,FALSE)</f>
        <v>B10</v>
      </c>
      <c r="L244" s="1">
        <v>79</v>
      </c>
      <c r="N244" s="1">
        <f>Table1[[#This Row],[Winning Score]]-Table1[[#This Row],[Losing Score]]</f>
        <v>20</v>
      </c>
      <c r="O244" s="1">
        <f>Table1[[#This Row],[Losing Seed]]-Table1[[#This Row],[Winning Seed]]</f>
        <v>4</v>
      </c>
      <c r="P244" s="1" t="str">
        <f>IF(Table1[[#This Row],[SeD]]&lt;-2,Table1[[#This Row],[Winning Seed]]&amp; " over " &amp;Table1[[#This Row],[Losing Seed]],"")</f>
        <v/>
      </c>
      <c r="Q244">
        <f>VLOOKUP(Table1[[#This Row],[Losing Seed]],'Seed History'!$N$4:$O$19,2)</f>
        <v>1.1180555555555556</v>
      </c>
      <c r="R244" s="1">
        <f>IF(Table1[[#This Row],[Round]]="PI",0,Table1[[#This Row],[Round]]-1)</f>
        <v>2</v>
      </c>
      <c r="S244">
        <f>Table1[[#This Row],[LAW]]-Table1[[#This Row],[LEW]]</f>
        <v>0.88194444444444442</v>
      </c>
    </row>
    <row r="245" spans="1:19" x14ac:dyDescent="0.25">
      <c r="A245" s="66">
        <v>32227</v>
      </c>
      <c r="B245" s="51">
        <f>YEAR(Table1[[#This Row],[Date]])</f>
        <v>1988</v>
      </c>
      <c r="C245" s="1">
        <v>3</v>
      </c>
      <c r="D245" t="s">
        <v>38</v>
      </c>
      <c r="E245" s="1">
        <v>2</v>
      </c>
      <c r="F245" t="s">
        <v>298</v>
      </c>
      <c r="G245" t="str">
        <f>VLOOKUP(Table1[[#This Row],[Winner]],Ranking!C:D,2,FALSE)</f>
        <v>ACC</v>
      </c>
      <c r="H245" s="1">
        <v>78</v>
      </c>
      <c r="I245" s="1">
        <v>3</v>
      </c>
      <c r="J245" t="s">
        <v>82</v>
      </c>
      <c r="K245" t="str">
        <f>VLOOKUP(Table1[[#This Row],[Loser]],Ranking!C:D,2,FALSE)</f>
        <v>B10</v>
      </c>
      <c r="L245" s="1">
        <v>69</v>
      </c>
      <c r="N245" s="1">
        <f>Table1[[#This Row],[Winning Score]]-Table1[[#This Row],[Losing Score]]</f>
        <v>9</v>
      </c>
      <c r="O245" s="1">
        <f>Table1[[#This Row],[Losing Seed]]-Table1[[#This Row],[Winning Seed]]</f>
        <v>1</v>
      </c>
      <c r="P245" s="1" t="str">
        <f>IF(Table1[[#This Row],[SeD]]&lt;-2,Table1[[#This Row],[Winning Seed]]&amp; " over " &amp;Table1[[#This Row],[Losing Seed]],"")</f>
        <v/>
      </c>
      <c r="Q245">
        <f>VLOOKUP(Table1[[#This Row],[Losing Seed]],'Seed History'!$N$4:$O$19,2)</f>
        <v>1.8472222222222223</v>
      </c>
      <c r="R245" s="1">
        <f>IF(Table1[[#This Row],[Round]]="PI",0,Table1[[#This Row],[Round]]-1)</f>
        <v>2</v>
      </c>
      <c r="S245">
        <f>Table1[[#This Row],[LAW]]-Table1[[#This Row],[LEW]]</f>
        <v>0.15277777777777768</v>
      </c>
    </row>
    <row r="246" spans="1:19" x14ac:dyDescent="0.25">
      <c r="A246" s="66">
        <v>32227</v>
      </c>
      <c r="B246" s="51">
        <f>YEAR(Table1[[#This Row],[Date]])</f>
        <v>1988</v>
      </c>
      <c r="C246" s="1">
        <v>3</v>
      </c>
      <c r="D246" t="s">
        <v>439</v>
      </c>
      <c r="E246" s="1">
        <v>4</v>
      </c>
      <c r="F246" t="s">
        <v>243</v>
      </c>
      <c r="G246" t="str">
        <f>VLOOKUP(Table1[[#This Row],[Winner]],Ranking!C:D,2,FALSE)</f>
        <v>B12</v>
      </c>
      <c r="H246" s="1">
        <v>73</v>
      </c>
      <c r="I246" s="1">
        <v>1</v>
      </c>
      <c r="J246" t="s">
        <v>29</v>
      </c>
      <c r="K246" t="str">
        <f>VLOOKUP(Table1[[#This Row],[Loser]],Ranking!C:D,2,FALSE)</f>
        <v>B10</v>
      </c>
      <c r="L246" s="1">
        <v>70</v>
      </c>
      <c r="N246" s="1">
        <f>Table1[[#This Row],[Winning Score]]-Table1[[#This Row],[Losing Score]]</f>
        <v>3</v>
      </c>
      <c r="O246" s="1">
        <f>Table1[[#This Row],[Losing Seed]]-Table1[[#This Row],[Winning Seed]]</f>
        <v>-3</v>
      </c>
      <c r="P246" s="1" t="str">
        <f>IF(Table1[[#This Row],[SeD]]&lt;-2,Table1[[#This Row],[Winning Seed]]&amp; " over " &amp;Table1[[#This Row],[Losing Seed]],"")</f>
        <v>4 over 1</v>
      </c>
      <c r="Q246">
        <f>VLOOKUP(Table1[[#This Row],[Losing Seed]],'Seed History'!$N$4:$O$19,2)</f>
        <v>3.3263888888888888</v>
      </c>
      <c r="R246" s="1">
        <f>IF(Table1[[#This Row],[Round]]="PI",0,Table1[[#This Row],[Round]]-1)</f>
        <v>2</v>
      </c>
      <c r="S246">
        <f>Table1[[#This Row],[LAW]]-Table1[[#This Row],[LEW]]</f>
        <v>-1.3263888888888888</v>
      </c>
    </row>
    <row r="247" spans="1:19" x14ac:dyDescent="0.25">
      <c r="A247" s="66">
        <v>32228</v>
      </c>
      <c r="B247" s="51">
        <f>YEAR(Table1[[#This Row],[Date]])</f>
        <v>1988</v>
      </c>
      <c r="C247" s="1">
        <v>4</v>
      </c>
      <c r="D247" t="s">
        <v>461</v>
      </c>
      <c r="E247" s="1">
        <v>1</v>
      </c>
      <c r="F247" t="s">
        <v>58</v>
      </c>
      <c r="G247" t="str">
        <f>VLOOKUP(Table1[[#This Row],[Winner]],Ranking!C:D,2,FALSE)</f>
        <v>B12</v>
      </c>
      <c r="H247" s="1">
        <v>78</v>
      </c>
      <c r="I247" s="1">
        <v>6</v>
      </c>
      <c r="J247" t="s">
        <v>50</v>
      </c>
      <c r="K247" t="str">
        <f>VLOOKUP(Table1[[#This Row],[Loser]],Ranking!C:D,2,FALSE)</f>
        <v>BE</v>
      </c>
      <c r="L247" s="1">
        <v>59</v>
      </c>
      <c r="N247" s="1">
        <f>Table1[[#This Row],[Winning Score]]-Table1[[#This Row],[Losing Score]]</f>
        <v>19</v>
      </c>
      <c r="O247" s="1">
        <f>Table1[[#This Row],[Losing Seed]]-Table1[[#This Row],[Winning Seed]]</f>
        <v>5</v>
      </c>
      <c r="P247" s="1" t="str">
        <f>IF(Table1[[#This Row],[SeD]]&lt;-2,Table1[[#This Row],[Winning Seed]]&amp; " over " &amp;Table1[[#This Row],[Losing Seed]],"")</f>
        <v/>
      </c>
      <c r="Q247">
        <f>VLOOKUP(Table1[[#This Row],[Losing Seed]],'Seed History'!$N$4:$O$19,2)</f>
        <v>1.0625</v>
      </c>
      <c r="R247" s="1">
        <f>IF(Table1[[#This Row],[Round]]="PI",0,Table1[[#This Row],[Round]]-1)</f>
        <v>3</v>
      </c>
      <c r="S247">
        <f>Table1[[#This Row],[LAW]]-Table1[[#This Row],[LEW]]</f>
        <v>1.9375</v>
      </c>
    </row>
    <row r="248" spans="1:19" x14ac:dyDescent="0.25">
      <c r="A248" s="66">
        <v>32228</v>
      </c>
      <c r="B248" s="51">
        <f>YEAR(Table1[[#This Row],[Date]])</f>
        <v>1988</v>
      </c>
      <c r="C248" s="1">
        <v>4</v>
      </c>
      <c r="D248" t="s">
        <v>49</v>
      </c>
      <c r="E248" s="1">
        <v>2</v>
      </c>
      <c r="F248" t="s">
        <v>64</v>
      </c>
      <c r="G248" t="str">
        <f>VLOOKUP(Table1[[#This Row],[Winner]],Ranking!C:D,2,FALSE)</f>
        <v>ACC</v>
      </c>
      <c r="H248" s="1">
        <v>63</v>
      </c>
      <c r="I248" s="1">
        <v>1</v>
      </c>
      <c r="J248" t="s">
        <v>373</v>
      </c>
      <c r="K248" t="str">
        <f>VLOOKUP(Table1[[#This Row],[Loser]],Ranking!C:D,2,FALSE)</f>
        <v>Amer</v>
      </c>
      <c r="L248" s="1">
        <v>53</v>
      </c>
      <c r="N248" s="1">
        <f>Table1[[#This Row],[Winning Score]]-Table1[[#This Row],[Losing Score]]</f>
        <v>10</v>
      </c>
      <c r="O248" s="1">
        <f>Table1[[#This Row],[Losing Seed]]-Table1[[#This Row],[Winning Seed]]</f>
        <v>-1</v>
      </c>
      <c r="P248" s="1" t="str">
        <f>IF(Table1[[#This Row],[SeD]]&lt;-2,Table1[[#This Row],[Winning Seed]]&amp; " over " &amp;Table1[[#This Row],[Losing Seed]],"")</f>
        <v/>
      </c>
      <c r="Q248">
        <f>VLOOKUP(Table1[[#This Row],[Losing Seed]],'Seed History'!$N$4:$O$19,2)</f>
        <v>3.3263888888888888</v>
      </c>
      <c r="R248" s="1">
        <f>IF(Table1[[#This Row],[Round]]="PI",0,Table1[[#This Row],[Round]]-1)</f>
        <v>3</v>
      </c>
      <c r="S248">
        <f>Table1[[#This Row],[LAW]]-Table1[[#This Row],[LEW]]</f>
        <v>-0.32638888888888884</v>
      </c>
    </row>
    <row r="249" spans="1:19" x14ac:dyDescent="0.25">
      <c r="A249" s="66">
        <v>32229</v>
      </c>
      <c r="B249" s="51">
        <f>YEAR(Table1[[#This Row],[Date]])</f>
        <v>1988</v>
      </c>
      <c r="C249" s="1">
        <v>4</v>
      </c>
      <c r="D249" t="s">
        <v>38</v>
      </c>
      <c r="E249" s="1">
        <v>1</v>
      </c>
      <c r="F249" t="s">
        <v>48</v>
      </c>
      <c r="G249" t="str">
        <f>VLOOKUP(Table1[[#This Row],[Winner]],Ranking!C:D,2,FALSE)</f>
        <v>P12</v>
      </c>
      <c r="H249" s="1">
        <v>70</v>
      </c>
      <c r="I249" s="1">
        <v>2</v>
      </c>
      <c r="J249" t="s">
        <v>298</v>
      </c>
      <c r="K249" t="str">
        <f>VLOOKUP(Table1[[#This Row],[Loser]],Ranking!C:D,2,FALSE)</f>
        <v>ACC</v>
      </c>
      <c r="L249" s="1">
        <v>52</v>
      </c>
      <c r="N249" s="1">
        <f>Table1[[#This Row],[Winning Score]]-Table1[[#This Row],[Losing Score]]</f>
        <v>18</v>
      </c>
      <c r="O249" s="1">
        <f>Table1[[#This Row],[Losing Seed]]-Table1[[#This Row],[Winning Seed]]</f>
        <v>1</v>
      </c>
      <c r="P249" s="1" t="str">
        <f>IF(Table1[[#This Row],[SeD]]&lt;-2,Table1[[#This Row],[Winning Seed]]&amp; " over " &amp;Table1[[#This Row],[Losing Seed]],"")</f>
        <v/>
      </c>
      <c r="Q249">
        <f>VLOOKUP(Table1[[#This Row],[Losing Seed]],'Seed History'!$N$4:$O$19,2)</f>
        <v>2.3472222222222223</v>
      </c>
      <c r="R249" s="1">
        <f>IF(Table1[[#This Row],[Round]]="PI",0,Table1[[#This Row],[Round]]-1)</f>
        <v>3</v>
      </c>
      <c r="S249">
        <f>Table1[[#This Row],[LAW]]-Table1[[#This Row],[LEW]]</f>
        <v>0.65277777777777768</v>
      </c>
    </row>
    <row r="250" spans="1:19" x14ac:dyDescent="0.25">
      <c r="A250" s="66">
        <v>32229</v>
      </c>
      <c r="B250" s="51">
        <f>YEAR(Table1[[#This Row],[Date]])</f>
        <v>1988</v>
      </c>
      <c r="C250" s="1">
        <v>4</v>
      </c>
      <c r="D250" t="s">
        <v>439</v>
      </c>
      <c r="E250" s="1">
        <v>6</v>
      </c>
      <c r="F250" t="s">
        <v>37</v>
      </c>
      <c r="G250" t="str">
        <f>VLOOKUP(Table1[[#This Row],[Winner]],Ranking!C:D,2,FALSE)</f>
        <v>B12</v>
      </c>
      <c r="H250" s="1">
        <v>71</v>
      </c>
      <c r="I250" s="1">
        <v>4</v>
      </c>
      <c r="J250" t="s">
        <v>243</v>
      </c>
      <c r="K250" t="str">
        <f>VLOOKUP(Table1[[#This Row],[Loser]],Ranking!C:D,2,FALSE)</f>
        <v>B12</v>
      </c>
      <c r="L250" s="1">
        <v>58</v>
      </c>
      <c r="N250" s="1">
        <f>Table1[[#This Row],[Winning Score]]-Table1[[#This Row],[Losing Score]]</f>
        <v>13</v>
      </c>
      <c r="O250" s="1">
        <f>Table1[[#This Row],[Losing Seed]]-Table1[[#This Row],[Winning Seed]]</f>
        <v>-2</v>
      </c>
      <c r="P250" s="1" t="str">
        <f>IF(Table1[[#This Row],[SeD]]&lt;-2,Table1[[#This Row],[Winning Seed]]&amp; " over " &amp;Table1[[#This Row],[Losing Seed]],"")</f>
        <v/>
      </c>
      <c r="Q250">
        <f>VLOOKUP(Table1[[#This Row],[Losing Seed]],'Seed History'!$N$4:$O$19,2)</f>
        <v>1.5208333333333333</v>
      </c>
      <c r="R250" s="1">
        <f>IF(Table1[[#This Row],[Round]]="PI",0,Table1[[#This Row],[Round]]-1)</f>
        <v>3</v>
      </c>
      <c r="S250">
        <f>Table1[[#This Row],[LAW]]-Table1[[#This Row],[LEW]]</f>
        <v>1.4791666666666667</v>
      </c>
    </row>
    <row r="251" spans="1:19" x14ac:dyDescent="0.25">
      <c r="A251" s="66">
        <v>32235</v>
      </c>
      <c r="B251" s="51">
        <f>YEAR(Table1[[#This Row],[Date]])</f>
        <v>1988</v>
      </c>
      <c r="C251" s="1">
        <v>5</v>
      </c>
      <c r="D251" t="s">
        <v>467</v>
      </c>
      <c r="E251" s="1">
        <v>1</v>
      </c>
      <c r="F251" t="s">
        <v>58</v>
      </c>
      <c r="G251" t="str">
        <f>VLOOKUP(Table1[[#This Row],[Winner]],Ranking!C:D,2,FALSE)</f>
        <v>B12</v>
      </c>
      <c r="H251" s="1">
        <v>86</v>
      </c>
      <c r="I251" s="1">
        <v>1</v>
      </c>
      <c r="J251" t="s">
        <v>48</v>
      </c>
      <c r="K251" t="str">
        <f>VLOOKUP(Table1[[#This Row],[Loser]],Ranking!C:D,2,FALSE)</f>
        <v>P12</v>
      </c>
      <c r="L251" s="1">
        <v>78</v>
      </c>
      <c r="N251" s="1">
        <f>Table1[[#This Row],[Winning Score]]-Table1[[#This Row],[Losing Score]]</f>
        <v>8</v>
      </c>
      <c r="O251" s="1">
        <f>Table1[[#This Row],[Losing Seed]]-Table1[[#This Row],[Winning Seed]]</f>
        <v>0</v>
      </c>
      <c r="P251" s="1" t="str">
        <f>IF(Table1[[#This Row],[SeD]]&lt;-2,Table1[[#This Row],[Winning Seed]]&amp; " over " &amp;Table1[[#This Row],[Losing Seed]],"")</f>
        <v/>
      </c>
      <c r="Q251">
        <f>VLOOKUP(Table1[[#This Row],[Losing Seed]],'Seed History'!$N$4:$O$19,2)</f>
        <v>3.3263888888888888</v>
      </c>
      <c r="R251" s="1">
        <f>IF(Table1[[#This Row],[Round]]="PI",0,Table1[[#This Row],[Round]]-1)</f>
        <v>4</v>
      </c>
      <c r="S251">
        <f>Table1[[#This Row],[LAW]]-Table1[[#This Row],[LEW]]</f>
        <v>0.67361111111111116</v>
      </c>
    </row>
    <row r="252" spans="1:19" x14ac:dyDescent="0.25">
      <c r="A252" s="66">
        <v>32235</v>
      </c>
      <c r="B252" s="51">
        <f>YEAR(Table1[[#This Row],[Date]])</f>
        <v>1988</v>
      </c>
      <c r="C252" s="1">
        <v>5</v>
      </c>
      <c r="D252" t="s">
        <v>467</v>
      </c>
      <c r="E252" s="1">
        <v>6</v>
      </c>
      <c r="F252" t="s">
        <v>37</v>
      </c>
      <c r="G252" t="str">
        <f>VLOOKUP(Table1[[#This Row],[Winner]],Ranking!C:D,2,FALSE)</f>
        <v>B12</v>
      </c>
      <c r="H252" s="1">
        <v>66</v>
      </c>
      <c r="I252" s="1">
        <v>2</v>
      </c>
      <c r="J252" t="s">
        <v>64</v>
      </c>
      <c r="K252" t="str">
        <f>VLOOKUP(Table1[[#This Row],[Loser]],Ranking!C:D,2,FALSE)</f>
        <v>ACC</v>
      </c>
      <c r="L252" s="1">
        <v>59</v>
      </c>
      <c r="N252" s="1">
        <f>Table1[[#This Row],[Winning Score]]-Table1[[#This Row],[Losing Score]]</f>
        <v>7</v>
      </c>
      <c r="O252" s="1">
        <f>Table1[[#This Row],[Losing Seed]]-Table1[[#This Row],[Winning Seed]]</f>
        <v>-4</v>
      </c>
      <c r="P252" s="1" t="str">
        <f>IF(Table1[[#This Row],[SeD]]&lt;-2,Table1[[#This Row],[Winning Seed]]&amp; " over " &amp;Table1[[#This Row],[Losing Seed]],"")</f>
        <v>6 over 2</v>
      </c>
      <c r="Q252">
        <f>VLOOKUP(Table1[[#This Row],[Losing Seed]],'Seed History'!$N$4:$O$19,2)</f>
        <v>2.3472222222222223</v>
      </c>
      <c r="R252" s="1">
        <f>IF(Table1[[#This Row],[Round]]="PI",0,Table1[[#This Row],[Round]]-1)</f>
        <v>4</v>
      </c>
      <c r="S252">
        <f>Table1[[#This Row],[LAW]]-Table1[[#This Row],[LEW]]</f>
        <v>1.6527777777777777</v>
      </c>
    </row>
    <row r="253" spans="1:19" x14ac:dyDescent="0.25">
      <c r="A253" s="66">
        <v>32237</v>
      </c>
      <c r="B253" s="51">
        <f>YEAR(Table1[[#This Row],[Date]])</f>
        <v>1988</v>
      </c>
      <c r="C253" s="1">
        <v>6</v>
      </c>
      <c r="D253" t="s">
        <v>468</v>
      </c>
      <c r="E253" s="1">
        <v>6</v>
      </c>
      <c r="F253" t="s">
        <v>37</v>
      </c>
      <c r="G253" t="str">
        <f>VLOOKUP(Table1[[#This Row],[Winner]],Ranking!C:D,2,FALSE)</f>
        <v>B12</v>
      </c>
      <c r="H253" s="1">
        <v>83</v>
      </c>
      <c r="I253" s="1">
        <v>1</v>
      </c>
      <c r="J253" t="s">
        <v>58</v>
      </c>
      <c r="K253" t="str">
        <f>VLOOKUP(Table1[[#This Row],[Loser]],Ranking!C:D,2,FALSE)</f>
        <v>B12</v>
      </c>
      <c r="L253" s="1">
        <v>79</v>
      </c>
      <c r="N253" s="1">
        <f>Table1[[#This Row],[Winning Score]]-Table1[[#This Row],[Losing Score]]</f>
        <v>4</v>
      </c>
      <c r="O253" s="1">
        <f>Table1[[#This Row],[Losing Seed]]-Table1[[#This Row],[Winning Seed]]</f>
        <v>-5</v>
      </c>
      <c r="P253" s="1" t="str">
        <f>IF(Table1[[#This Row],[SeD]]&lt;-2,Table1[[#This Row],[Winning Seed]]&amp; " over " &amp;Table1[[#This Row],[Losing Seed]],"")</f>
        <v>6 over 1</v>
      </c>
      <c r="Q253">
        <f>VLOOKUP(Table1[[#This Row],[Losing Seed]],'Seed History'!$N$4:$O$19,2)</f>
        <v>3.3263888888888888</v>
      </c>
      <c r="R253" s="1">
        <f>IF(Table1[[#This Row],[Round]]="PI",0,Table1[[#This Row],[Round]]-1)</f>
        <v>5</v>
      </c>
      <c r="S253">
        <f>Table1[[#This Row],[LAW]]-Table1[[#This Row],[LEW]]</f>
        <v>1.6736111111111112</v>
      </c>
    </row>
    <row r="254" spans="1:19" x14ac:dyDescent="0.25">
      <c r="A254" s="66">
        <v>32583</v>
      </c>
      <c r="B254" s="51">
        <f>YEAR(Table1[[#This Row],[Date]])</f>
        <v>1989</v>
      </c>
      <c r="C254" s="1">
        <v>1</v>
      </c>
      <c r="D254" t="s">
        <v>49</v>
      </c>
      <c r="E254" s="1">
        <v>14</v>
      </c>
      <c r="F254" t="s">
        <v>350</v>
      </c>
      <c r="G254" t="str">
        <f>VLOOKUP(Table1[[#This Row],[Winner]],Ranking!C:D,2,FALSE)</f>
        <v>MAAC</v>
      </c>
      <c r="H254" s="1">
        <v>80</v>
      </c>
      <c r="I254" s="1">
        <v>3</v>
      </c>
      <c r="J254" t="s">
        <v>369</v>
      </c>
      <c r="K254" t="str">
        <f>VLOOKUP(Table1[[#This Row],[Loser]],Ranking!C:D,2,FALSE)</f>
        <v>P12</v>
      </c>
      <c r="L254" s="1">
        <v>78</v>
      </c>
      <c r="N254" s="1">
        <f>Table1[[#This Row],[Winning Score]]-Table1[[#This Row],[Losing Score]]</f>
        <v>2</v>
      </c>
      <c r="O254" s="1">
        <f>Table1[[#This Row],[Losing Seed]]-Table1[[#This Row],[Winning Seed]]</f>
        <v>-11</v>
      </c>
      <c r="P254" s="1" t="str">
        <f>IF(Table1[[#This Row],[SeD]]&lt;-2,Table1[[#This Row],[Winning Seed]]&amp; " over " &amp;Table1[[#This Row],[Losing Seed]],"")</f>
        <v>14 over 3</v>
      </c>
      <c r="Q254">
        <f>VLOOKUP(Table1[[#This Row],[Losing Seed]],'Seed History'!$N$4:$O$19,2)</f>
        <v>1.8472222222222223</v>
      </c>
      <c r="R254" s="1">
        <f>IF(Table1[[#This Row],[Round]]="PI",0,Table1[[#This Row],[Round]]-1)</f>
        <v>0</v>
      </c>
      <c r="S254">
        <f>Table1[[#This Row],[LAW]]-Table1[[#This Row],[LEW]]</f>
        <v>-1.8472222222222223</v>
      </c>
    </row>
    <row r="255" spans="1:19" x14ac:dyDescent="0.25">
      <c r="A255" s="66">
        <v>32583</v>
      </c>
      <c r="B255" s="51">
        <f>YEAR(Table1[[#This Row],[Date]])</f>
        <v>1989</v>
      </c>
      <c r="C255" s="1">
        <v>1</v>
      </c>
      <c r="D255" t="s">
        <v>461</v>
      </c>
      <c r="E255" s="1">
        <v>13</v>
      </c>
      <c r="F255" t="s">
        <v>272</v>
      </c>
      <c r="G255" t="str">
        <f>VLOOKUP(Table1[[#This Row],[Winner]],Ranking!C:D,2,FALSE)</f>
        <v>CUSA</v>
      </c>
      <c r="H255" s="1">
        <v>97</v>
      </c>
      <c r="I255" s="1">
        <v>4</v>
      </c>
      <c r="J255" t="s">
        <v>207</v>
      </c>
      <c r="K255" t="str">
        <f>VLOOKUP(Table1[[#This Row],[Loser]],Ranking!C:D,2,FALSE)</f>
        <v>ACC</v>
      </c>
      <c r="L255" s="1">
        <v>83</v>
      </c>
      <c r="N255" s="1">
        <f>Table1[[#This Row],[Winning Score]]-Table1[[#This Row],[Losing Score]]</f>
        <v>14</v>
      </c>
      <c r="O255" s="1">
        <f>Table1[[#This Row],[Losing Seed]]-Table1[[#This Row],[Winning Seed]]</f>
        <v>-9</v>
      </c>
      <c r="P255" s="1" t="str">
        <f>IF(Table1[[#This Row],[SeD]]&lt;-2,Table1[[#This Row],[Winning Seed]]&amp; " over " &amp;Table1[[#This Row],[Losing Seed]],"")</f>
        <v>13 over 4</v>
      </c>
      <c r="Q255">
        <f>VLOOKUP(Table1[[#This Row],[Losing Seed]],'Seed History'!$N$4:$O$19,2)</f>
        <v>1.5208333333333333</v>
      </c>
      <c r="R255" s="1">
        <f>IF(Table1[[#This Row],[Round]]="PI",0,Table1[[#This Row],[Round]]-1)</f>
        <v>0</v>
      </c>
      <c r="S255">
        <f>Table1[[#This Row],[LAW]]-Table1[[#This Row],[LEW]]</f>
        <v>-1.5208333333333333</v>
      </c>
    </row>
    <row r="256" spans="1:19" x14ac:dyDescent="0.25">
      <c r="A256" s="66">
        <v>32583</v>
      </c>
      <c r="B256" s="51">
        <f>YEAR(Table1[[#This Row],[Date]])</f>
        <v>1989</v>
      </c>
      <c r="C256" s="1">
        <v>1</v>
      </c>
      <c r="D256" t="s">
        <v>49</v>
      </c>
      <c r="E256" s="1">
        <v>2</v>
      </c>
      <c r="F256" t="s">
        <v>64</v>
      </c>
      <c r="G256" t="str">
        <f>VLOOKUP(Table1[[#This Row],[Winner]],Ranking!C:D,2,FALSE)</f>
        <v>ACC</v>
      </c>
      <c r="H256" s="1">
        <v>90</v>
      </c>
      <c r="I256" s="1">
        <v>15</v>
      </c>
      <c r="J256" t="s">
        <v>355</v>
      </c>
      <c r="K256" t="str">
        <f>VLOOKUP(Table1[[#This Row],[Loser]],Ranking!C:D,2,FALSE)</f>
        <v>MEAC</v>
      </c>
      <c r="L256" s="1">
        <v>69</v>
      </c>
      <c r="N256" s="1">
        <f>Table1[[#This Row],[Winning Score]]-Table1[[#This Row],[Losing Score]]</f>
        <v>21</v>
      </c>
      <c r="O256" s="1">
        <f>Table1[[#This Row],[Losing Seed]]-Table1[[#This Row],[Winning Seed]]</f>
        <v>13</v>
      </c>
      <c r="P256" s="1" t="str">
        <f>IF(Table1[[#This Row],[SeD]]&lt;-2,Table1[[#This Row],[Winning Seed]]&amp; " over " &amp;Table1[[#This Row],[Losing Seed]],"")</f>
        <v/>
      </c>
      <c r="Q256">
        <f>VLOOKUP(Table1[[#This Row],[Losing Seed]],'Seed History'!$N$4:$O$19,2)</f>
        <v>7.6388888888888895E-2</v>
      </c>
      <c r="R256" s="1">
        <f>IF(Table1[[#This Row],[Round]]="PI",0,Table1[[#This Row],[Round]]-1)</f>
        <v>0</v>
      </c>
      <c r="S256">
        <f>Table1[[#This Row],[LAW]]-Table1[[#This Row],[LEW]]</f>
        <v>-7.6388888888888895E-2</v>
      </c>
    </row>
    <row r="257" spans="1:19" x14ac:dyDescent="0.25">
      <c r="A257" s="66">
        <v>32583</v>
      </c>
      <c r="B257" s="51">
        <f>YEAR(Table1[[#This Row],[Date]])</f>
        <v>1989</v>
      </c>
      <c r="C257" s="1">
        <v>1</v>
      </c>
      <c r="D257" t="s">
        <v>49</v>
      </c>
      <c r="E257" s="1">
        <v>7</v>
      </c>
      <c r="F257" t="s">
        <v>412</v>
      </c>
      <c r="G257" t="str">
        <f>VLOOKUP(Table1[[#This Row],[Winner]],Ranking!C:D,2,FALSE)</f>
        <v>B12</v>
      </c>
      <c r="H257" s="1">
        <v>84</v>
      </c>
      <c r="I257" s="1">
        <v>10</v>
      </c>
      <c r="J257" t="s">
        <v>374</v>
      </c>
      <c r="K257" t="str">
        <f>VLOOKUP(Table1[[#This Row],[Loser]],Ranking!C:D,2,FALSE)</f>
        <v>SEC</v>
      </c>
      <c r="L257" s="1">
        <v>68</v>
      </c>
      <c r="N257" s="1">
        <f>Table1[[#This Row],[Winning Score]]-Table1[[#This Row],[Losing Score]]</f>
        <v>16</v>
      </c>
      <c r="O257" s="1">
        <f>Table1[[#This Row],[Losing Seed]]-Table1[[#This Row],[Winning Seed]]</f>
        <v>3</v>
      </c>
      <c r="P257" s="1" t="str">
        <f>IF(Table1[[#This Row],[SeD]]&lt;-2,Table1[[#This Row],[Winning Seed]]&amp; " over " &amp;Table1[[#This Row],[Losing Seed]],"")</f>
        <v/>
      </c>
      <c r="Q257">
        <f>VLOOKUP(Table1[[#This Row],[Losing Seed]],'Seed History'!$N$4:$O$19,2)</f>
        <v>0.61805555555555558</v>
      </c>
      <c r="R257" s="1">
        <f>IF(Table1[[#This Row],[Round]]="PI",0,Table1[[#This Row],[Round]]-1)</f>
        <v>0</v>
      </c>
      <c r="S257">
        <f>Table1[[#This Row],[LAW]]-Table1[[#This Row],[LEW]]</f>
        <v>-0.61805555555555558</v>
      </c>
    </row>
    <row r="258" spans="1:19" x14ac:dyDescent="0.25">
      <c r="A258" s="66">
        <v>32583</v>
      </c>
      <c r="B258" s="51">
        <f>YEAR(Table1[[#This Row],[Date]])</f>
        <v>1989</v>
      </c>
      <c r="C258" s="1">
        <v>1</v>
      </c>
      <c r="D258" t="s">
        <v>439</v>
      </c>
      <c r="E258" s="1">
        <v>1</v>
      </c>
      <c r="F258" t="s">
        <v>230</v>
      </c>
      <c r="G258" t="str">
        <f>VLOOKUP(Table1[[#This Row],[Winner]],Ranking!C:D,2,FALSE)</f>
        <v>B10</v>
      </c>
      <c r="H258" s="1">
        <v>77</v>
      </c>
      <c r="I258" s="1">
        <v>16</v>
      </c>
      <c r="J258" t="s">
        <v>266</v>
      </c>
      <c r="K258" t="str">
        <f>VLOOKUP(Table1[[#This Row],[Loser]],Ranking!C:D,2,FALSE)</f>
        <v>Slnd</v>
      </c>
      <c r="L258" s="1">
        <v>71</v>
      </c>
      <c r="N258" s="1">
        <f>Table1[[#This Row],[Winning Score]]-Table1[[#This Row],[Losing Score]]</f>
        <v>6</v>
      </c>
      <c r="O258" s="1">
        <f>Table1[[#This Row],[Losing Seed]]-Table1[[#This Row],[Winning Seed]]</f>
        <v>15</v>
      </c>
      <c r="P258" s="1" t="str">
        <f>IF(Table1[[#This Row],[SeD]]&lt;-2,Table1[[#This Row],[Winning Seed]]&amp; " over " &amp;Table1[[#This Row],[Losing Seed]],"")</f>
        <v/>
      </c>
      <c r="Q258">
        <f>VLOOKUP(Table1[[#This Row],[Losing Seed]],'Seed History'!$N$4:$O$19,2)</f>
        <v>6.9444444444444441E-3</v>
      </c>
      <c r="R258" s="1">
        <f>IF(Table1[[#This Row],[Round]]="PI",0,Table1[[#This Row],[Round]]-1)</f>
        <v>0</v>
      </c>
      <c r="S258">
        <f>Table1[[#This Row],[LAW]]-Table1[[#This Row],[LEW]]</f>
        <v>-6.9444444444444441E-3</v>
      </c>
    </row>
    <row r="259" spans="1:19" x14ac:dyDescent="0.25">
      <c r="A259" s="66">
        <v>32583</v>
      </c>
      <c r="B259" s="51">
        <f>YEAR(Table1[[#This Row],[Date]])</f>
        <v>1989</v>
      </c>
      <c r="C259" s="1">
        <v>1</v>
      </c>
      <c r="D259" t="s">
        <v>439</v>
      </c>
      <c r="E259" s="1">
        <v>4</v>
      </c>
      <c r="F259" t="s">
        <v>54</v>
      </c>
      <c r="G259" t="str">
        <f>VLOOKUP(Table1[[#This Row],[Winner]],Ranking!C:D,2,FALSE)</f>
        <v>ACC</v>
      </c>
      <c r="H259" s="1">
        <v>76</v>
      </c>
      <c r="I259" s="1">
        <v>13</v>
      </c>
      <c r="J259" t="s">
        <v>472</v>
      </c>
      <c r="K259" t="str">
        <f>VLOOKUP(Table1[[#This Row],[Loser]],Ranking!C:D,2,FALSE)</f>
        <v>SB</v>
      </c>
      <c r="L259" s="1">
        <v>71</v>
      </c>
      <c r="N259" s="1">
        <f>Table1[[#This Row],[Winning Score]]-Table1[[#This Row],[Losing Score]]</f>
        <v>5</v>
      </c>
      <c r="O259" s="1">
        <f>Table1[[#This Row],[Losing Seed]]-Table1[[#This Row],[Winning Seed]]</f>
        <v>9</v>
      </c>
      <c r="P259" s="1" t="str">
        <f>IF(Table1[[#This Row],[SeD]]&lt;-2,Table1[[#This Row],[Winning Seed]]&amp; " over " &amp;Table1[[#This Row],[Losing Seed]],"")</f>
        <v/>
      </c>
      <c r="Q259">
        <f>VLOOKUP(Table1[[#This Row],[Losing Seed]],'Seed History'!$N$4:$O$19,2)</f>
        <v>0.25694444444444442</v>
      </c>
      <c r="R259" s="1">
        <f>IF(Table1[[#This Row],[Round]]="PI",0,Table1[[#This Row],[Round]]-1)</f>
        <v>0</v>
      </c>
      <c r="S259">
        <f>Table1[[#This Row],[LAW]]-Table1[[#This Row],[LEW]]</f>
        <v>-0.25694444444444442</v>
      </c>
    </row>
    <row r="260" spans="1:19" x14ac:dyDescent="0.25">
      <c r="A260" s="66">
        <v>32583</v>
      </c>
      <c r="B260" s="51">
        <f>YEAR(Table1[[#This Row],[Date]])</f>
        <v>1989</v>
      </c>
      <c r="C260" s="1">
        <v>1</v>
      </c>
      <c r="D260" t="s">
        <v>439</v>
      </c>
      <c r="E260" s="1">
        <v>5</v>
      </c>
      <c r="F260" t="s">
        <v>41</v>
      </c>
      <c r="G260" t="str">
        <f>VLOOKUP(Table1[[#This Row],[Winner]],Ranking!C:D,2,FALSE)</f>
        <v>SEC</v>
      </c>
      <c r="H260" s="1">
        <v>120</v>
      </c>
      <c r="I260" s="1">
        <v>12</v>
      </c>
      <c r="J260" t="s">
        <v>258</v>
      </c>
      <c r="K260" t="str">
        <f>VLOOKUP(Table1[[#This Row],[Loser]],Ranking!C:D,2,FALSE)</f>
        <v>WCC</v>
      </c>
      <c r="L260" s="1">
        <v>101</v>
      </c>
      <c r="N260" s="1">
        <f>Table1[[#This Row],[Winning Score]]-Table1[[#This Row],[Losing Score]]</f>
        <v>19</v>
      </c>
      <c r="O260" s="1">
        <f>Table1[[#This Row],[Losing Seed]]-Table1[[#This Row],[Winning Seed]]</f>
        <v>7</v>
      </c>
      <c r="P260" s="1" t="str">
        <f>IF(Table1[[#This Row],[SeD]]&lt;-2,Table1[[#This Row],[Winning Seed]]&amp; " over " &amp;Table1[[#This Row],[Losing Seed]],"")</f>
        <v/>
      </c>
      <c r="Q260">
        <f>VLOOKUP(Table1[[#This Row],[Losing Seed]],'Seed History'!$N$4:$O$19,2)</f>
        <v>0.52083333333333337</v>
      </c>
      <c r="R260" s="1">
        <f>IF(Table1[[#This Row],[Round]]="PI",0,Table1[[#This Row],[Round]]-1)</f>
        <v>0</v>
      </c>
      <c r="S260">
        <f>Table1[[#This Row],[LAW]]-Table1[[#This Row],[LEW]]</f>
        <v>-0.52083333333333337</v>
      </c>
    </row>
    <row r="261" spans="1:19" x14ac:dyDescent="0.25">
      <c r="A261" s="66">
        <v>32583</v>
      </c>
      <c r="B261" s="51">
        <f>YEAR(Table1[[#This Row],[Date]])</f>
        <v>1989</v>
      </c>
      <c r="C261" s="1">
        <v>1</v>
      </c>
      <c r="D261" t="s">
        <v>461</v>
      </c>
      <c r="E261" s="1">
        <v>1</v>
      </c>
      <c r="F261" t="s">
        <v>58</v>
      </c>
      <c r="G261" t="str">
        <f>VLOOKUP(Table1[[#This Row],[Winner]],Ranking!C:D,2,FALSE)</f>
        <v>B12</v>
      </c>
      <c r="H261" s="1">
        <v>72</v>
      </c>
      <c r="I261" s="1">
        <v>16</v>
      </c>
      <c r="J261" t="s">
        <v>192</v>
      </c>
      <c r="K261" t="str">
        <f>VLOOKUP(Table1[[#This Row],[Loser]],Ranking!C:D,2,FALSE)</f>
        <v>SC</v>
      </c>
      <c r="L261" s="1">
        <v>71</v>
      </c>
      <c r="N261" s="1">
        <f>Table1[[#This Row],[Winning Score]]-Table1[[#This Row],[Losing Score]]</f>
        <v>1</v>
      </c>
      <c r="O261" s="1">
        <f>Table1[[#This Row],[Losing Seed]]-Table1[[#This Row],[Winning Seed]]</f>
        <v>15</v>
      </c>
      <c r="P261" s="1" t="str">
        <f>IF(Table1[[#This Row],[SeD]]&lt;-2,Table1[[#This Row],[Winning Seed]]&amp; " over " &amp;Table1[[#This Row],[Losing Seed]],"")</f>
        <v/>
      </c>
      <c r="Q261">
        <f>VLOOKUP(Table1[[#This Row],[Losing Seed]],'Seed History'!$N$4:$O$19,2)</f>
        <v>6.9444444444444441E-3</v>
      </c>
      <c r="R261" s="1">
        <f>IF(Table1[[#This Row],[Round]]="PI",0,Table1[[#This Row],[Round]]-1)</f>
        <v>0</v>
      </c>
      <c r="S261">
        <f>Table1[[#This Row],[LAW]]-Table1[[#This Row],[LEW]]</f>
        <v>-6.9444444444444441E-3</v>
      </c>
    </row>
    <row r="262" spans="1:19" x14ac:dyDescent="0.25">
      <c r="A262" s="66">
        <v>32583</v>
      </c>
      <c r="B262" s="51">
        <f>YEAR(Table1[[#This Row],[Date]])</f>
        <v>1989</v>
      </c>
      <c r="C262" s="1">
        <v>1</v>
      </c>
      <c r="D262" t="s">
        <v>461</v>
      </c>
      <c r="E262" s="1">
        <v>5</v>
      </c>
      <c r="F262" t="s">
        <v>61</v>
      </c>
      <c r="G262" t="str">
        <f>VLOOKUP(Table1[[#This Row],[Winner]],Ranking!C:D,2,FALSE)</f>
        <v>ACC</v>
      </c>
      <c r="H262" s="1">
        <v>100</v>
      </c>
      <c r="I262" s="1">
        <v>12</v>
      </c>
      <c r="J262" t="s">
        <v>56</v>
      </c>
      <c r="K262" t="str">
        <f>VLOOKUP(Table1[[#This Row],[Loser]],Ranking!C:D,2,FALSE)</f>
        <v>BE</v>
      </c>
      <c r="L262" s="1">
        <v>97</v>
      </c>
      <c r="N262" s="1">
        <f>Table1[[#This Row],[Winning Score]]-Table1[[#This Row],[Losing Score]]</f>
        <v>3</v>
      </c>
      <c r="O262" s="1">
        <f>Table1[[#This Row],[Losing Seed]]-Table1[[#This Row],[Winning Seed]]</f>
        <v>7</v>
      </c>
      <c r="P262" s="1" t="str">
        <f>IF(Table1[[#This Row],[SeD]]&lt;-2,Table1[[#This Row],[Winning Seed]]&amp; " over " &amp;Table1[[#This Row],[Losing Seed]],"")</f>
        <v/>
      </c>
      <c r="Q262">
        <f>VLOOKUP(Table1[[#This Row],[Losing Seed]],'Seed History'!$N$4:$O$19,2)</f>
        <v>0.52083333333333337</v>
      </c>
      <c r="R262" s="1">
        <f>IF(Table1[[#This Row],[Round]]="PI",0,Table1[[#This Row],[Round]]-1)</f>
        <v>0</v>
      </c>
      <c r="S262">
        <f>Table1[[#This Row],[LAW]]-Table1[[#This Row],[LEW]]</f>
        <v>-0.52083333333333337</v>
      </c>
    </row>
    <row r="263" spans="1:19" x14ac:dyDescent="0.25">
      <c r="A263" s="66">
        <v>32583</v>
      </c>
      <c r="B263" s="51">
        <f>YEAR(Table1[[#This Row],[Date]])</f>
        <v>1989</v>
      </c>
      <c r="C263" s="1">
        <v>1</v>
      </c>
      <c r="D263" t="s">
        <v>38</v>
      </c>
      <c r="E263" s="1">
        <v>1</v>
      </c>
      <c r="F263" t="s">
        <v>48</v>
      </c>
      <c r="G263" t="str">
        <f>VLOOKUP(Table1[[#This Row],[Winner]],Ranking!C:D,2,FALSE)</f>
        <v>P12</v>
      </c>
      <c r="H263" s="1">
        <v>94</v>
      </c>
      <c r="I263" s="1">
        <v>16</v>
      </c>
      <c r="J263" t="s">
        <v>333</v>
      </c>
      <c r="K263" t="str">
        <f>VLOOKUP(Table1[[#This Row],[Loser]],Ranking!C:D,2,FALSE)</f>
        <v>Horz</v>
      </c>
      <c r="L263" s="1">
        <v>60</v>
      </c>
      <c r="N263" s="1">
        <f>Table1[[#This Row],[Winning Score]]-Table1[[#This Row],[Losing Score]]</f>
        <v>34</v>
      </c>
      <c r="O263" s="1">
        <f>Table1[[#This Row],[Losing Seed]]-Table1[[#This Row],[Winning Seed]]</f>
        <v>15</v>
      </c>
      <c r="P263" s="1" t="str">
        <f>IF(Table1[[#This Row],[SeD]]&lt;-2,Table1[[#This Row],[Winning Seed]]&amp; " over " &amp;Table1[[#This Row],[Losing Seed]],"")</f>
        <v/>
      </c>
      <c r="Q263">
        <f>VLOOKUP(Table1[[#This Row],[Losing Seed]],'Seed History'!$N$4:$O$19,2)</f>
        <v>6.9444444444444441E-3</v>
      </c>
      <c r="R263" s="1">
        <f>IF(Table1[[#This Row],[Round]]="PI",0,Table1[[#This Row],[Round]]-1)</f>
        <v>0</v>
      </c>
      <c r="S263">
        <f>Table1[[#This Row],[LAW]]-Table1[[#This Row],[LEW]]</f>
        <v>-6.9444444444444441E-3</v>
      </c>
    </row>
    <row r="264" spans="1:19" x14ac:dyDescent="0.25">
      <c r="A264" s="66">
        <v>32583</v>
      </c>
      <c r="B264" s="51">
        <f>YEAR(Table1[[#This Row],[Date]])</f>
        <v>1989</v>
      </c>
      <c r="C264" s="1">
        <v>1</v>
      </c>
      <c r="D264" t="s">
        <v>38</v>
      </c>
      <c r="E264" s="1">
        <v>4</v>
      </c>
      <c r="F264" t="s">
        <v>396</v>
      </c>
      <c r="G264" t="str">
        <f>VLOOKUP(Table1[[#This Row],[Winner]],Ranking!C:D,2,FALSE)</f>
        <v>MWC</v>
      </c>
      <c r="H264" s="1">
        <v>68</v>
      </c>
      <c r="I264" s="1">
        <v>13</v>
      </c>
      <c r="J264" t="s">
        <v>228</v>
      </c>
      <c r="K264" t="str">
        <f>VLOOKUP(Table1[[#This Row],[Loser]],Ranking!C:D,2,FALSE)</f>
        <v>BSky</v>
      </c>
      <c r="L264" s="1">
        <v>56</v>
      </c>
      <c r="N264" s="1">
        <f>Table1[[#This Row],[Winning Score]]-Table1[[#This Row],[Losing Score]]</f>
        <v>12</v>
      </c>
      <c r="O264" s="1">
        <f>Table1[[#This Row],[Losing Seed]]-Table1[[#This Row],[Winning Seed]]</f>
        <v>9</v>
      </c>
      <c r="P264" s="1" t="str">
        <f>IF(Table1[[#This Row],[SeD]]&lt;-2,Table1[[#This Row],[Winning Seed]]&amp; " over " &amp;Table1[[#This Row],[Losing Seed]],"")</f>
        <v/>
      </c>
      <c r="Q264">
        <f>VLOOKUP(Table1[[#This Row],[Losing Seed]],'Seed History'!$N$4:$O$19,2)</f>
        <v>0.25694444444444442</v>
      </c>
      <c r="R264" s="1">
        <f>IF(Table1[[#This Row],[Round]]="PI",0,Table1[[#This Row],[Round]]-1)</f>
        <v>0</v>
      </c>
      <c r="S264">
        <f>Table1[[#This Row],[LAW]]-Table1[[#This Row],[LEW]]</f>
        <v>-0.25694444444444442</v>
      </c>
    </row>
    <row r="265" spans="1:19" x14ac:dyDescent="0.25">
      <c r="A265" s="66">
        <v>32583</v>
      </c>
      <c r="B265" s="51">
        <f>YEAR(Table1[[#This Row],[Date]])</f>
        <v>1989</v>
      </c>
      <c r="C265" s="1">
        <v>1</v>
      </c>
      <c r="D265" t="s">
        <v>38</v>
      </c>
      <c r="E265" s="1">
        <v>12</v>
      </c>
      <c r="F265" t="s">
        <v>186</v>
      </c>
      <c r="G265" t="str">
        <f>VLOOKUP(Table1[[#This Row],[Winner]],Ranking!C:D,2,FALSE)</f>
        <v>BE</v>
      </c>
      <c r="H265" s="1">
        <v>66</v>
      </c>
      <c r="I265" s="1">
        <v>5</v>
      </c>
      <c r="J265" t="s">
        <v>267</v>
      </c>
      <c r="K265" t="str">
        <f>VLOOKUP(Table1[[#This Row],[Loser]],Ranking!C:D,2,FALSE)</f>
        <v>Amer</v>
      </c>
      <c r="L265" s="1">
        <v>63</v>
      </c>
      <c r="N265" s="1">
        <f>Table1[[#This Row],[Winning Score]]-Table1[[#This Row],[Losing Score]]</f>
        <v>3</v>
      </c>
      <c r="O265" s="1">
        <f>Table1[[#This Row],[Losing Seed]]-Table1[[#This Row],[Winning Seed]]</f>
        <v>-7</v>
      </c>
      <c r="P265" s="1" t="str">
        <f>IF(Table1[[#This Row],[SeD]]&lt;-2,Table1[[#This Row],[Winning Seed]]&amp; " over " &amp;Table1[[#This Row],[Losing Seed]],"")</f>
        <v>12 over 5</v>
      </c>
      <c r="Q265">
        <f>VLOOKUP(Table1[[#This Row],[Losing Seed]],'Seed History'!$N$4:$O$19,2)</f>
        <v>1.1180555555555556</v>
      </c>
      <c r="R265" s="1">
        <f>IF(Table1[[#This Row],[Round]]="PI",0,Table1[[#This Row],[Round]]-1)</f>
        <v>0</v>
      </c>
      <c r="S265">
        <f>Table1[[#This Row],[LAW]]-Table1[[#This Row],[LEW]]</f>
        <v>-1.1180555555555556</v>
      </c>
    </row>
    <row r="266" spans="1:19" x14ac:dyDescent="0.25">
      <c r="A266" s="66">
        <v>32583</v>
      </c>
      <c r="B266" s="51">
        <f>YEAR(Table1[[#This Row],[Date]])</f>
        <v>1989</v>
      </c>
      <c r="C266" s="1">
        <v>1</v>
      </c>
      <c r="D266" t="s">
        <v>49</v>
      </c>
      <c r="E266" s="1">
        <v>11</v>
      </c>
      <c r="F266" t="s">
        <v>274</v>
      </c>
      <c r="G266" t="str">
        <f>VLOOKUP(Table1[[#This Row],[Winner]],Ranking!C:D,2,FALSE)</f>
        <v>B10</v>
      </c>
      <c r="H266" s="1">
        <v>86</v>
      </c>
      <c r="I266" s="1">
        <v>6</v>
      </c>
      <c r="J266" t="s">
        <v>243</v>
      </c>
      <c r="K266" t="str">
        <f>VLOOKUP(Table1[[#This Row],[Loser]],Ranking!C:D,2,FALSE)</f>
        <v>B12</v>
      </c>
      <c r="L266" s="1">
        <v>75</v>
      </c>
      <c r="N266" s="1">
        <f>Table1[[#This Row],[Winning Score]]-Table1[[#This Row],[Losing Score]]</f>
        <v>11</v>
      </c>
      <c r="O266" s="1">
        <f>Table1[[#This Row],[Losing Seed]]-Table1[[#This Row],[Winning Seed]]</f>
        <v>-5</v>
      </c>
      <c r="P266" s="1" t="str">
        <f>IF(Table1[[#This Row],[SeD]]&lt;-2,Table1[[#This Row],[Winning Seed]]&amp; " over " &amp;Table1[[#This Row],[Losing Seed]],"")</f>
        <v>11 over 6</v>
      </c>
      <c r="Q266">
        <f>VLOOKUP(Table1[[#This Row],[Losing Seed]],'Seed History'!$N$4:$O$19,2)</f>
        <v>1.0625</v>
      </c>
      <c r="R266" s="1">
        <f>IF(Table1[[#This Row],[Round]]="PI",0,Table1[[#This Row],[Round]]-1)</f>
        <v>0</v>
      </c>
      <c r="S266">
        <f>Table1[[#This Row],[LAW]]-Table1[[#This Row],[LEW]]</f>
        <v>-1.0625</v>
      </c>
    </row>
    <row r="267" spans="1:19" x14ac:dyDescent="0.25">
      <c r="A267" s="66">
        <v>32583</v>
      </c>
      <c r="B267" s="51">
        <f>YEAR(Table1[[#This Row],[Date]])</f>
        <v>1989</v>
      </c>
      <c r="C267" s="1">
        <v>1</v>
      </c>
      <c r="D267" t="s">
        <v>439</v>
      </c>
      <c r="E267" s="1">
        <v>9</v>
      </c>
      <c r="F267" t="s">
        <v>132</v>
      </c>
      <c r="G267" t="str">
        <f>VLOOKUP(Table1[[#This Row],[Winner]],Ranking!C:D,2,FALSE)</f>
        <v>MAC</v>
      </c>
      <c r="H267" s="1">
        <v>68</v>
      </c>
      <c r="I267" s="1">
        <v>8</v>
      </c>
      <c r="J267" t="s">
        <v>83</v>
      </c>
      <c r="K267" t="str">
        <f>VLOOKUP(Table1[[#This Row],[Loser]],Ranking!C:D,2,FALSE)</f>
        <v>ACC</v>
      </c>
      <c r="L267" s="1">
        <v>64</v>
      </c>
      <c r="N267" s="1">
        <f>Table1[[#This Row],[Winning Score]]-Table1[[#This Row],[Losing Score]]</f>
        <v>4</v>
      </c>
      <c r="O267" s="1">
        <f>Table1[[#This Row],[Losing Seed]]-Table1[[#This Row],[Winning Seed]]</f>
        <v>-1</v>
      </c>
      <c r="P267" s="1" t="str">
        <f>IF(Table1[[#This Row],[SeD]]&lt;-2,Table1[[#This Row],[Winning Seed]]&amp; " over " &amp;Table1[[#This Row],[Losing Seed]],"")</f>
        <v/>
      </c>
      <c r="Q267">
        <f>VLOOKUP(Table1[[#This Row],[Losing Seed]],'Seed History'!$N$4:$O$19,2)</f>
        <v>0.70833333333333337</v>
      </c>
      <c r="R267" s="1">
        <f>IF(Table1[[#This Row],[Round]]="PI",0,Table1[[#This Row],[Round]]-1)</f>
        <v>0</v>
      </c>
      <c r="S267">
        <f>Table1[[#This Row],[LAW]]-Table1[[#This Row],[LEW]]</f>
        <v>-0.70833333333333337</v>
      </c>
    </row>
    <row r="268" spans="1:19" x14ac:dyDescent="0.25">
      <c r="A268" s="66">
        <v>32583</v>
      </c>
      <c r="B268" s="51">
        <f>YEAR(Table1[[#This Row],[Date]])</f>
        <v>1989</v>
      </c>
      <c r="C268" s="1">
        <v>1</v>
      </c>
      <c r="D268" t="s">
        <v>461</v>
      </c>
      <c r="E268" s="1">
        <v>9</v>
      </c>
      <c r="F268" t="s">
        <v>256</v>
      </c>
      <c r="G268" t="str">
        <f>VLOOKUP(Table1[[#This Row],[Winner]],Ranking!C:D,2,FALSE)</f>
        <v>CUSA</v>
      </c>
      <c r="H268" s="1">
        <v>83</v>
      </c>
      <c r="I268" s="1">
        <v>8</v>
      </c>
      <c r="J268" t="s">
        <v>246</v>
      </c>
      <c r="K268" t="str">
        <f>VLOOKUP(Table1[[#This Row],[Loser]],Ranking!C:D,2,FALSE)</f>
        <v>A10</v>
      </c>
      <c r="L268" s="1">
        <v>74</v>
      </c>
      <c r="N268" s="1">
        <f>Table1[[#This Row],[Winning Score]]-Table1[[#This Row],[Losing Score]]</f>
        <v>9</v>
      </c>
      <c r="O268" s="1">
        <f>Table1[[#This Row],[Losing Seed]]-Table1[[#This Row],[Winning Seed]]</f>
        <v>-1</v>
      </c>
      <c r="P268" s="1" t="str">
        <f>IF(Table1[[#This Row],[SeD]]&lt;-2,Table1[[#This Row],[Winning Seed]]&amp; " over " &amp;Table1[[#This Row],[Losing Seed]],"")</f>
        <v/>
      </c>
      <c r="Q268">
        <f>VLOOKUP(Table1[[#This Row],[Losing Seed]],'Seed History'!$N$4:$O$19,2)</f>
        <v>0.70833333333333337</v>
      </c>
      <c r="R268" s="1">
        <f>IF(Table1[[#This Row],[Round]]="PI",0,Table1[[#This Row],[Round]]-1)</f>
        <v>0</v>
      </c>
      <c r="S268">
        <f>Table1[[#This Row],[LAW]]-Table1[[#This Row],[LEW]]</f>
        <v>-0.70833333333333337</v>
      </c>
    </row>
    <row r="269" spans="1:19" x14ac:dyDescent="0.25">
      <c r="A269" s="66">
        <v>32583</v>
      </c>
      <c r="B269" s="51">
        <f>YEAR(Table1[[#This Row],[Date]])</f>
        <v>1989</v>
      </c>
      <c r="C269" s="1">
        <v>1</v>
      </c>
      <c r="D269" t="s">
        <v>38</v>
      </c>
      <c r="E269" s="1">
        <v>9</v>
      </c>
      <c r="F269" t="s">
        <v>89</v>
      </c>
      <c r="G269" t="str">
        <f>VLOOKUP(Table1[[#This Row],[Winner]],Ranking!C:D,2,FALSE)</f>
        <v>ACC</v>
      </c>
      <c r="H269" s="1">
        <v>83</v>
      </c>
      <c r="I269" s="1">
        <v>8</v>
      </c>
      <c r="J269" t="s">
        <v>339</v>
      </c>
      <c r="K269" t="str">
        <f>VLOOKUP(Table1[[#This Row],[Loser]],Ranking!C:D,2,FALSE)</f>
        <v>WCC</v>
      </c>
      <c r="L269" s="1">
        <v>70</v>
      </c>
      <c r="N269" s="1">
        <f>Table1[[#This Row],[Winning Score]]-Table1[[#This Row],[Losing Score]]</f>
        <v>13</v>
      </c>
      <c r="O269" s="1">
        <f>Table1[[#This Row],[Losing Seed]]-Table1[[#This Row],[Winning Seed]]</f>
        <v>-1</v>
      </c>
      <c r="P269" s="1" t="str">
        <f>IF(Table1[[#This Row],[SeD]]&lt;-2,Table1[[#This Row],[Winning Seed]]&amp; " over " &amp;Table1[[#This Row],[Losing Seed]],"")</f>
        <v/>
      </c>
      <c r="Q269">
        <f>VLOOKUP(Table1[[#This Row],[Losing Seed]],'Seed History'!$N$4:$O$19,2)</f>
        <v>0.70833333333333337</v>
      </c>
      <c r="R269" s="1">
        <f>IF(Table1[[#This Row],[Round]]="PI",0,Table1[[#This Row],[Round]]-1)</f>
        <v>0</v>
      </c>
      <c r="S269">
        <f>Table1[[#This Row],[LAW]]-Table1[[#This Row],[LEW]]</f>
        <v>-0.70833333333333337</v>
      </c>
    </row>
    <row r="270" spans="1:19" x14ac:dyDescent="0.25">
      <c r="A270" s="66">
        <v>32584</v>
      </c>
      <c r="B270" s="51">
        <f>YEAR(Table1[[#This Row],[Date]])</f>
        <v>1989</v>
      </c>
      <c r="C270" s="1">
        <v>1</v>
      </c>
      <c r="D270" t="s">
        <v>49</v>
      </c>
      <c r="E270" s="1">
        <v>1</v>
      </c>
      <c r="F270" t="s">
        <v>66</v>
      </c>
      <c r="G270" t="str">
        <f>VLOOKUP(Table1[[#This Row],[Winner]],Ranking!C:D,2,FALSE)</f>
        <v>BE</v>
      </c>
      <c r="H270" s="1">
        <v>50</v>
      </c>
      <c r="I270" s="1">
        <v>16</v>
      </c>
      <c r="J270" t="s">
        <v>91</v>
      </c>
      <c r="K270" t="str">
        <f>VLOOKUP(Table1[[#This Row],[Loser]],Ranking!C:D,2,FALSE)</f>
        <v>Ivy</v>
      </c>
      <c r="L270" s="1">
        <v>49</v>
      </c>
      <c r="N270" s="1">
        <f>Table1[[#This Row],[Winning Score]]-Table1[[#This Row],[Losing Score]]</f>
        <v>1</v>
      </c>
      <c r="O270" s="1">
        <f>Table1[[#This Row],[Losing Seed]]-Table1[[#This Row],[Winning Seed]]</f>
        <v>15</v>
      </c>
      <c r="P270" s="1" t="str">
        <f>IF(Table1[[#This Row],[SeD]]&lt;-2,Table1[[#This Row],[Winning Seed]]&amp; " over " &amp;Table1[[#This Row],[Losing Seed]],"")</f>
        <v/>
      </c>
      <c r="Q270">
        <f>VLOOKUP(Table1[[#This Row],[Losing Seed]],'Seed History'!$N$4:$O$19,2)</f>
        <v>6.9444444444444441E-3</v>
      </c>
      <c r="R270" s="1">
        <f>IF(Table1[[#This Row],[Round]]="PI",0,Table1[[#This Row],[Round]]-1)</f>
        <v>0</v>
      </c>
      <c r="S270">
        <f>Table1[[#This Row],[LAW]]-Table1[[#This Row],[LEW]]</f>
        <v>-6.9444444444444441E-3</v>
      </c>
    </row>
    <row r="271" spans="1:19" x14ac:dyDescent="0.25">
      <c r="A271" s="66">
        <v>32584</v>
      </c>
      <c r="B271" s="51">
        <f>YEAR(Table1[[#This Row],[Date]])</f>
        <v>1989</v>
      </c>
      <c r="C271" s="1">
        <v>1</v>
      </c>
      <c r="D271" t="s">
        <v>49</v>
      </c>
      <c r="E271" s="1">
        <v>4</v>
      </c>
      <c r="F271" t="s">
        <v>69</v>
      </c>
      <c r="G271" t="str">
        <f>VLOOKUP(Table1[[#This Row],[Winner]],Ranking!C:D,2,FALSE)</f>
        <v>B10</v>
      </c>
      <c r="H271" s="1">
        <v>87</v>
      </c>
      <c r="I271" s="1">
        <v>13</v>
      </c>
      <c r="J271" t="s">
        <v>334</v>
      </c>
      <c r="K271" t="str">
        <f>VLOOKUP(Table1[[#This Row],[Loser]],Ranking!C:D,2,FALSE)</f>
        <v>B10</v>
      </c>
      <c r="L271" s="1">
        <v>73</v>
      </c>
      <c r="N271" s="1">
        <f>Table1[[#This Row],[Winning Score]]-Table1[[#This Row],[Losing Score]]</f>
        <v>14</v>
      </c>
      <c r="O271" s="1">
        <f>Table1[[#This Row],[Losing Seed]]-Table1[[#This Row],[Winning Seed]]</f>
        <v>9</v>
      </c>
      <c r="P271" s="1" t="str">
        <f>IF(Table1[[#This Row],[SeD]]&lt;-2,Table1[[#This Row],[Winning Seed]]&amp; " over " &amp;Table1[[#This Row],[Losing Seed]],"")</f>
        <v/>
      </c>
      <c r="Q271">
        <f>VLOOKUP(Table1[[#This Row],[Losing Seed]],'Seed History'!$N$4:$O$19,2)</f>
        <v>0.25694444444444442</v>
      </c>
      <c r="R271" s="1">
        <f>IF(Table1[[#This Row],[Round]]="PI",0,Table1[[#This Row],[Round]]-1)</f>
        <v>0</v>
      </c>
      <c r="S271">
        <f>Table1[[#This Row],[LAW]]-Table1[[#This Row],[LEW]]</f>
        <v>-0.25694444444444442</v>
      </c>
    </row>
    <row r="272" spans="1:19" x14ac:dyDescent="0.25">
      <c r="A272" s="66">
        <v>32584</v>
      </c>
      <c r="B272" s="51">
        <f>YEAR(Table1[[#This Row],[Date]])</f>
        <v>1989</v>
      </c>
      <c r="C272" s="1">
        <v>1</v>
      </c>
      <c r="D272" t="s">
        <v>49</v>
      </c>
      <c r="E272" s="1">
        <v>5</v>
      </c>
      <c r="F272" t="s">
        <v>301</v>
      </c>
      <c r="G272" t="e">
        <f>VLOOKUP(Table1[[#This Row],[Winner]],Ranking!C:D,2,FALSE)</f>
        <v>#N/A</v>
      </c>
      <c r="H272" s="1">
        <v>81</v>
      </c>
      <c r="I272" s="1">
        <v>12</v>
      </c>
      <c r="J272" t="s">
        <v>354</v>
      </c>
      <c r="K272" t="str">
        <f>VLOOKUP(Table1[[#This Row],[Loser]],Ranking!C:D,2,FALSE)</f>
        <v>SEC</v>
      </c>
      <c r="L272" s="1">
        <v>66</v>
      </c>
      <c r="N272" s="1">
        <f>Table1[[#This Row],[Winning Score]]-Table1[[#This Row],[Losing Score]]</f>
        <v>15</v>
      </c>
      <c r="O272" s="1">
        <f>Table1[[#This Row],[Losing Seed]]-Table1[[#This Row],[Winning Seed]]</f>
        <v>7</v>
      </c>
      <c r="P272" s="1" t="str">
        <f>IF(Table1[[#This Row],[SeD]]&lt;-2,Table1[[#This Row],[Winning Seed]]&amp; " over " &amp;Table1[[#This Row],[Losing Seed]],"")</f>
        <v/>
      </c>
      <c r="Q272">
        <f>VLOOKUP(Table1[[#This Row],[Losing Seed]],'Seed History'!$N$4:$O$19,2)</f>
        <v>0.52083333333333337</v>
      </c>
      <c r="R272" s="1">
        <f>IF(Table1[[#This Row],[Round]]="PI",0,Table1[[#This Row],[Round]]-1)</f>
        <v>0</v>
      </c>
      <c r="S272">
        <f>Table1[[#This Row],[LAW]]-Table1[[#This Row],[LEW]]</f>
        <v>-0.52083333333333337</v>
      </c>
    </row>
    <row r="273" spans="1:19" x14ac:dyDescent="0.25">
      <c r="A273" s="66">
        <v>32584</v>
      </c>
      <c r="B273" s="51">
        <f>YEAR(Table1[[#This Row],[Date]])</f>
        <v>1989</v>
      </c>
      <c r="C273" s="1">
        <v>1</v>
      </c>
      <c r="D273" t="s">
        <v>439</v>
      </c>
      <c r="E273" s="1">
        <v>2</v>
      </c>
      <c r="F273" t="s">
        <v>86</v>
      </c>
      <c r="G273" t="str">
        <f>VLOOKUP(Table1[[#This Row],[Winner]],Ranking!C:D,2,FALSE)</f>
        <v>ACC</v>
      </c>
      <c r="H273" s="1">
        <v>104</v>
      </c>
      <c r="I273" s="1">
        <v>15</v>
      </c>
      <c r="J273" t="s">
        <v>148</v>
      </c>
      <c r="K273" t="str">
        <f>VLOOKUP(Table1[[#This Row],[Loser]],Ranking!C:D,2,FALSE)</f>
        <v>Pat</v>
      </c>
      <c r="L273" s="1">
        <v>81</v>
      </c>
      <c r="N273" s="1">
        <f>Table1[[#This Row],[Winning Score]]-Table1[[#This Row],[Losing Score]]</f>
        <v>23</v>
      </c>
      <c r="O273" s="1">
        <f>Table1[[#This Row],[Losing Seed]]-Table1[[#This Row],[Winning Seed]]</f>
        <v>13</v>
      </c>
      <c r="P273" s="1" t="str">
        <f>IF(Table1[[#This Row],[SeD]]&lt;-2,Table1[[#This Row],[Winning Seed]]&amp; " over " &amp;Table1[[#This Row],[Losing Seed]],"")</f>
        <v/>
      </c>
      <c r="Q273">
        <f>VLOOKUP(Table1[[#This Row],[Losing Seed]],'Seed History'!$N$4:$O$19,2)</f>
        <v>7.6388888888888895E-2</v>
      </c>
      <c r="R273" s="1">
        <f>IF(Table1[[#This Row],[Round]]="PI",0,Table1[[#This Row],[Round]]-1)</f>
        <v>0</v>
      </c>
      <c r="S273">
        <f>Table1[[#This Row],[LAW]]-Table1[[#This Row],[LEW]]</f>
        <v>-7.6388888888888895E-2</v>
      </c>
    </row>
    <row r="274" spans="1:19" x14ac:dyDescent="0.25">
      <c r="A274" s="66">
        <v>32584</v>
      </c>
      <c r="B274" s="51">
        <f>YEAR(Table1[[#This Row],[Date]])</f>
        <v>1989</v>
      </c>
      <c r="C274" s="1">
        <v>1</v>
      </c>
      <c r="D274" t="s">
        <v>439</v>
      </c>
      <c r="E274" s="1">
        <v>3</v>
      </c>
      <c r="F274" t="s">
        <v>277</v>
      </c>
      <c r="G274" t="str">
        <f>VLOOKUP(Table1[[#This Row],[Winner]],Ranking!C:D,2,FALSE)</f>
        <v>SEC</v>
      </c>
      <c r="H274" s="1">
        <v>85</v>
      </c>
      <c r="I274" s="1">
        <v>14</v>
      </c>
      <c r="J274" t="s">
        <v>88</v>
      </c>
      <c r="K274" t="str">
        <f>VLOOKUP(Table1[[#This Row],[Loser]],Ranking!C:D,2,FALSE)</f>
        <v>BE</v>
      </c>
      <c r="L274" s="1">
        <v>69</v>
      </c>
      <c r="N274" s="1">
        <f>Table1[[#This Row],[Winning Score]]-Table1[[#This Row],[Losing Score]]</f>
        <v>16</v>
      </c>
      <c r="O274" s="1">
        <f>Table1[[#This Row],[Losing Seed]]-Table1[[#This Row],[Winning Seed]]</f>
        <v>11</v>
      </c>
      <c r="P274" s="1" t="str">
        <f>IF(Table1[[#This Row],[SeD]]&lt;-2,Table1[[#This Row],[Winning Seed]]&amp; " over " &amp;Table1[[#This Row],[Losing Seed]],"")</f>
        <v/>
      </c>
      <c r="Q274">
        <f>VLOOKUP(Table1[[#This Row],[Losing Seed]],'Seed History'!$N$4:$O$19,2)</f>
        <v>0.16666666666666666</v>
      </c>
      <c r="R274" s="1">
        <f>IF(Table1[[#This Row],[Round]]="PI",0,Table1[[#This Row],[Round]]-1)</f>
        <v>0</v>
      </c>
      <c r="S274">
        <f>Table1[[#This Row],[LAW]]-Table1[[#This Row],[LEW]]</f>
        <v>-0.16666666666666666</v>
      </c>
    </row>
    <row r="275" spans="1:19" x14ac:dyDescent="0.25">
      <c r="A275" s="66">
        <v>32584</v>
      </c>
      <c r="B275" s="51">
        <f>YEAR(Table1[[#This Row],[Date]])</f>
        <v>1989</v>
      </c>
      <c r="C275" s="1">
        <v>1</v>
      </c>
      <c r="D275" t="s">
        <v>461</v>
      </c>
      <c r="E275" s="1">
        <v>2</v>
      </c>
      <c r="F275" t="s">
        <v>298</v>
      </c>
      <c r="G275" t="str">
        <f>VLOOKUP(Table1[[#This Row],[Winner]],Ranking!C:D,2,FALSE)</f>
        <v>ACC</v>
      </c>
      <c r="H275" s="1">
        <v>93</v>
      </c>
      <c r="I275" s="1">
        <v>15</v>
      </c>
      <c r="J275" t="s">
        <v>361</v>
      </c>
      <c r="K275" t="str">
        <f>VLOOKUP(Table1[[#This Row],[Loser]],Ranking!C:D,2,FALSE)</f>
        <v>SWAC</v>
      </c>
      <c r="L275" s="1">
        <v>79</v>
      </c>
      <c r="N275" s="1">
        <f>Table1[[#This Row],[Winning Score]]-Table1[[#This Row],[Losing Score]]</f>
        <v>14</v>
      </c>
      <c r="O275" s="1">
        <f>Table1[[#This Row],[Losing Seed]]-Table1[[#This Row],[Winning Seed]]</f>
        <v>13</v>
      </c>
      <c r="P275" s="1" t="str">
        <f>IF(Table1[[#This Row],[SeD]]&lt;-2,Table1[[#This Row],[Winning Seed]]&amp; " over " &amp;Table1[[#This Row],[Losing Seed]],"")</f>
        <v/>
      </c>
      <c r="Q275">
        <f>VLOOKUP(Table1[[#This Row],[Losing Seed]],'Seed History'!$N$4:$O$19,2)</f>
        <v>7.6388888888888895E-2</v>
      </c>
      <c r="R275" s="1">
        <f>IF(Table1[[#This Row],[Round]]="PI",0,Table1[[#This Row],[Round]]-1)</f>
        <v>0</v>
      </c>
      <c r="S275">
        <f>Table1[[#This Row],[LAW]]-Table1[[#This Row],[LEW]]</f>
        <v>-7.6388888888888895E-2</v>
      </c>
    </row>
    <row r="276" spans="1:19" x14ac:dyDescent="0.25">
      <c r="A276" s="66">
        <v>32584</v>
      </c>
      <c r="B276" s="51">
        <f>YEAR(Table1[[#This Row],[Date]])</f>
        <v>1989</v>
      </c>
      <c r="C276" s="1">
        <v>1</v>
      </c>
      <c r="D276" t="s">
        <v>461</v>
      </c>
      <c r="E276" s="1">
        <v>3</v>
      </c>
      <c r="F276" t="s">
        <v>82</v>
      </c>
      <c r="G276" t="str">
        <f>VLOOKUP(Table1[[#This Row],[Winner]],Ranking!C:D,2,FALSE)</f>
        <v>B10</v>
      </c>
      <c r="H276" s="1">
        <v>92</v>
      </c>
      <c r="I276" s="1">
        <v>14</v>
      </c>
      <c r="J276" t="s">
        <v>44</v>
      </c>
      <c r="K276" t="str">
        <f>VLOOKUP(Table1[[#This Row],[Loser]],Ranking!C:D,2,FALSE)</f>
        <v>BE</v>
      </c>
      <c r="L276" s="1">
        <v>87</v>
      </c>
      <c r="N276" s="1">
        <f>Table1[[#This Row],[Winning Score]]-Table1[[#This Row],[Losing Score]]</f>
        <v>5</v>
      </c>
      <c r="O276" s="1">
        <f>Table1[[#This Row],[Losing Seed]]-Table1[[#This Row],[Winning Seed]]</f>
        <v>11</v>
      </c>
      <c r="P276" s="1" t="str">
        <f>IF(Table1[[#This Row],[SeD]]&lt;-2,Table1[[#This Row],[Winning Seed]]&amp; " over " &amp;Table1[[#This Row],[Losing Seed]],"")</f>
        <v/>
      </c>
      <c r="Q276">
        <f>VLOOKUP(Table1[[#This Row],[Losing Seed]],'Seed History'!$N$4:$O$19,2)</f>
        <v>0.16666666666666666</v>
      </c>
      <c r="R276" s="1">
        <f>IF(Table1[[#This Row],[Round]]="PI",0,Table1[[#This Row],[Round]]-1)</f>
        <v>0</v>
      </c>
      <c r="S276">
        <f>Table1[[#This Row],[LAW]]-Table1[[#This Row],[LEW]]</f>
        <v>-0.16666666666666666</v>
      </c>
    </row>
    <row r="277" spans="1:19" x14ac:dyDescent="0.25">
      <c r="A277" s="66">
        <v>32584</v>
      </c>
      <c r="B277" s="51">
        <f>YEAR(Table1[[#This Row],[Date]])</f>
        <v>1989</v>
      </c>
      <c r="C277" s="1">
        <v>1</v>
      </c>
      <c r="D277" t="s">
        <v>461</v>
      </c>
      <c r="E277" s="1">
        <v>7</v>
      </c>
      <c r="F277" t="s">
        <v>67</v>
      </c>
      <c r="G277" t="str">
        <f>VLOOKUP(Table1[[#This Row],[Winner]],Ranking!C:D,2,FALSE)</f>
        <v>P12</v>
      </c>
      <c r="H277" s="1">
        <v>84</v>
      </c>
      <c r="I277" s="1">
        <v>10</v>
      </c>
      <c r="J277" t="s">
        <v>237</v>
      </c>
      <c r="K277" t="str">
        <f>VLOOKUP(Table1[[#This Row],[Loser]],Ranking!C:D,2,FALSE)</f>
        <v>B12</v>
      </c>
      <c r="L277" s="1">
        <v>74</v>
      </c>
      <c r="N277" s="1">
        <f>Table1[[#This Row],[Winning Score]]-Table1[[#This Row],[Losing Score]]</f>
        <v>10</v>
      </c>
      <c r="O277" s="1">
        <f>Table1[[#This Row],[Losing Seed]]-Table1[[#This Row],[Winning Seed]]</f>
        <v>3</v>
      </c>
      <c r="P277" s="1" t="str">
        <f>IF(Table1[[#This Row],[SeD]]&lt;-2,Table1[[#This Row],[Winning Seed]]&amp; " over " &amp;Table1[[#This Row],[Losing Seed]],"")</f>
        <v/>
      </c>
      <c r="Q277">
        <f>VLOOKUP(Table1[[#This Row],[Losing Seed]],'Seed History'!$N$4:$O$19,2)</f>
        <v>0.61805555555555558</v>
      </c>
      <c r="R277" s="1">
        <f>IF(Table1[[#This Row],[Round]]="PI",0,Table1[[#This Row],[Round]]-1)</f>
        <v>0</v>
      </c>
      <c r="S277">
        <f>Table1[[#This Row],[LAW]]-Table1[[#This Row],[LEW]]</f>
        <v>-0.61805555555555558</v>
      </c>
    </row>
    <row r="278" spans="1:19" x14ac:dyDescent="0.25">
      <c r="A278" s="66">
        <v>32584</v>
      </c>
      <c r="B278" s="51">
        <f>YEAR(Table1[[#This Row],[Date]])</f>
        <v>1989</v>
      </c>
      <c r="C278" s="1">
        <v>1</v>
      </c>
      <c r="D278" t="s">
        <v>38</v>
      </c>
      <c r="E278" s="1">
        <v>2</v>
      </c>
      <c r="F278" t="s">
        <v>36</v>
      </c>
      <c r="G278" t="str">
        <f>VLOOKUP(Table1[[#This Row],[Winner]],Ranking!C:D,2,FALSE)</f>
        <v>B10</v>
      </c>
      <c r="H278" s="1">
        <v>99</v>
      </c>
      <c r="I278" s="1">
        <v>15</v>
      </c>
      <c r="J278" t="s">
        <v>212</v>
      </c>
      <c r="K278" t="str">
        <f>VLOOKUP(Table1[[#This Row],[Loser]],Ranking!C:D,2,FALSE)</f>
        <v>A10</v>
      </c>
      <c r="L278" s="1">
        <v>85</v>
      </c>
      <c r="N278" s="1">
        <f>Table1[[#This Row],[Winning Score]]-Table1[[#This Row],[Losing Score]]</f>
        <v>14</v>
      </c>
      <c r="O278" s="1">
        <f>Table1[[#This Row],[Losing Seed]]-Table1[[#This Row],[Winning Seed]]</f>
        <v>13</v>
      </c>
      <c r="P278" s="1" t="str">
        <f>IF(Table1[[#This Row],[SeD]]&lt;-2,Table1[[#This Row],[Winning Seed]]&amp; " over " &amp;Table1[[#This Row],[Losing Seed]],"")</f>
        <v/>
      </c>
      <c r="Q278">
        <f>VLOOKUP(Table1[[#This Row],[Losing Seed]],'Seed History'!$N$4:$O$19,2)</f>
        <v>7.6388888888888895E-2</v>
      </c>
      <c r="R278" s="1">
        <f>IF(Table1[[#This Row],[Round]]="PI",0,Table1[[#This Row],[Round]]-1)</f>
        <v>0</v>
      </c>
      <c r="S278">
        <f>Table1[[#This Row],[LAW]]-Table1[[#This Row],[LEW]]</f>
        <v>-7.6388888888888895E-2</v>
      </c>
    </row>
    <row r="279" spans="1:19" x14ac:dyDescent="0.25">
      <c r="A279" s="66">
        <v>32584</v>
      </c>
      <c r="B279" s="51">
        <f>YEAR(Table1[[#This Row],[Date]])</f>
        <v>1989</v>
      </c>
      <c r="C279" s="1">
        <v>1</v>
      </c>
      <c r="D279" t="s">
        <v>38</v>
      </c>
      <c r="E279" s="1">
        <v>3</v>
      </c>
      <c r="F279" t="s">
        <v>87</v>
      </c>
      <c r="G279" t="str">
        <f>VLOOKUP(Table1[[#This Row],[Winner]],Ranking!C:D,2,FALSE)</f>
        <v>BE</v>
      </c>
      <c r="H279" s="1">
        <v>60</v>
      </c>
      <c r="I279" s="1">
        <v>14</v>
      </c>
      <c r="J279" t="s">
        <v>278</v>
      </c>
      <c r="K279" t="str">
        <f>VLOOKUP(Table1[[#This Row],[Loser]],Ranking!C:D,2,FALSE)</f>
        <v>MVC</v>
      </c>
      <c r="L279" s="1">
        <v>51</v>
      </c>
      <c r="N279" s="1">
        <f>Table1[[#This Row],[Winning Score]]-Table1[[#This Row],[Losing Score]]</f>
        <v>9</v>
      </c>
      <c r="O279" s="1">
        <f>Table1[[#This Row],[Losing Seed]]-Table1[[#This Row],[Winning Seed]]</f>
        <v>11</v>
      </c>
      <c r="P279" s="1" t="str">
        <f>IF(Table1[[#This Row],[SeD]]&lt;-2,Table1[[#This Row],[Winning Seed]]&amp; " over " &amp;Table1[[#This Row],[Losing Seed]],"")</f>
        <v/>
      </c>
      <c r="Q279">
        <f>VLOOKUP(Table1[[#This Row],[Losing Seed]],'Seed History'!$N$4:$O$19,2)</f>
        <v>0.16666666666666666</v>
      </c>
      <c r="R279" s="1">
        <f>IF(Table1[[#This Row],[Round]]="PI",0,Table1[[#This Row],[Round]]-1)</f>
        <v>0</v>
      </c>
      <c r="S279">
        <f>Table1[[#This Row],[LAW]]-Table1[[#This Row],[LEW]]</f>
        <v>-0.16666666666666666</v>
      </c>
    </row>
    <row r="280" spans="1:19" x14ac:dyDescent="0.25">
      <c r="A280" s="66">
        <v>32584</v>
      </c>
      <c r="B280" s="51">
        <f>YEAR(Table1[[#This Row],[Date]])</f>
        <v>1989</v>
      </c>
      <c r="C280" s="1">
        <v>1</v>
      </c>
      <c r="D280" t="s">
        <v>38</v>
      </c>
      <c r="E280" s="1">
        <v>7</v>
      </c>
      <c r="F280" t="s">
        <v>402</v>
      </c>
      <c r="G280" t="str">
        <f>VLOOKUP(Table1[[#This Row],[Winner]],Ranking!C:D,2,FALSE)</f>
        <v>CUSA</v>
      </c>
      <c r="H280" s="1">
        <v>85</v>
      </c>
      <c r="I280" s="1">
        <v>10</v>
      </c>
      <c r="J280" t="s">
        <v>52</v>
      </c>
      <c r="K280" t="str">
        <f>VLOOKUP(Table1[[#This Row],[Loser]],Ranking!C:D,2,FALSE)</f>
        <v>SEC</v>
      </c>
      <c r="L280" s="1">
        <v>74</v>
      </c>
      <c r="N280" s="1">
        <f>Table1[[#This Row],[Winning Score]]-Table1[[#This Row],[Losing Score]]</f>
        <v>11</v>
      </c>
      <c r="O280" s="1">
        <f>Table1[[#This Row],[Losing Seed]]-Table1[[#This Row],[Winning Seed]]</f>
        <v>3</v>
      </c>
      <c r="P280" s="1" t="str">
        <f>IF(Table1[[#This Row],[SeD]]&lt;-2,Table1[[#This Row],[Winning Seed]]&amp; " over " &amp;Table1[[#This Row],[Losing Seed]],"")</f>
        <v/>
      </c>
      <c r="Q280">
        <f>VLOOKUP(Table1[[#This Row],[Losing Seed]],'Seed History'!$N$4:$O$19,2)</f>
        <v>0.61805555555555558</v>
      </c>
      <c r="R280" s="1">
        <f>IF(Table1[[#This Row],[Round]]="PI",0,Table1[[#This Row],[Round]]-1)</f>
        <v>0</v>
      </c>
      <c r="S280">
        <f>Table1[[#This Row],[LAW]]-Table1[[#This Row],[LEW]]</f>
        <v>-0.61805555555555558</v>
      </c>
    </row>
    <row r="281" spans="1:19" x14ac:dyDescent="0.25">
      <c r="A281" s="66">
        <v>32584</v>
      </c>
      <c r="B281" s="51">
        <f>YEAR(Table1[[#This Row],[Date]])</f>
        <v>1989</v>
      </c>
      <c r="C281" s="1">
        <v>1</v>
      </c>
      <c r="D281" t="s">
        <v>439</v>
      </c>
      <c r="E281" s="1">
        <v>11</v>
      </c>
      <c r="F281" t="s">
        <v>34</v>
      </c>
      <c r="G281" t="str">
        <f>VLOOKUP(Table1[[#This Row],[Winner]],Ranking!C:D,2,FALSE)</f>
        <v>B12</v>
      </c>
      <c r="H281" s="1">
        <v>76</v>
      </c>
      <c r="I281" s="1">
        <v>6</v>
      </c>
      <c r="J281" t="s">
        <v>216</v>
      </c>
      <c r="K281" t="str">
        <f>VLOOKUP(Table1[[#This Row],[Loser]],Ranking!C:D,2,FALSE)</f>
        <v>ACC</v>
      </c>
      <c r="L281" s="1">
        <v>70</v>
      </c>
      <c r="N281" s="1">
        <f>Table1[[#This Row],[Winning Score]]-Table1[[#This Row],[Losing Score]]</f>
        <v>6</v>
      </c>
      <c r="O281" s="1">
        <f>Table1[[#This Row],[Losing Seed]]-Table1[[#This Row],[Winning Seed]]</f>
        <v>-5</v>
      </c>
      <c r="P281" s="1" t="str">
        <f>IF(Table1[[#This Row],[SeD]]&lt;-2,Table1[[#This Row],[Winning Seed]]&amp; " over " &amp;Table1[[#This Row],[Losing Seed]],"")</f>
        <v>11 over 6</v>
      </c>
      <c r="Q281">
        <f>VLOOKUP(Table1[[#This Row],[Losing Seed]],'Seed History'!$N$4:$O$19,2)</f>
        <v>1.0625</v>
      </c>
      <c r="R281" s="1">
        <f>IF(Table1[[#This Row],[Round]]="PI",0,Table1[[#This Row],[Round]]-1)</f>
        <v>0</v>
      </c>
      <c r="S281">
        <f>Table1[[#This Row],[LAW]]-Table1[[#This Row],[LEW]]</f>
        <v>-1.0625</v>
      </c>
    </row>
    <row r="282" spans="1:19" x14ac:dyDescent="0.25">
      <c r="A282" s="66">
        <v>32584</v>
      </c>
      <c r="B282" s="51">
        <f>YEAR(Table1[[#This Row],[Date]])</f>
        <v>1989</v>
      </c>
      <c r="C282" s="1">
        <v>1</v>
      </c>
      <c r="D282" t="s">
        <v>461</v>
      </c>
      <c r="E282" s="1">
        <v>11</v>
      </c>
      <c r="F282" t="s">
        <v>353</v>
      </c>
      <c r="G282" t="str">
        <f>VLOOKUP(Table1[[#This Row],[Winner]],Ranking!C:D,2,FALSE)</f>
        <v>SB</v>
      </c>
      <c r="H282" s="1">
        <v>86</v>
      </c>
      <c r="I282" s="1">
        <v>6</v>
      </c>
      <c r="J282" t="s">
        <v>113</v>
      </c>
      <c r="K282" t="str">
        <f>VLOOKUP(Table1[[#This Row],[Loser]],Ranking!C:D,2,FALSE)</f>
        <v>SEC</v>
      </c>
      <c r="L282" s="1">
        <v>84</v>
      </c>
      <c r="N282" s="1">
        <f>Table1[[#This Row],[Winning Score]]-Table1[[#This Row],[Losing Score]]</f>
        <v>2</v>
      </c>
      <c r="O282" s="1">
        <f>Table1[[#This Row],[Losing Seed]]-Table1[[#This Row],[Winning Seed]]</f>
        <v>-5</v>
      </c>
      <c r="P282" s="1" t="str">
        <f>IF(Table1[[#This Row],[SeD]]&lt;-2,Table1[[#This Row],[Winning Seed]]&amp; " over " &amp;Table1[[#This Row],[Losing Seed]],"")</f>
        <v>11 over 6</v>
      </c>
      <c r="Q282">
        <f>VLOOKUP(Table1[[#This Row],[Losing Seed]],'Seed History'!$N$4:$O$19,2)</f>
        <v>1.0625</v>
      </c>
      <c r="R282" s="1">
        <f>IF(Table1[[#This Row],[Round]]="PI",0,Table1[[#This Row],[Round]]-1)</f>
        <v>0</v>
      </c>
      <c r="S282">
        <f>Table1[[#This Row],[LAW]]-Table1[[#This Row],[LEW]]</f>
        <v>-1.0625</v>
      </c>
    </row>
    <row r="283" spans="1:19" x14ac:dyDescent="0.25">
      <c r="A283" s="66">
        <v>32584</v>
      </c>
      <c r="B283" s="51">
        <f>YEAR(Table1[[#This Row],[Date]])</f>
        <v>1989</v>
      </c>
      <c r="C283" s="1">
        <v>1</v>
      </c>
      <c r="D283" t="s">
        <v>38</v>
      </c>
      <c r="E283" s="1">
        <v>11</v>
      </c>
      <c r="F283" t="s">
        <v>199</v>
      </c>
      <c r="G283" t="str">
        <f>VLOOKUP(Table1[[#This Row],[Winner]],Ranking!C:D,2,FALSE)</f>
        <v>MVC</v>
      </c>
      <c r="H283" s="1">
        <v>94</v>
      </c>
      <c r="I283" s="1">
        <v>6</v>
      </c>
      <c r="J283" t="s">
        <v>319</v>
      </c>
      <c r="K283" t="str">
        <f>VLOOKUP(Table1[[#This Row],[Loser]],Ranking!C:D,2,FALSE)</f>
        <v>P12</v>
      </c>
      <c r="L283" s="1">
        <v>90</v>
      </c>
      <c r="M283" s="1" t="s">
        <v>462</v>
      </c>
      <c r="N283" s="1">
        <f>Table1[[#This Row],[Winning Score]]-Table1[[#This Row],[Losing Score]]</f>
        <v>4</v>
      </c>
      <c r="O283" s="1">
        <f>Table1[[#This Row],[Losing Seed]]-Table1[[#This Row],[Winning Seed]]</f>
        <v>-5</v>
      </c>
      <c r="P283" s="1" t="str">
        <f>IF(Table1[[#This Row],[SeD]]&lt;-2,Table1[[#This Row],[Winning Seed]]&amp; " over " &amp;Table1[[#This Row],[Losing Seed]],"")</f>
        <v>11 over 6</v>
      </c>
      <c r="Q283">
        <f>VLOOKUP(Table1[[#This Row],[Losing Seed]],'Seed History'!$N$4:$O$19,2)</f>
        <v>1.0625</v>
      </c>
      <c r="R283" s="1">
        <f>IF(Table1[[#This Row],[Round]]="PI",0,Table1[[#This Row],[Round]]-1)</f>
        <v>0</v>
      </c>
      <c r="S283">
        <f>Table1[[#This Row],[LAW]]-Table1[[#This Row],[LEW]]</f>
        <v>-1.0625</v>
      </c>
    </row>
    <row r="284" spans="1:19" x14ac:dyDescent="0.25">
      <c r="A284" s="66">
        <v>32584</v>
      </c>
      <c r="B284" s="51">
        <f>YEAR(Table1[[#This Row],[Date]])</f>
        <v>1989</v>
      </c>
      <c r="C284" s="1">
        <v>1</v>
      </c>
      <c r="D284" t="s">
        <v>439</v>
      </c>
      <c r="E284" s="1">
        <v>10</v>
      </c>
      <c r="F284" t="s">
        <v>176</v>
      </c>
      <c r="G284" t="str">
        <f>VLOOKUP(Table1[[#This Row],[Winner]],Ranking!C:D,2,FALSE)</f>
        <v>MWC</v>
      </c>
      <c r="H284" s="1">
        <v>68</v>
      </c>
      <c r="I284" s="1">
        <v>7</v>
      </c>
      <c r="J284" t="s">
        <v>81</v>
      </c>
      <c r="K284" t="str">
        <f>VLOOKUP(Table1[[#This Row],[Loser]],Ranking!C:D,2,FALSE)</f>
        <v>SEC</v>
      </c>
      <c r="L284" s="1">
        <v>46</v>
      </c>
      <c r="N284" s="1">
        <f>Table1[[#This Row],[Winning Score]]-Table1[[#This Row],[Losing Score]]</f>
        <v>22</v>
      </c>
      <c r="O284" s="1">
        <f>Table1[[#This Row],[Losing Seed]]-Table1[[#This Row],[Winning Seed]]</f>
        <v>-3</v>
      </c>
      <c r="P284" s="1" t="str">
        <f>IF(Table1[[#This Row],[SeD]]&lt;-2,Table1[[#This Row],[Winning Seed]]&amp; " over " &amp;Table1[[#This Row],[Losing Seed]],"")</f>
        <v>10 over 7</v>
      </c>
      <c r="Q284">
        <f>VLOOKUP(Table1[[#This Row],[Losing Seed]],'Seed History'!$N$4:$O$19,2)</f>
        <v>0.90277777777777779</v>
      </c>
      <c r="R284" s="1">
        <f>IF(Table1[[#This Row],[Round]]="PI",0,Table1[[#This Row],[Round]]-1)</f>
        <v>0</v>
      </c>
      <c r="S284">
        <f>Table1[[#This Row],[LAW]]-Table1[[#This Row],[LEW]]</f>
        <v>-0.90277777777777779</v>
      </c>
    </row>
    <row r="285" spans="1:19" x14ac:dyDescent="0.25">
      <c r="A285" s="66">
        <v>32584</v>
      </c>
      <c r="B285" s="51">
        <f>YEAR(Table1[[#This Row],[Date]])</f>
        <v>1989</v>
      </c>
      <c r="C285" s="1">
        <v>1</v>
      </c>
      <c r="D285" t="s">
        <v>49</v>
      </c>
      <c r="E285" s="1">
        <v>9</v>
      </c>
      <c r="F285" t="s">
        <v>35</v>
      </c>
      <c r="G285" t="str">
        <f>VLOOKUP(Table1[[#This Row],[Winner]],Ranking!C:D,2,FALSE)</f>
        <v>ACC</v>
      </c>
      <c r="H285" s="1">
        <v>81</v>
      </c>
      <c r="I285" s="1">
        <v>8</v>
      </c>
      <c r="J285" t="s">
        <v>78</v>
      </c>
      <c r="K285" t="str">
        <f>VLOOKUP(Table1[[#This Row],[Loser]],Ranking!C:D,2,FALSE)</f>
        <v>SEC</v>
      </c>
      <c r="L285" s="1">
        <v>65</v>
      </c>
      <c r="N285" s="1">
        <f>Table1[[#This Row],[Winning Score]]-Table1[[#This Row],[Losing Score]]</f>
        <v>16</v>
      </c>
      <c r="O285" s="1">
        <f>Table1[[#This Row],[Losing Seed]]-Table1[[#This Row],[Winning Seed]]</f>
        <v>-1</v>
      </c>
      <c r="P285" s="1" t="str">
        <f>IF(Table1[[#This Row],[SeD]]&lt;-2,Table1[[#This Row],[Winning Seed]]&amp; " over " &amp;Table1[[#This Row],[Losing Seed]],"")</f>
        <v/>
      </c>
      <c r="Q285">
        <f>VLOOKUP(Table1[[#This Row],[Losing Seed]],'Seed History'!$N$4:$O$19,2)</f>
        <v>0.70833333333333337</v>
      </c>
      <c r="R285" s="1">
        <f>IF(Table1[[#This Row],[Round]]="PI",0,Table1[[#This Row],[Round]]-1)</f>
        <v>0</v>
      </c>
      <c r="S285">
        <f>Table1[[#This Row],[LAW]]-Table1[[#This Row],[LEW]]</f>
        <v>-0.70833333333333337</v>
      </c>
    </row>
    <row r="286" spans="1:19" x14ac:dyDescent="0.25">
      <c r="A286" s="66">
        <v>32585</v>
      </c>
      <c r="B286" s="51">
        <f>YEAR(Table1[[#This Row],[Date]])</f>
        <v>1989</v>
      </c>
      <c r="C286" s="1">
        <v>2</v>
      </c>
      <c r="D286" t="s">
        <v>49</v>
      </c>
      <c r="E286" s="1">
        <v>2</v>
      </c>
      <c r="F286" t="s">
        <v>64</v>
      </c>
      <c r="G286" t="str">
        <f>VLOOKUP(Table1[[#This Row],[Winner]],Ranking!C:D,2,FALSE)</f>
        <v>ACC</v>
      </c>
      <c r="H286" s="1">
        <v>70</v>
      </c>
      <c r="I286" s="1">
        <v>7</v>
      </c>
      <c r="J286" t="s">
        <v>412</v>
      </c>
      <c r="K286" t="str">
        <f>VLOOKUP(Table1[[#This Row],[Loser]],Ranking!C:D,2,FALSE)</f>
        <v>B12</v>
      </c>
      <c r="L286" s="1">
        <v>63</v>
      </c>
      <c r="N286" s="1">
        <f>Table1[[#This Row],[Winning Score]]-Table1[[#This Row],[Losing Score]]</f>
        <v>7</v>
      </c>
      <c r="O286" s="1">
        <f>Table1[[#This Row],[Losing Seed]]-Table1[[#This Row],[Winning Seed]]</f>
        <v>5</v>
      </c>
      <c r="P286" s="1" t="str">
        <f>IF(Table1[[#This Row],[SeD]]&lt;-2,Table1[[#This Row],[Winning Seed]]&amp; " over " &amp;Table1[[#This Row],[Losing Seed]],"")</f>
        <v/>
      </c>
      <c r="Q286">
        <f>VLOOKUP(Table1[[#This Row],[Losing Seed]],'Seed History'!$N$4:$O$19,2)</f>
        <v>0.90277777777777779</v>
      </c>
      <c r="R286" s="1">
        <f>IF(Table1[[#This Row],[Round]]="PI",0,Table1[[#This Row],[Round]]-1)</f>
        <v>1</v>
      </c>
      <c r="S286">
        <f>Table1[[#This Row],[LAW]]-Table1[[#This Row],[LEW]]</f>
        <v>9.722222222222221E-2</v>
      </c>
    </row>
    <row r="287" spans="1:19" x14ac:dyDescent="0.25">
      <c r="A287" s="66">
        <v>32585</v>
      </c>
      <c r="B287" s="51">
        <f>YEAR(Table1[[#This Row],[Date]])</f>
        <v>1989</v>
      </c>
      <c r="C287" s="1">
        <v>2</v>
      </c>
      <c r="D287" t="s">
        <v>49</v>
      </c>
      <c r="E287" s="1">
        <v>11</v>
      </c>
      <c r="F287" t="s">
        <v>274</v>
      </c>
      <c r="G287" t="str">
        <f>VLOOKUP(Table1[[#This Row],[Winner]],Ranking!C:D,2,FALSE)</f>
        <v>B10</v>
      </c>
      <c r="H287" s="1">
        <v>80</v>
      </c>
      <c r="I287" s="1">
        <v>14</v>
      </c>
      <c r="J287" t="s">
        <v>350</v>
      </c>
      <c r="K287" t="str">
        <f>VLOOKUP(Table1[[#This Row],[Loser]],Ranking!C:D,2,FALSE)</f>
        <v>MAAC</v>
      </c>
      <c r="L287" s="1">
        <v>67</v>
      </c>
      <c r="N287" s="1">
        <f>Table1[[#This Row],[Winning Score]]-Table1[[#This Row],[Losing Score]]</f>
        <v>13</v>
      </c>
      <c r="O287" s="1">
        <f>Table1[[#This Row],[Losing Seed]]-Table1[[#This Row],[Winning Seed]]</f>
        <v>3</v>
      </c>
      <c r="P287" s="1" t="str">
        <f>IF(Table1[[#This Row],[SeD]]&lt;-2,Table1[[#This Row],[Winning Seed]]&amp; " over " &amp;Table1[[#This Row],[Losing Seed]],"")</f>
        <v/>
      </c>
      <c r="Q287">
        <f>VLOOKUP(Table1[[#This Row],[Losing Seed]],'Seed History'!$N$4:$O$19,2)</f>
        <v>0.16666666666666666</v>
      </c>
      <c r="R287" s="1">
        <f>IF(Table1[[#This Row],[Round]]="PI",0,Table1[[#This Row],[Round]]-1)</f>
        <v>1</v>
      </c>
      <c r="S287">
        <f>Table1[[#This Row],[LAW]]-Table1[[#This Row],[LEW]]</f>
        <v>0.83333333333333337</v>
      </c>
    </row>
    <row r="288" spans="1:19" x14ac:dyDescent="0.25">
      <c r="A288" s="66">
        <v>32585</v>
      </c>
      <c r="B288" s="51">
        <f>YEAR(Table1[[#This Row],[Date]])</f>
        <v>1989</v>
      </c>
      <c r="C288" s="1">
        <v>2</v>
      </c>
      <c r="D288" t="s">
        <v>439</v>
      </c>
      <c r="E288" s="1">
        <v>1</v>
      </c>
      <c r="F288" t="s">
        <v>230</v>
      </c>
      <c r="G288" t="str">
        <f>VLOOKUP(Table1[[#This Row],[Winner]],Ranking!C:D,2,FALSE)</f>
        <v>B10</v>
      </c>
      <c r="H288" s="1">
        <v>72</v>
      </c>
      <c r="I288" s="1">
        <v>9</v>
      </c>
      <c r="J288" t="s">
        <v>132</v>
      </c>
      <c r="K288" t="str">
        <f>VLOOKUP(Table1[[#This Row],[Loser]],Ranking!C:D,2,FALSE)</f>
        <v>MAC</v>
      </c>
      <c r="L288" s="1">
        <v>60</v>
      </c>
      <c r="N288" s="1">
        <f>Table1[[#This Row],[Winning Score]]-Table1[[#This Row],[Losing Score]]</f>
        <v>12</v>
      </c>
      <c r="O288" s="1">
        <f>Table1[[#This Row],[Losing Seed]]-Table1[[#This Row],[Winning Seed]]</f>
        <v>8</v>
      </c>
      <c r="P288" s="1" t="str">
        <f>IF(Table1[[#This Row],[SeD]]&lt;-2,Table1[[#This Row],[Winning Seed]]&amp; " over " &amp;Table1[[#This Row],[Losing Seed]],"")</f>
        <v/>
      </c>
      <c r="Q288">
        <f>VLOOKUP(Table1[[#This Row],[Losing Seed]],'Seed History'!$N$4:$O$19,2)</f>
        <v>0.59027777777777779</v>
      </c>
      <c r="R288" s="1">
        <f>IF(Table1[[#This Row],[Round]]="PI",0,Table1[[#This Row],[Round]]-1)</f>
        <v>1</v>
      </c>
      <c r="S288">
        <f>Table1[[#This Row],[LAW]]-Table1[[#This Row],[LEW]]</f>
        <v>0.40972222222222221</v>
      </c>
    </row>
    <row r="289" spans="1:19" x14ac:dyDescent="0.25">
      <c r="A289" s="66">
        <v>32585</v>
      </c>
      <c r="B289" s="51">
        <f>YEAR(Table1[[#This Row],[Date]])</f>
        <v>1989</v>
      </c>
      <c r="C289" s="1">
        <v>2</v>
      </c>
      <c r="D289" t="s">
        <v>439</v>
      </c>
      <c r="E289" s="1">
        <v>4</v>
      </c>
      <c r="F289" t="s">
        <v>54</v>
      </c>
      <c r="G289" t="str">
        <f>VLOOKUP(Table1[[#This Row],[Winner]],Ranking!C:D,2,FALSE)</f>
        <v>ACC</v>
      </c>
      <c r="H289" s="1">
        <v>93</v>
      </c>
      <c r="I289" s="1">
        <v>5</v>
      </c>
      <c r="J289" t="s">
        <v>41</v>
      </c>
      <c r="K289" t="str">
        <f>VLOOKUP(Table1[[#This Row],[Loser]],Ranking!C:D,2,FALSE)</f>
        <v>SEC</v>
      </c>
      <c r="L289" s="1">
        <v>84</v>
      </c>
      <c r="N289" s="1">
        <f>Table1[[#This Row],[Winning Score]]-Table1[[#This Row],[Losing Score]]</f>
        <v>9</v>
      </c>
      <c r="O289" s="1">
        <f>Table1[[#This Row],[Losing Seed]]-Table1[[#This Row],[Winning Seed]]</f>
        <v>1</v>
      </c>
      <c r="P289" s="1" t="str">
        <f>IF(Table1[[#This Row],[SeD]]&lt;-2,Table1[[#This Row],[Winning Seed]]&amp; " over " &amp;Table1[[#This Row],[Losing Seed]],"")</f>
        <v/>
      </c>
      <c r="Q289">
        <f>VLOOKUP(Table1[[#This Row],[Losing Seed]],'Seed History'!$N$4:$O$19,2)</f>
        <v>1.1180555555555556</v>
      </c>
      <c r="R289" s="1">
        <f>IF(Table1[[#This Row],[Round]]="PI",0,Table1[[#This Row],[Round]]-1)</f>
        <v>1</v>
      </c>
      <c r="S289">
        <f>Table1[[#This Row],[LAW]]-Table1[[#This Row],[LEW]]</f>
        <v>-0.11805555555555558</v>
      </c>
    </row>
    <row r="290" spans="1:19" x14ac:dyDescent="0.25">
      <c r="A290" s="66">
        <v>32585</v>
      </c>
      <c r="B290" s="51">
        <f>YEAR(Table1[[#This Row],[Date]])</f>
        <v>1989</v>
      </c>
      <c r="C290" s="1">
        <v>2</v>
      </c>
      <c r="D290" t="s">
        <v>461</v>
      </c>
      <c r="E290" s="1">
        <v>1</v>
      </c>
      <c r="F290" t="s">
        <v>58</v>
      </c>
      <c r="G290" t="str">
        <f>VLOOKUP(Table1[[#This Row],[Winner]],Ranking!C:D,2,FALSE)</f>
        <v>B12</v>
      </c>
      <c r="H290" s="1">
        <v>124</v>
      </c>
      <c r="I290" s="1">
        <v>9</v>
      </c>
      <c r="J290" t="s">
        <v>256</v>
      </c>
      <c r="K290" t="str">
        <f>VLOOKUP(Table1[[#This Row],[Loser]],Ranking!C:D,2,FALSE)</f>
        <v>CUSA</v>
      </c>
      <c r="L290" s="1">
        <v>81</v>
      </c>
      <c r="N290" s="1">
        <f>Table1[[#This Row],[Winning Score]]-Table1[[#This Row],[Losing Score]]</f>
        <v>43</v>
      </c>
      <c r="O290" s="1">
        <f>Table1[[#This Row],[Losing Seed]]-Table1[[#This Row],[Winning Seed]]</f>
        <v>8</v>
      </c>
      <c r="P290" s="1" t="str">
        <f>IF(Table1[[#This Row],[SeD]]&lt;-2,Table1[[#This Row],[Winning Seed]]&amp; " over " &amp;Table1[[#This Row],[Losing Seed]],"")</f>
        <v/>
      </c>
      <c r="Q290">
        <f>VLOOKUP(Table1[[#This Row],[Losing Seed]],'Seed History'!$N$4:$O$19,2)</f>
        <v>0.59027777777777779</v>
      </c>
      <c r="R290" s="1">
        <f>IF(Table1[[#This Row],[Round]]="PI",0,Table1[[#This Row],[Round]]-1)</f>
        <v>1</v>
      </c>
      <c r="S290">
        <f>Table1[[#This Row],[LAW]]-Table1[[#This Row],[LEW]]</f>
        <v>0.40972222222222221</v>
      </c>
    </row>
    <row r="291" spans="1:19" x14ac:dyDescent="0.25">
      <c r="A291" s="66">
        <v>32585</v>
      </c>
      <c r="B291" s="51">
        <f>YEAR(Table1[[#This Row],[Date]])</f>
        <v>1989</v>
      </c>
      <c r="C291" s="1">
        <v>2</v>
      </c>
      <c r="D291" t="s">
        <v>461</v>
      </c>
      <c r="E291" s="1">
        <v>5</v>
      </c>
      <c r="F291" t="s">
        <v>61</v>
      </c>
      <c r="G291" t="str">
        <f>VLOOKUP(Table1[[#This Row],[Winner]],Ranking!C:D,2,FALSE)</f>
        <v>ACC</v>
      </c>
      <c r="H291" s="1">
        <v>104</v>
      </c>
      <c r="I291" s="1">
        <v>13</v>
      </c>
      <c r="J291" t="s">
        <v>272</v>
      </c>
      <c r="K291" t="str">
        <f>VLOOKUP(Table1[[#This Row],[Loser]],Ranking!C:D,2,FALSE)</f>
        <v>CUSA</v>
      </c>
      <c r="L291" s="1">
        <v>88</v>
      </c>
      <c r="N291" s="1">
        <f>Table1[[#This Row],[Winning Score]]-Table1[[#This Row],[Losing Score]]</f>
        <v>16</v>
      </c>
      <c r="O291" s="1">
        <f>Table1[[#This Row],[Losing Seed]]-Table1[[#This Row],[Winning Seed]]</f>
        <v>8</v>
      </c>
      <c r="P291" s="1" t="str">
        <f>IF(Table1[[#This Row],[SeD]]&lt;-2,Table1[[#This Row],[Winning Seed]]&amp; " over " &amp;Table1[[#This Row],[Losing Seed]],"")</f>
        <v/>
      </c>
      <c r="Q291">
        <f>VLOOKUP(Table1[[#This Row],[Losing Seed]],'Seed History'!$N$4:$O$19,2)</f>
        <v>0.25694444444444442</v>
      </c>
      <c r="R291" s="1">
        <f>IF(Table1[[#This Row],[Round]]="PI",0,Table1[[#This Row],[Round]]-1)</f>
        <v>1</v>
      </c>
      <c r="S291">
        <f>Table1[[#This Row],[LAW]]-Table1[[#This Row],[LEW]]</f>
        <v>0.74305555555555558</v>
      </c>
    </row>
    <row r="292" spans="1:19" x14ac:dyDescent="0.25">
      <c r="A292" s="66">
        <v>32585</v>
      </c>
      <c r="B292" s="51">
        <f>YEAR(Table1[[#This Row],[Date]])</f>
        <v>1989</v>
      </c>
      <c r="C292" s="1">
        <v>2</v>
      </c>
      <c r="D292" t="s">
        <v>38</v>
      </c>
      <c r="E292" s="1">
        <v>1</v>
      </c>
      <c r="F292" t="s">
        <v>48</v>
      </c>
      <c r="G292" t="str">
        <f>VLOOKUP(Table1[[#This Row],[Winner]],Ranking!C:D,2,FALSE)</f>
        <v>P12</v>
      </c>
      <c r="H292" s="1">
        <v>94</v>
      </c>
      <c r="I292" s="1">
        <v>9</v>
      </c>
      <c r="J292" t="s">
        <v>89</v>
      </c>
      <c r="K292" t="str">
        <f>VLOOKUP(Table1[[#This Row],[Loser]],Ranking!C:D,2,FALSE)</f>
        <v>ACC</v>
      </c>
      <c r="L292" s="1">
        <v>68</v>
      </c>
      <c r="N292" s="1">
        <f>Table1[[#This Row],[Winning Score]]-Table1[[#This Row],[Losing Score]]</f>
        <v>26</v>
      </c>
      <c r="O292" s="1">
        <f>Table1[[#This Row],[Losing Seed]]-Table1[[#This Row],[Winning Seed]]</f>
        <v>8</v>
      </c>
      <c r="P292" s="1" t="str">
        <f>IF(Table1[[#This Row],[SeD]]&lt;-2,Table1[[#This Row],[Winning Seed]]&amp; " over " &amp;Table1[[#This Row],[Losing Seed]],"")</f>
        <v/>
      </c>
      <c r="Q292">
        <f>VLOOKUP(Table1[[#This Row],[Losing Seed]],'Seed History'!$N$4:$O$19,2)</f>
        <v>0.59027777777777779</v>
      </c>
      <c r="R292" s="1">
        <f>IF(Table1[[#This Row],[Round]]="PI",0,Table1[[#This Row],[Round]]-1)</f>
        <v>1</v>
      </c>
      <c r="S292">
        <f>Table1[[#This Row],[LAW]]-Table1[[#This Row],[LEW]]</f>
        <v>0.40972222222222221</v>
      </c>
    </row>
    <row r="293" spans="1:19" x14ac:dyDescent="0.25">
      <c r="A293" s="66">
        <v>32585</v>
      </c>
      <c r="B293" s="51">
        <f>YEAR(Table1[[#This Row],[Date]])</f>
        <v>1989</v>
      </c>
      <c r="C293" s="1">
        <v>2</v>
      </c>
      <c r="D293" t="s">
        <v>38</v>
      </c>
      <c r="E293" s="1">
        <v>4</v>
      </c>
      <c r="F293" t="s">
        <v>396</v>
      </c>
      <c r="G293" t="str">
        <f>VLOOKUP(Table1[[#This Row],[Winner]],Ranking!C:D,2,FALSE)</f>
        <v>MWC</v>
      </c>
      <c r="H293" s="1">
        <v>85</v>
      </c>
      <c r="I293" s="1">
        <v>12</v>
      </c>
      <c r="J293" t="s">
        <v>186</v>
      </c>
      <c r="K293" t="str">
        <f>VLOOKUP(Table1[[#This Row],[Loser]],Ranking!C:D,2,FALSE)</f>
        <v>BE</v>
      </c>
      <c r="L293" s="1">
        <v>70</v>
      </c>
      <c r="N293" s="1">
        <f>Table1[[#This Row],[Winning Score]]-Table1[[#This Row],[Losing Score]]</f>
        <v>15</v>
      </c>
      <c r="O293" s="1">
        <f>Table1[[#This Row],[Losing Seed]]-Table1[[#This Row],[Winning Seed]]</f>
        <v>8</v>
      </c>
      <c r="P293" s="1" t="str">
        <f>IF(Table1[[#This Row],[SeD]]&lt;-2,Table1[[#This Row],[Winning Seed]]&amp; " over " &amp;Table1[[#This Row],[Losing Seed]],"")</f>
        <v/>
      </c>
      <c r="Q293">
        <f>VLOOKUP(Table1[[#This Row],[Losing Seed]],'Seed History'!$N$4:$O$19,2)</f>
        <v>0.52083333333333337</v>
      </c>
      <c r="R293" s="1">
        <f>IF(Table1[[#This Row],[Round]]="PI",0,Table1[[#This Row],[Round]]-1)</f>
        <v>1</v>
      </c>
      <c r="S293">
        <f>Table1[[#This Row],[LAW]]-Table1[[#This Row],[LEW]]</f>
        <v>0.47916666666666663</v>
      </c>
    </row>
    <row r="294" spans="1:19" x14ac:dyDescent="0.25">
      <c r="A294" s="66">
        <v>32586</v>
      </c>
      <c r="B294" s="51">
        <f>YEAR(Table1[[#This Row],[Date]])</f>
        <v>1989</v>
      </c>
      <c r="C294" s="1">
        <v>2</v>
      </c>
      <c r="D294" t="s">
        <v>49</v>
      </c>
      <c r="E294" s="1">
        <v>1</v>
      </c>
      <c r="F294" t="s">
        <v>66</v>
      </c>
      <c r="G294" t="str">
        <f>VLOOKUP(Table1[[#This Row],[Winner]],Ranking!C:D,2,FALSE)</f>
        <v>BE</v>
      </c>
      <c r="H294" s="1">
        <v>81</v>
      </c>
      <c r="I294" s="1">
        <v>9</v>
      </c>
      <c r="J294" t="s">
        <v>35</v>
      </c>
      <c r="K294" t="str">
        <f>VLOOKUP(Table1[[#This Row],[Loser]],Ranking!C:D,2,FALSE)</f>
        <v>ACC</v>
      </c>
      <c r="L294" s="1">
        <v>74</v>
      </c>
      <c r="N294" s="1">
        <f>Table1[[#This Row],[Winning Score]]-Table1[[#This Row],[Losing Score]]</f>
        <v>7</v>
      </c>
      <c r="O294" s="1">
        <f>Table1[[#This Row],[Losing Seed]]-Table1[[#This Row],[Winning Seed]]</f>
        <v>8</v>
      </c>
      <c r="P294" s="1" t="str">
        <f>IF(Table1[[#This Row],[SeD]]&lt;-2,Table1[[#This Row],[Winning Seed]]&amp; " over " &amp;Table1[[#This Row],[Losing Seed]],"")</f>
        <v/>
      </c>
      <c r="Q294">
        <f>VLOOKUP(Table1[[#This Row],[Losing Seed]],'Seed History'!$N$4:$O$19,2)</f>
        <v>0.59027777777777779</v>
      </c>
      <c r="R294" s="1">
        <f>IF(Table1[[#This Row],[Round]]="PI",0,Table1[[#This Row],[Round]]-1)</f>
        <v>1</v>
      </c>
      <c r="S294">
        <f>Table1[[#This Row],[LAW]]-Table1[[#This Row],[LEW]]</f>
        <v>0.40972222222222221</v>
      </c>
    </row>
    <row r="295" spans="1:19" x14ac:dyDescent="0.25">
      <c r="A295" s="66">
        <v>32586</v>
      </c>
      <c r="B295" s="51">
        <f>YEAR(Table1[[#This Row],[Date]])</f>
        <v>1989</v>
      </c>
      <c r="C295" s="1">
        <v>2</v>
      </c>
      <c r="D295" t="s">
        <v>439</v>
      </c>
      <c r="E295" s="1">
        <v>2</v>
      </c>
      <c r="F295" t="s">
        <v>86</v>
      </c>
      <c r="G295" t="str">
        <f>VLOOKUP(Table1[[#This Row],[Winner]],Ranking!C:D,2,FALSE)</f>
        <v>ACC</v>
      </c>
      <c r="H295" s="1">
        <v>65</v>
      </c>
      <c r="I295" s="1">
        <v>10</v>
      </c>
      <c r="J295" t="s">
        <v>176</v>
      </c>
      <c r="K295" t="str">
        <f>VLOOKUP(Table1[[#This Row],[Loser]],Ranking!C:D,2,FALSE)</f>
        <v>MWC</v>
      </c>
      <c r="L295" s="1">
        <v>50</v>
      </c>
      <c r="N295" s="1">
        <f>Table1[[#This Row],[Winning Score]]-Table1[[#This Row],[Losing Score]]</f>
        <v>15</v>
      </c>
      <c r="O295" s="1">
        <f>Table1[[#This Row],[Losing Seed]]-Table1[[#This Row],[Winning Seed]]</f>
        <v>8</v>
      </c>
      <c r="P295" s="1" t="str">
        <f>IF(Table1[[#This Row],[SeD]]&lt;-2,Table1[[#This Row],[Winning Seed]]&amp; " over " &amp;Table1[[#This Row],[Losing Seed]],"")</f>
        <v/>
      </c>
      <c r="Q295">
        <f>VLOOKUP(Table1[[#This Row],[Losing Seed]],'Seed History'!$N$4:$O$19,2)</f>
        <v>0.61805555555555558</v>
      </c>
      <c r="R295" s="1">
        <f>IF(Table1[[#This Row],[Round]]="PI",0,Table1[[#This Row],[Round]]-1)</f>
        <v>1</v>
      </c>
      <c r="S295">
        <f>Table1[[#This Row],[LAW]]-Table1[[#This Row],[LEW]]</f>
        <v>0.38194444444444442</v>
      </c>
    </row>
    <row r="296" spans="1:19" x14ac:dyDescent="0.25">
      <c r="A296" s="66">
        <v>32586</v>
      </c>
      <c r="B296" s="51">
        <f>YEAR(Table1[[#This Row],[Date]])</f>
        <v>1989</v>
      </c>
      <c r="C296" s="1">
        <v>2</v>
      </c>
      <c r="D296" t="s">
        <v>439</v>
      </c>
      <c r="E296" s="1">
        <v>3</v>
      </c>
      <c r="F296" t="s">
        <v>277</v>
      </c>
      <c r="G296" t="str">
        <f>VLOOKUP(Table1[[#This Row],[Winner]],Ranking!C:D,2,FALSE)</f>
        <v>SEC</v>
      </c>
      <c r="H296" s="1">
        <v>108</v>
      </c>
      <c r="I296" s="1">
        <v>11</v>
      </c>
      <c r="J296" t="s">
        <v>34</v>
      </c>
      <c r="K296" t="str">
        <f>VLOOKUP(Table1[[#This Row],[Loser]],Ranking!C:D,2,FALSE)</f>
        <v>B12</v>
      </c>
      <c r="L296" s="1">
        <v>89</v>
      </c>
      <c r="N296" s="1">
        <f>Table1[[#This Row],[Winning Score]]-Table1[[#This Row],[Losing Score]]</f>
        <v>19</v>
      </c>
      <c r="O296" s="1">
        <f>Table1[[#This Row],[Losing Seed]]-Table1[[#This Row],[Winning Seed]]</f>
        <v>8</v>
      </c>
      <c r="P296" s="1" t="str">
        <f>IF(Table1[[#This Row],[SeD]]&lt;-2,Table1[[#This Row],[Winning Seed]]&amp; " over " &amp;Table1[[#This Row],[Losing Seed]],"")</f>
        <v/>
      </c>
      <c r="Q296">
        <f>VLOOKUP(Table1[[#This Row],[Losing Seed]],'Seed History'!$N$4:$O$19,2)</f>
        <v>0.63194444444444442</v>
      </c>
      <c r="R296" s="1">
        <f>IF(Table1[[#This Row],[Round]]="PI",0,Table1[[#This Row],[Round]]-1)</f>
        <v>1</v>
      </c>
      <c r="S296">
        <f>Table1[[#This Row],[LAW]]-Table1[[#This Row],[LEW]]</f>
        <v>0.36805555555555558</v>
      </c>
    </row>
    <row r="297" spans="1:19" x14ac:dyDescent="0.25">
      <c r="A297" s="66">
        <v>32586</v>
      </c>
      <c r="B297" s="51">
        <f>YEAR(Table1[[#This Row],[Date]])</f>
        <v>1989</v>
      </c>
      <c r="C297" s="1">
        <v>2</v>
      </c>
      <c r="D297" t="s">
        <v>461</v>
      </c>
      <c r="E297" s="1">
        <v>2</v>
      </c>
      <c r="F297" t="s">
        <v>298</v>
      </c>
      <c r="G297" t="str">
        <f>VLOOKUP(Table1[[#This Row],[Winner]],Ranking!C:D,2,FALSE)</f>
        <v>ACC</v>
      </c>
      <c r="H297" s="1">
        <v>88</v>
      </c>
      <c r="I297" s="1">
        <v>7</v>
      </c>
      <c r="J297" t="s">
        <v>67</v>
      </c>
      <c r="K297" t="str">
        <f>VLOOKUP(Table1[[#This Row],[Loser]],Ranking!C:D,2,FALSE)</f>
        <v>P12</v>
      </c>
      <c r="L297" s="1">
        <v>81</v>
      </c>
      <c r="N297" s="1">
        <f>Table1[[#This Row],[Winning Score]]-Table1[[#This Row],[Losing Score]]</f>
        <v>7</v>
      </c>
      <c r="O297" s="1">
        <f>Table1[[#This Row],[Losing Seed]]-Table1[[#This Row],[Winning Seed]]</f>
        <v>5</v>
      </c>
      <c r="P297" s="1" t="str">
        <f>IF(Table1[[#This Row],[SeD]]&lt;-2,Table1[[#This Row],[Winning Seed]]&amp; " over " &amp;Table1[[#This Row],[Losing Seed]],"")</f>
        <v/>
      </c>
      <c r="Q297">
        <f>VLOOKUP(Table1[[#This Row],[Losing Seed]],'Seed History'!$N$4:$O$19,2)</f>
        <v>0.90277777777777779</v>
      </c>
      <c r="R297" s="1">
        <f>IF(Table1[[#This Row],[Round]]="PI",0,Table1[[#This Row],[Round]]-1)</f>
        <v>1</v>
      </c>
      <c r="S297">
        <f>Table1[[#This Row],[LAW]]-Table1[[#This Row],[LEW]]</f>
        <v>9.722222222222221E-2</v>
      </c>
    </row>
    <row r="298" spans="1:19" x14ac:dyDescent="0.25">
      <c r="A298" s="66">
        <v>32586</v>
      </c>
      <c r="B298" s="51">
        <f>YEAR(Table1[[#This Row],[Date]])</f>
        <v>1989</v>
      </c>
      <c r="C298" s="1">
        <v>2</v>
      </c>
      <c r="D298" t="s">
        <v>461</v>
      </c>
      <c r="E298" s="1">
        <v>3</v>
      </c>
      <c r="F298" t="s">
        <v>82</v>
      </c>
      <c r="G298" t="str">
        <f>VLOOKUP(Table1[[#This Row],[Winner]],Ranking!C:D,2,FALSE)</f>
        <v>B10</v>
      </c>
      <c r="H298" s="1">
        <v>91</v>
      </c>
      <c r="I298" s="1">
        <v>11</v>
      </c>
      <c r="J298" t="s">
        <v>353</v>
      </c>
      <c r="K298" t="str">
        <f>VLOOKUP(Table1[[#This Row],[Loser]],Ranking!C:D,2,FALSE)</f>
        <v>SB</v>
      </c>
      <c r="L298" s="1">
        <v>82</v>
      </c>
      <c r="N298" s="1">
        <f>Table1[[#This Row],[Winning Score]]-Table1[[#This Row],[Losing Score]]</f>
        <v>9</v>
      </c>
      <c r="O298" s="1">
        <f>Table1[[#This Row],[Losing Seed]]-Table1[[#This Row],[Winning Seed]]</f>
        <v>8</v>
      </c>
      <c r="P298" s="1" t="str">
        <f>IF(Table1[[#This Row],[SeD]]&lt;-2,Table1[[#This Row],[Winning Seed]]&amp; " over " &amp;Table1[[#This Row],[Losing Seed]],"")</f>
        <v/>
      </c>
      <c r="Q298">
        <f>VLOOKUP(Table1[[#This Row],[Losing Seed]],'Seed History'!$N$4:$O$19,2)</f>
        <v>0.63194444444444442</v>
      </c>
      <c r="R298" s="1">
        <f>IF(Table1[[#This Row],[Round]]="PI",0,Table1[[#This Row],[Round]]-1)</f>
        <v>1</v>
      </c>
      <c r="S298">
        <f>Table1[[#This Row],[LAW]]-Table1[[#This Row],[LEW]]</f>
        <v>0.36805555555555558</v>
      </c>
    </row>
    <row r="299" spans="1:19" x14ac:dyDescent="0.25">
      <c r="A299" s="66">
        <v>32586</v>
      </c>
      <c r="B299" s="51">
        <f>YEAR(Table1[[#This Row],[Date]])</f>
        <v>1989</v>
      </c>
      <c r="C299" s="1">
        <v>2</v>
      </c>
      <c r="D299" t="s">
        <v>38</v>
      </c>
      <c r="E299" s="1">
        <v>2</v>
      </c>
      <c r="F299" t="s">
        <v>36</v>
      </c>
      <c r="G299" t="str">
        <f>VLOOKUP(Table1[[#This Row],[Winner]],Ranking!C:D,2,FALSE)</f>
        <v>B10</v>
      </c>
      <c r="H299" s="1">
        <v>92</v>
      </c>
      <c r="I299" s="1">
        <v>7</v>
      </c>
      <c r="J299" t="s">
        <v>402</v>
      </c>
      <c r="K299" t="str">
        <f>VLOOKUP(Table1[[#This Row],[Loser]],Ranking!C:D,2,FALSE)</f>
        <v>CUSA</v>
      </c>
      <c r="L299" s="1">
        <v>69</v>
      </c>
      <c r="N299" s="1">
        <f>Table1[[#This Row],[Winning Score]]-Table1[[#This Row],[Losing Score]]</f>
        <v>23</v>
      </c>
      <c r="O299" s="1">
        <f>Table1[[#This Row],[Losing Seed]]-Table1[[#This Row],[Winning Seed]]</f>
        <v>5</v>
      </c>
      <c r="P299" s="1" t="str">
        <f>IF(Table1[[#This Row],[SeD]]&lt;-2,Table1[[#This Row],[Winning Seed]]&amp; " over " &amp;Table1[[#This Row],[Losing Seed]],"")</f>
        <v/>
      </c>
      <c r="Q299">
        <f>VLOOKUP(Table1[[#This Row],[Losing Seed]],'Seed History'!$N$4:$O$19,2)</f>
        <v>0.90277777777777779</v>
      </c>
      <c r="R299" s="1">
        <f>IF(Table1[[#This Row],[Round]]="PI",0,Table1[[#This Row],[Round]]-1)</f>
        <v>1</v>
      </c>
      <c r="S299">
        <f>Table1[[#This Row],[LAW]]-Table1[[#This Row],[LEW]]</f>
        <v>9.722222222222221E-2</v>
      </c>
    </row>
    <row r="300" spans="1:19" x14ac:dyDescent="0.25">
      <c r="A300" s="66">
        <v>32586</v>
      </c>
      <c r="B300" s="51">
        <f>YEAR(Table1[[#This Row],[Date]])</f>
        <v>1989</v>
      </c>
      <c r="C300" s="1">
        <v>2</v>
      </c>
      <c r="D300" t="s">
        <v>38</v>
      </c>
      <c r="E300" s="1">
        <v>3</v>
      </c>
      <c r="F300" t="s">
        <v>87</v>
      </c>
      <c r="G300" t="str">
        <f>VLOOKUP(Table1[[#This Row],[Winner]],Ranking!C:D,2,FALSE)</f>
        <v>BE</v>
      </c>
      <c r="H300" s="1">
        <v>87</v>
      </c>
      <c r="I300" s="1">
        <v>11</v>
      </c>
      <c r="J300" t="s">
        <v>199</v>
      </c>
      <c r="K300" t="str">
        <f>VLOOKUP(Table1[[#This Row],[Loser]],Ranking!C:D,2,FALSE)</f>
        <v>MVC</v>
      </c>
      <c r="L300" s="1">
        <v>73</v>
      </c>
      <c r="N300" s="1">
        <f>Table1[[#This Row],[Winning Score]]-Table1[[#This Row],[Losing Score]]</f>
        <v>14</v>
      </c>
      <c r="O300" s="1">
        <f>Table1[[#This Row],[Losing Seed]]-Table1[[#This Row],[Winning Seed]]</f>
        <v>8</v>
      </c>
      <c r="P300" s="1" t="str">
        <f>IF(Table1[[#This Row],[SeD]]&lt;-2,Table1[[#This Row],[Winning Seed]]&amp; " over " &amp;Table1[[#This Row],[Losing Seed]],"")</f>
        <v/>
      </c>
      <c r="Q300">
        <f>VLOOKUP(Table1[[#This Row],[Losing Seed]],'Seed History'!$N$4:$O$19,2)</f>
        <v>0.63194444444444442</v>
      </c>
      <c r="R300" s="1">
        <f>IF(Table1[[#This Row],[Round]]="PI",0,Table1[[#This Row],[Round]]-1)</f>
        <v>1</v>
      </c>
      <c r="S300">
        <f>Table1[[#This Row],[LAW]]-Table1[[#This Row],[LEW]]</f>
        <v>0.36805555555555558</v>
      </c>
    </row>
    <row r="301" spans="1:19" x14ac:dyDescent="0.25">
      <c r="A301" s="66">
        <v>32586</v>
      </c>
      <c r="B301" s="51">
        <f>YEAR(Table1[[#This Row],[Date]])</f>
        <v>1989</v>
      </c>
      <c r="C301" s="1">
        <v>2</v>
      </c>
      <c r="D301" t="s">
        <v>49</v>
      </c>
      <c r="E301" s="1">
        <v>5</v>
      </c>
      <c r="F301" t="s">
        <v>301</v>
      </c>
      <c r="G301" t="e">
        <f>VLOOKUP(Table1[[#This Row],[Winner]],Ranking!C:D,2,FALSE)</f>
        <v>#N/A</v>
      </c>
      <c r="H301" s="1">
        <v>102</v>
      </c>
      <c r="I301" s="1">
        <v>4</v>
      </c>
      <c r="J301" t="s">
        <v>69</v>
      </c>
      <c r="K301" t="str">
        <f>VLOOKUP(Table1[[#This Row],[Loser]],Ranking!C:D,2,FALSE)</f>
        <v>B10</v>
      </c>
      <c r="L301" s="1">
        <v>96</v>
      </c>
      <c r="M301" s="1" t="s">
        <v>463</v>
      </c>
      <c r="N301" s="1">
        <f>Table1[[#This Row],[Winning Score]]-Table1[[#This Row],[Losing Score]]</f>
        <v>6</v>
      </c>
      <c r="O301" s="1">
        <f>Table1[[#This Row],[Losing Seed]]-Table1[[#This Row],[Winning Seed]]</f>
        <v>-1</v>
      </c>
      <c r="P301" s="1" t="str">
        <f>IF(Table1[[#This Row],[SeD]]&lt;-2,Table1[[#This Row],[Winning Seed]]&amp; " over " &amp;Table1[[#This Row],[Losing Seed]],"")</f>
        <v/>
      </c>
      <c r="Q301">
        <f>VLOOKUP(Table1[[#This Row],[Losing Seed]],'Seed History'!$N$4:$O$19,2)</f>
        <v>1.5208333333333333</v>
      </c>
      <c r="R301" s="1">
        <f>IF(Table1[[#This Row],[Round]]="PI",0,Table1[[#This Row],[Round]]-1)</f>
        <v>1</v>
      </c>
      <c r="S301">
        <f>Table1[[#This Row],[LAW]]-Table1[[#This Row],[LEW]]</f>
        <v>-0.52083333333333326</v>
      </c>
    </row>
    <row r="302" spans="1:19" x14ac:dyDescent="0.25">
      <c r="A302" s="66">
        <v>32590</v>
      </c>
      <c r="B302" s="51">
        <f>YEAR(Table1[[#This Row],[Date]])</f>
        <v>1989</v>
      </c>
      <c r="C302" s="1">
        <v>3</v>
      </c>
      <c r="D302" t="s">
        <v>461</v>
      </c>
      <c r="E302" s="1">
        <v>5</v>
      </c>
      <c r="F302" t="s">
        <v>61</v>
      </c>
      <c r="G302" t="str">
        <f>VLOOKUP(Table1[[#This Row],[Winner]],Ranking!C:D,2,FALSE)</f>
        <v>ACC</v>
      </c>
      <c r="H302" s="1">
        <v>86</v>
      </c>
      <c r="I302" s="1">
        <v>1</v>
      </c>
      <c r="J302" t="s">
        <v>58</v>
      </c>
      <c r="K302" t="str">
        <f>VLOOKUP(Table1[[#This Row],[Loser]],Ranking!C:D,2,FALSE)</f>
        <v>B12</v>
      </c>
      <c r="L302" s="1">
        <v>80</v>
      </c>
      <c r="N302" s="1">
        <f>Table1[[#This Row],[Winning Score]]-Table1[[#This Row],[Losing Score]]</f>
        <v>6</v>
      </c>
      <c r="O302" s="1">
        <f>Table1[[#This Row],[Losing Seed]]-Table1[[#This Row],[Winning Seed]]</f>
        <v>-4</v>
      </c>
      <c r="P302" s="1" t="str">
        <f>IF(Table1[[#This Row],[SeD]]&lt;-2,Table1[[#This Row],[Winning Seed]]&amp; " over " &amp;Table1[[#This Row],[Losing Seed]],"")</f>
        <v>5 over 1</v>
      </c>
      <c r="Q302">
        <f>VLOOKUP(Table1[[#This Row],[Losing Seed]],'Seed History'!$N$4:$O$19,2)</f>
        <v>3.3263888888888888</v>
      </c>
      <c r="R302" s="1">
        <f>IF(Table1[[#This Row],[Round]]="PI",0,Table1[[#This Row],[Round]]-1)</f>
        <v>2</v>
      </c>
      <c r="S302">
        <f>Table1[[#This Row],[LAW]]-Table1[[#This Row],[LEW]]</f>
        <v>-1.3263888888888888</v>
      </c>
    </row>
    <row r="303" spans="1:19" x14ac:dyDescent="0.25">
      <c r="A303" s="66">
        <v>32590</v>
      </c>
      <c r="B303" s="51">
        <f>YEAR(Table1[[#This Row],[Date]])</f>
        <v>1989</v>
      </c>
      <c r="C303" s="1">
        <v>3</v>
      </c>
      <c r="D303" t="s">
        <v>38</v>
      </c>
      <c r="E303" s="1">
        <v>4</v>
      </c>
      <c r="F303" t="s">
        <v>396</v>
      </c>
      <c r="G303" t="str">
        <f>VLOOKUP(Table1[[#This Row],[Winner]],Ranking!C:D,2,FALSE)</f>
        <v>MWC</v>
      </c>
      <c r="H303" s="1">
        <v>68</v>
      </c>
      <c r="I303" s="1">
        <v>1</v>
      </c>
      <c r="J303" t="s">
        <v>48</v>
      </c>
      <c r="K303" t="str">
        <f>VLOOKUP(Table1[[#This Row],[Loser]],Ranking!C:D,2,FALSE)</f>
        <v>P12</v>
      </c>
      <c r="L303" s="1">
        <v>67</v>
      </c>
      <c r="N303" s="1">
        <f>Table1[[#This Row],[Winning Score]]-Table1[[#This Row],[Losing Score]]</f>
        <v>1</v>
      </c>
      <c r="O303" s="1">
        <f>Table1[[#This Row],[Losing Seed]]-Table1[[#This Row],[Winning Seed]]</f>
        <v>-3</v>
      </c>
      <c r="P303" s="1" t="str">
        <f>IF(Table1[[#This Row],[SeD]]&lt;-2,Table1[[#This Row],[Winning Seed]]&amp; " over " &amp;Table1[[#This Row],[Losing Seed]],"")</f>
        <v>4 over 1</v>
      </c>
      <c r="Q303">
        <f>VLOOKUP(Table1[[#This Row],[Losing Seed]],'Seed History'!$N$4:$O$19,2)</f>
        <v>3.3263888888888888</v>
      </c>
      <c r="R303" s="1">
        <f>IF(Table1[[#This Row],[Round]]="PI",0,Table1[[#This Row],[Round]]-1)</f>
        <v>2</v>
      </c>
      <c r="S303">
        <f>Table1[[#This Row],[LAW]]-Table1[[#This Row],[LEW]]</f>
        <v>-1.3263888888888888</v>
      </c>
    </row>
    <row r="304" spans="1:19" x14ac:dyDescent="0.25">
      <c r="A304" s="66">
        <v>32590</v>
      </c>
      <c r="B304" s="51">
        <f>YEAR(Table1[[#This Row],[Date]])</f>
        <v>1989</v>
      </c>
      <c r="C304" s="1">
        <v>3</v>
      </c>
      <c r="D304" t="s">
        <v>461</v>
      </c>
      <c r="E304" s="1">
        <v>3</v>
      </c>
      <c r="F304" t="s">
        <v>82</v>
      </c>
      <c r="G304" t="str">
        <f>VLOOKUP(Table1[[#This Row],[Winner]],Ranking!C:D,2,FALSE)</f>
        <v>B10</v>
      </c>
      <c r="H304" s="1">
        <v>92</v>
      </c>
      <c r="I304" s="1">
        <v>2</v>
      </c>
      <c r="J304" t="s">
        <v>298</v>
      </c>
      <c r="K304" t="str">
        <f>VLOOKUP(Table1[[#This Row],[Loser]],Ranking!C:D,2,FALSE)</f>
        <v>ACC</v>
      </c>
      <c r="L304" s="1">
        <v>87</v>
      </c>
      <c r="N304" s="1">
        <f>Table1[[#This Row],[Winning Score]]-Table1[[#This Row],[Losing Score]]</f>
        <v>5</v>
      </c>
      <c r="O304" s="1">
        <f>Table1[[#This Row],[Losing Seed]]-Table1[[#This Row],[Winning Seed]]</f>
        <v>-1</v>
      </c>
      <c r="P304" s="1" t="str">
        <f>IF(Table1[[#This Row],[SeD]]&lt;-2,Table1[[#This Row],[Winning Seed]]&amp; " over " &amp;Table1[[#This Row],[Losing Seed]],"")</f>
        <v/>
      </c>
      <c r="Q304">
        <f>VLOOKUP(Table1[[#This Row],[Losing Seed]],'Seed History'!$N$4:$O$19,2)</f>
        <v>2.3472222222222223</v>
      </c>
      <c r="R304" s="1">
        <f>IF(Table1[[#This Row],[Round]]="PI",0,Table1[[#This Row],[Round]]-1)</f>
        <v>2</v>
      </c>
      <c r="S304">
        <f>Table1[[#This Row],[LAW]]-Table1[[#This Row],[LEW]]</f>
        <v>-0.34722222222222232</v>
      </c>
    </row>
    <row r="305" spans="1:19" x14ac:dyDescent="0.25">
      <c r="A305" s="66">
        <v>32590</v>
      </c>
      <c r="B305" s="51">
        <f>YEAR(Table1[[#This Row],[Date]])</f>
        <v>1989</v>
      </c>
      <c r="C305" s="1">
        <v>3</v>
      </c>
      <c r="D305" t="s">
        <v>38</v>
      </c>
      <c r="E305" s="1">
        <v>3</v>
      </c>
      <c r="F305" t="s">
        <v>87</v>
      </c>
      <c r="G305" t="str">
        <f>VLOOKUP(Table1[[#This Row],[Winner]],Ranking!C:D,2,FALSE)</f>
        <v>BE</v>
      </c>
      <c r="H305" s="1">
        <v>78</v>
      </c>
      <c r="I305" s="1">
        <v>2</v>
      </c>
      <c r="J305" t="s">
        <v>36</v>
      </c>
      <c r="K305" t="str">
        <f>VLOOKUP(Table1[[#This Row],[Loser]],Ranking!C:D,2,FALSE)</f>
        <v>B10</v>
      </c>
      <c r="L305" s="1">
        <v>65</v>
      </c>
      <c r="N305" s="1">
        <f>Table1[[#This Row],[Winning Score]]-Table1[[#This Row],[Losing Score]]</f>
        <v>13</v>
      </c>
      <c r="O305" s="1">
        <f>Table1[[#This Row],[Losing Seed]]-Table1[[#This Row],[Winning Seed]]</f>
        <v>-1</v>
      </c>
      <c r="P305" s="1" t="str">
        <f>IF(Table1[[#This Row],[SeD]]&lt;-2,Table1[[#This Row],[Winning Seed]]&amp; " over " &amp;Table1[[#This Row],[Losing Seed]],"")</f>
        <v/>
      </c>
      <c r="Q305">
        <f>VLOOKUP(Table1[[#This Row],[Losing Seed]],'Seed History'!$N$4:$O$19,2)</f>
        <v>2.3472222222222223</v>
      </c>
      <c r="R305" s="1">
        <f>IF(Table1[[#This Row],[Round]]="PI",0,Table1[[#This Row],[Round]]-1)</f>
        <v>2</v>
      </c>
      <c r="S305">
        <f>Table1[[#This Row],[LAW]]-Table1[[#This Row],[LEW]]</f>
        <v>-0.34722222222222232</v>
      </c>
    </row>
    <row r="306" spans="1:19" x14ac:dyDescent="0.25">
      <c r="A306" s="66">
        <v>32591</v>
      </c>
      <c r="B306" s="51">
        <f>YEAR(Table1[[#This Row],[Date]])</f>
        <v>1989</v>
      </c>
      <c r="C306" s="1">
        <v>3</v>
      </c>
      <c r="D306" t="s">
        <v>49</v>
      </c>
      <c r="E306" s="1">
        <v>1</v>
      </c>
      <c r="F306" t="s">
        <v>66</v>
      </c>
      <c r="G306" t="str">
        <f>VLOOKUP(Table1[[#This Row],[Winner]],Ranking!C:D,2,FALSE)</f>
        <v>BE</v>
      </c>
      <c r="H306" s="1">
        <v>69</v>
      </c>
      <c r="I306" s="1">
        <v>5</v>
      </c>
      <c r="J306" t="s">
        <v>301</v>
      </c>
      <c r="K306" t="e">
        <f>VLOOKUP(Table1[[#This Row],[Loser]],Ranking!C:D,2,FALSE)</f>
        <v>#N/A</v>
      </c>
      <c r="L306" s="1">
        <v>61</v>
      </c>
      <c r="N306" s="1">
        <f>Table1[[#This Row],[Winning Score]]-Table1[[#This Row],[Losing Score]]</f>
        <v>8</v>
      </c>
      <c r="O306" s="1">
        <f>Table1[[#This Row],[Losing Seed]]-Table1[[#This Row],[Winning Seed]]</f>
        <v>4</v>
      </c>
      <c r="P306" s="1" t="str">
        <f>IF(Table1[[#This Row],[SeD]]&lt;-2,Table1[[#This Row],[Winning Seed]]&amp; " over " &amp;Table1[[#This Row],[Losing Seed]],"")</f>
        <v/>
      </c>
      <c r="Q306">
        <f>VLOOKUP(Table1[[#This Row],[Losing Seed]],'Seed History'!$N$4:$O$19,2)</f>
        <v>1.1180555555555556</v>
      </c>
      <c r="R306" s="1">
        <f>IF(Table1[[#This Row],[Round]]="PI",0,Table1[[#This Row],[Round]]-1)</f>
        <v>2</v>
      </c>
      <c r="S306">
        <f>Table1[[#This Row],[LAW]]-Table1[[#This Row],[LEW]]</f>
        <v>0.88194444444444442</v>
      </c>
    </row>
    <row r="307" spans="1:19" x14ac:dyDescent="0.25">
      <c r="A307" s="66">
        <v>32591</v>
      </c>
      <c r="B307" s="51">
        <f>YEAR(Table1[[#This Row],[Date]])</f>
        <v>1989</v>
      </c>
      <c r="C307" s="1">
        <v>3</v>
      </c>
      <c r="D307" t="s">
        <v>49</v>
      </c>
      <c r="E307" s="1">
        <v>2</v>
      </c>
      <c r="F307" t="s">
        <v>64</v>
      </c>
      <c r="G307" t="str">
        <f>VLOOKUP(Table1[[#This Row],[Winner]],Ranking!C:D,2,FALSE)</f>
        <v>ACC</v>
      </c>
      <c r="H307" s="1">
        <v>87</v>
      </c>
      <c r="I307" s="1">
        <v>11</v>
      </c>
      <c r="J307" t="s">
        <v>274</v>
      </c>
      <c r="K307" t="str">
        <f>VLOOKUP(Table1[[#This Row],[Loser]],Ranking!C:D,2,FALSE)</f>
        <v>B10</v>
      </c>
      <c r="L307" s="1">
        <v>70</v>
      </c>
      <c r="N307" s="1">
        <f>Table1[[#This Row],[Winning Score]]-Table1[[#This Row],[Losing Score]]</f>
        <v>17</v>
      </c>
      <c r="O307" s="1">
        <f>Table1[[#This Row],[Losing Seed]]-Table1[[#This Row],[Winning Seed]]</f>
        <v>9</v>
      </c>
      <c r="P307" s="1" t="str">
        <f>IF(Table1[[#This Row],[SeD]]&lt;-2,Table1[[#This Row],[Winning Seed]]&amp; " over " &amp;Table1[[#This Row],[Losing Seed]],"")</f>
        <v/>
      </c>
      <c r="Q307">
        <f>VLOOKUP(Table1[[#This Row],[Losing Seed]],'Seed History'!$N$4:$O$19,2)</f>
        <v>0.63194444444444442</v>
      </c>
      <c r="R307" s="1">
        <f>IF(Table1[[#This Row],[Round]]="PI",0,Table1[[#This Row],[Round]]-1)</f>
        <v>2</v>
      </c>
      <c r="S307">
        <f>Table1[[#This Row],[LAW]]-Table1[[#This Row],[LEW]]</f>
        <v>1.3680555555555556</v>
      </c>
    </row>
    <row r="308" spans="1:19" x14ac:dyDescent="0.25">
      <c r="A308" s="66">
        <v>32591</v>
      </c>
      <c r="B308" s="51">
        <f>YEAR(Table1[[#This Row],[Date]])</f>
        <v>1989</v>
      </c>
      <c r="C308" s="1">
        <v>3</v>
      </c>
      <c r="D308" t="s">
        <v>439</v>
      </c>
      <c r="E308" s="1">
        <v>1</v>
      </c>
      <c r="F308" t="s">
        <v>230</v>
      </c>
      <c r="G308" t="str">
        <f>VLOOKUP(Table1[[#This Row],[Winner]],Ranking!C:D,2,FALSE)</f>
        <v>B10</v>
      </c>
      <c r="H308" s="1">
        <v>83</v>
      </c>
      <c r="I308" s="1">
        <v>4</v>
      </c>
      <c r="J308" t="s">
        <v>54</v>
      </c>
      <c r="K308" t="str">
        <f>VLOOKUP(Table1[[#This Row],[Loser]],Ranking!C:D,2,FALSE)</f>
        <v>ACC</v>
      </c>
      <c r="L308" s="1">
        <v>69</v>
      </c>
      <c r="N308" s="1">
        <f>Table1[[#This Row],[Winning Score]]-Table1[[#This Row],[Losing Score]]</f>
        <v>14</v>
      </c>
      <c r="O308" s="1">
        <f>Table1[[#This Row],[Losing Seed]]-Table1[[#This Row],[Winning Seed]]</f>
        <v>3</v>
      </c>
      <c r="P308" s="1" t="str">
        <f>IF(Table1[[#This Row],[SeD]]&lt;-2,Table1[[#This Row],[Winning Seed]]&amp; " over " &amp;Table1[[#This Row],[Losing Seed]],"")</f>
        <v/>
      </c>
      <c r="Q308">
        <f>VLOOKUP(Table1[[#This Row],[Losing Seed]],'Seed History'!$N$4:$O$19,2)</f>
        <v>1.5208333333333333</v>
      </c>
      <c r="R308" s="1">
        <f>IF(Table1[[#This Row],[Round]]="PI",0,Table1[[#This Row],[Round]]-1)</f>
        <v>2</v>
      </c>
      <c r="S308">
        <f>Table1[[#This Row],[LAW]]-Table1[[#This Row],[LEW]]</f>
        <v>0.47916666666666674</v>
      </c>
    </row>
    <row r="309" spans="1:19" x14ac:dyDescent="0.25">
      <c r="A309" s="66">
        <v>32591</v>
      </c>
      <c r="B309" s="51">
        <f>YEAR(Table1[[#This Row],[Date]])</f>
        <v>1989</v>
      </c>
      <c r="C309" s="1">
        <v>3</v>
      </c>
      <c r="D309" t="s">
        <v>439</v>
      </c>
      <c r="E309" s="1">
        <v>2</v>
      </c>
      <c r="F309" t="s">
        <v>86</v>
      </c>
      <c r="G309" t="str">
        <f>VLOOKUP(Table1[[#This Row],[Winner]],Ranking!C:D,2,FALSE)</f>
        <v>ACC</v>
      </c>
      <c r="H309" s="1">
        <v>83</v>
      </c>
      <c r="I309" s="1">
        <v>3</v>
      </c>
      <c r="J309" t="s">
        <v>277</v>
      </c>
      <c r="K309" t="str">
        <f>VLOOKUP(Table1[[#This Row],[Loser]],Ranking!C:D,2,FALSE)</f>
        <v>SEC</v>
      </c>
      <c r="L309" s="1">
        <v>80</v>
      </c>
      <c r="N309" s="1">
        <f>Table1[[#This Row],[Winning Score]]-Table1[[#This Row],[Losing Score]]</f>
        <v>3</v>
      </c>
      <c r="O309" s="1">
        <f>Table1[[#This Row],[Losing Seed]]-Table1[[#This Row],[Winning Seed]]</f>
        <v>1</v>
      </c>
      <c r="P309" s="1" t="str">
        <f>IF(Table1[[#This Row],[SeD]]&lt;-2,Table1[[#This Row],[Winning Seed]]&amp; " over " &amp;Table1[[#This Row],[Losing Seed]],"")</f>
        <v/>
      </c>
      <c r="Q309">
        <f>VLOOKUP(Table1[[#This Row],[Losing Seed]],'Seed History'!$N$4:$O$19,2)</f>
        <v>1.8472222222222223</v>
      </c>
      <c r="R309" s="1">
        <f>IF(Table1[[#This Row],[Round]]="PI",0,Table1[[#This Row],[Round]]-1)</f>
        <v>2</v>
      </c>
      <c r="S309">
        <f>Table1[[#This Row],[LAW]]-Table1[[#This Row],[LEW]]</f>
        <v>0.15277777777777768</v>
      </c>
    </row>
    <row r="310" spans="1:19" x14ac:dyDescent="0.25">
      <c r="A310" s="66">
        <v>32592</v>
      </c>
      <c r="B310" s="51">
        <f>YEAR(Table1[[#This Row],[Date]])</f>
        <v>1989</v>
      </c>
      <c r="C310" s="1">
        <v>4</v>
      </c>
      <c r="D310" t="s">
        <v>461</v>
      </c>
      <c r="E310" s="1">
        <v>3</v>
      </c>
      <c r="F310" t="s">
        <v>82</v>
      </c>
      <c r="G310" t="str">
        <f>VLOOKUP(Table1[[#This Row],[Winner]],Ranking!C:D,2,FALSE)</f>
        <v>B10</v>
      </c>
      <c r="H310" s="1">
        <v>102</v>
      </c>
      <c r="I310" s="1">
        <v>5</v>
      </c>
      <c r="J310" t="s">
        <v>61</v>
      </c>
      <c r="K310" t="str">
        <f>VLOOKUP(Table1[[#This Row],[Loser]],Ranking!C:D,2,FALSE)</f>
        <v>ACC</v>
      </c>
      <c r="L310" s="1">
        <v>65</v>
      </c>
      <c r="N310" s="1">
        <f>Table1[[#This Row],[Winning Score]]-Table1[[#This Row],[Losing Score]]</f>
        <v>37</v>
      </c>
      <c r="O310" s="1">
        <f>Table1[[#This Row],[Losing Seed]]-Table1[[#This Row],[Winning Seed]]</f>
        <v>2</v>
      </c>
      <c r="P310" s="1" t="str">
        <f>IF(Table1[[#This Row],[SeD]]&lt;-2,Table1[[#This Row],[Winning Seed]]&amp; " over " &amp;Table1[[#This Row],[Losing Seed]],"")</f>
        <v/>
      </c>
      <c r="Q310">
        <f>VLOOKUP(Table1[[#This Row],[Losing Seed]],'Seed History'!$N$4:$O$19,2)</f>
        <v>1.1180555555555556</v>
      </c>
      <c r="R310" s="1">
        <f>IF(Table1[[#This Row],[Round]]="PI",0,Table1[[#This Row],[Round]]-1)</f>
        <v>3</v>
      </c>
      <c r="S310">
        <f>Table1[[#This Row],[LAW]]-Table1[[#This Row],[LEW]]</f>
        <v>1.8819444444444444</v>
      </c>
    </row>
    <row r="311" spans="1:19" x14ac:dyDescent="0.25">
      <c r="A311" s="66">
        <v>32592</v>
      </c>
      <c r="B311" s="51">
        <f>YEAR(Table1[[#This Row],[Date]])</f>
        <v>1989</v>
      </c>
      <c r="C311" s="1">
        <v>4</v>
      </c>
      <c r="D311" t="s">
        <v>38</v>
      </c>
      <c r="E311" s="1">
        <v>3</v>
      </c>
      <c r="F311" t="s">
        <v>87</v>
      </c>
      <c r="G311" t="str">
        <f>VLOOKUP(Table1[[#This Row],[Winner]],Ranking!C:D,2,FALSE)</f>
        <v>BE</v>
      </c>
      <c r="H311" s="1">
        <v>84</v>
      </c>
      <c r="I311" s="1">
        <v>4</v>
      </c>
      <c r="J311" t="s">
        <v>396</v>
      </c>
      <c r="K311" t="str">
        <f>VLOOKUP(Table1[[#This Row],[Loser]],Ranking!C:D,2,FALSE)</f>
        <v>MWC</v>
      </c>
      <c r="L311" s="1">
        <v>61</v>
      </c>
      <c r="N311" s="1">
        <f>Table1[[#This Row],[Winning Score]]-Table1[[#This Row],[Losing Score]]</f>
        <v>23</v>
      </c>
      <c r="O311" s="1">
        <f>Table1[[#This Row],[Losing Seed]]-Table1[[#This Row],[Winning Seed]]</f>
        <v>1</v>
      </c>
      <c r="P311" s="1" t="str">
        <f>IF(Table1[[#This Row],[SeD]]&lt;-2,Table1[[#This Row],[Winning Seed]]&amp; " over " &amp;Table1[[#This Row],[Losing Seed]],"")</f>
        <v/>
      </c>
      <c r="Q311">
        <f>VLOOKUP(Table1[[#This Row],[Losing Seed]],'Seed History'!$N$4:$O$19,2)</f>
        <v>1.5208333333333333</v>
      </c>
      <c r="R311" s="1">
        <f>IF(Table1[[#This Row],[Round]]="PI",0,Table1[[#This Row],[Round]]-1)</f>
        <v>3</v>
      </c>
      <c r="S311">
        <f>Table1[[#This Row],[LAW]]-Table1[[#This Row],[LEW]]</f>
        <v>1.4791666666666667</v>
      </c>
    </row>
    <row r="312" spans="1:19" x14ac:dyDescent="0.25">
      <c r="A312" s="66">
        <v>32593</v>
      </c>
      <c r="B312" s="51">
        <f>YEAR(Table1[[#This Row],[Date]])</f>
        <v>1989</v>
      </c>
      <c r="C312" s="1">
        <v>4</v>
      </c>
      <c r="D312" t="s">
        <v>439</v>
      </c>
      <c r="E312" s="1">
        <v>1</v>
      </c>
      <c r="F312" t="s">
        <v>230</v>
      </c>
      <c r="G312" t="str">
        <f>VLOOKUP(Table1[[#This Row],[Winner]],Ranking!C:D,2,FALSE)</f>
        <v>B10</v>
      </c>
      <c r="H312" s="1">
        <v>89</v>
      </c>
      <c r="I312" s="1">
        <v>2</v>
      </c>
      <c r="J312" t="s">
        <v>86</v>
      </c>
      <c r="K312" t="str">
        <f>VLOOKUP(Table1[[#This Row],[Loser]],Ranking!C:D,2,FALSE)</f>
        <v>ACC</v>
      </c>
      <c r="L312" s="1">
        <v>86</v>
      </c>
      <c r="N312" s="1">
        <f>Table1[[#This Row],[Winning Score]]-Table1[[#This Row],[Losing Score]]</f>
        <v>3</v>
      </c>
      <c r="O312" s="1">
        <f>Table1[[#This Row],[Losing Seed]]-Table1[[#This Row],[Winning Seed]]</f>
        <v>1</v>
      </c>
      <c r="P312" s="1" t="str">
        <f>IF(Table1[[#This Row],[SeD]]&lt;-2,Table1[[#This Row],[Winning Seed]]&amp; " over " &amp;Table1[[#This Row],[Losing Seed]],"")</f>
        <v/>
      </c>
      <c r="Q312">
        <f>VLOOKUP(Table1[[#This Row],[Losing Seed]],'Seed History'!$N$4:$O$19,2)</f>
        <v>2.3472222222222223</v>
      </c>
      <c r="R312" s="1">
        <f>IF(Table1[[#This Row],[Round]]="PI",0,Table1[[#This Row],[Round]]-1)</f>
        <v>3</v>
      </c>
      <c r="S312">
        <f>Table1[[#This Row],[LAW]]-Table1[[#This Row],[LEW]]</f>
        <v>0.65277777777777768</v>
      </c>
    </row>
    <row r="313" spans="1:19" x14ac:dyDescent="0.25">
      <c r="A313" s="66">
        <v>32593</v>
      </c>
      <c r="B313" s="51">
        <f>YEAR(Table1[[#This Row],[Date]])</f>
        <v>1989</v>
      </c>
      <c r="C313" s="1">
        <v>4</v>
      </c>
      <c r="D313" t="s">
        <v>49</v>
      </c>
      <c r="E313" s="1">
        <v>2</v>
      </c>
      <c r="F313" t="s">
        <v>64</v>
      </c>
      <c r="G313" t="str">
        <f>VLOOKUP(Table1[[#This Row],[Winner]],Ranking!C:D,2,FALSE)</f>
        <v>ACC</v>
      </c>
      <c r="H313" s="1">
        <v>85</v>
      </c>
      <c r="I313" s="1">
        <v>1</v>
      </c>
      <c r="J313" t="s">
        <v>66</v>
      </c>
      <c r="K313" t="str">
        <f>VLOOKUP(Table1[[#This Row],[Loser]],Ranking!C:D,2,FALSE)</f>
        <v>BE</v>
      </c>
      <c r="L313" s="1">
        <v>77</v>
      </c>
      <c r="N313" s="1">
        <f>Table1[[#This Row],[Winning Score]]-Table1[[#This Row],[Losing Score]]</f>
        <v>8</v>
      </c>
      <c r="O313" s="1">
        <f>Table1[[#This Row],[Losing Seed]]-Table1[[#This Row],[Winning Seed]]</f>
        <v>-1</v>
      </c>
      <c r="P313" s="1" t="str">
        <f>IF(Table1[[#This Row],[SeD]]&lt;-2,Table1[[#This Row],[Winning Seed]]&amp; " over " &amp;Table1[[#This Row],[Losing Seed]],"")</f>
        <v/>
      </c>
      <c r="Q313">
        <f>VLOOKUP(Table1[[#This Row],[Losing Seed]],'Seed History'!$N$4:$O$19,2)</f>
        <v>3.3263888888888888</v>
      </c>
      <c r="R313" s="1">
        <f>IF(Table1[[#This Row],[Round]]="PI",0,Table1[[#This Row],[Round]]-1)</f>
        <v>3</v>
      </c>
      <c r="S313">
        <f>Table1[[#This Row],[LAW]]-Table1[[#This Row],[LEW]]</f>
        <v>-0.32638888888888884</v>
      </c>
    </row>
    <row r="314" spans="1:19" x14ac:dyDescent="0.25">
      <c r="A314" s="66">
        <v>32599</v>
      </c>
      <c r="B314" s="51">
        <f>YEAR(Table1[[#This Row],[Date]])</f>
        <v>1989</v>
      </c>
      <c r="C314" s="1">
        <v>5</v>
      </c>
      <c r="D314" t="s">
        <v>467</v>
      </c>
      <c r="E314" s="1">
        <v>3</v>
      </c>
      <c r="F314" t="s">
        <v>82</v>
      </c>
      <c r="G314" t="str">
        <f>VLOOKUP(Table1[[#This Row],[Winner]],Ranking!C:D,2,FALSE)</f>
        <v>B10</v>
      </c>
      <c r="H314" s="1">
        <v>83</v>
      </c>
      <c r="I314" s="1">
        <v>1</v>
      </c>
      <c r="J314" t="s">
        <v>230</v>
      </c>
      <c r="K314" t="str">
        <f>VLOOKUP(Table1[[#This Row],[Loser]],Ranking!C:D,2,FALSE)</f>
        <v>B10</v>
      </c>
      <c r="L314" s="1">
        <v>81</v>
      </c>
      <c r="N314" s="1">
        <f>Table1[[#This Row],[Winning Score]]-Table1[[#This Row],[Losing Score]]</f>
        <v>2</v>
      </c>
      <c r="O314" s="1">
        <f>Table1[[#This Row],[Losing Seed]]-Table1[[#This Row],[Winning Seed]]</f>
        <v>-2</v>
      </c>
      <c r="P314" s="1" t="str">
        <f>IF(Table1[[#This Row],[SeD]]&lt;-2,Table1[[#This Row],[Winning Seed]]&amp; " over " &amp;Table1[[#This Row],[Losing Seed]],"")</f>
        <v/>
      </c>
      <c r="Q314">
        <f>VLOOKUP(Table1[[#This Row],[Losing Seed]],'Seed History'!$N$4:$O$19,2)</f>
        <v>3.3263888888888888</v>
      </c>
      <c r="R314" s="1">
        <f>IF(Table1[[#This Row],[Round]]="PI",0,Table1[[#This Row],[Round]]-1)</f>
        <v>4</v>
      </c>
      <c r="S314">
        <f>Table1[[#This Row],[LAW]]-Table1[[#This Row],[LEW]]</f>
        <v>0.67361111111111116</v>
      </c>
    </row>
    <row r="315" spans="1:19" x14ac:dyDescent="0.25">
      <c r="A315" s="66">
        <v>32599</v>
      </c>
      <c r="B315" s="51">
        <f>YEAR(Table1[[#This Row],[Date]])</f>
        <v>1989</v>
      </c>
      <c r="C315" s="1">
        <v>5</v>
      </c>
      <c r="D315" t="s">
        <v>467</v>
      </c>
      <c r="E315" s="1">
        <v>3</v>
      </c>
      <c r="F315" t="s">
        <v>87</v>
      </c>
      <c r="G315" t="str">
        <f>VLOOKUP(Table1[[#This Row],[Winner]],Ranking!C:D,2,FALSE)</f>
        <v>BE</v>
      </c>
      <c r="H315" s="1">
        <v>95</v>
      </c>
      <c r="I315" s="1">
        <v>2</v>
      </c>
      <c r="J315" t="s">
        <v>64</v>
      </c>
      <c r="K315" t="str">
        <f>VLOOKUP(Table1[[#This Row],[Loser]],Ranking!C:D,2,FALSE)</f>
        <v>ACC</v>
      </c>
      <c r="L315" s="1">
        <v>78</v>
      </c>
      <c r="N315" s="1">
        <f>Table1[[#This Row],[Winning Score]]-Table1[[#This Row],[Losing Score]]</f>
        <v>17</v>
      </c>
      <c r="O315" s="1">
        <f>Table1[[#This Row],[Losing Seed]]-Table1[[#This Row],[Winning Seed]]</f>
        <v>-1</v>
      </c>
      <c r="P315" s="1" t="str">
        <f>IF(Table1[[#This Row],[SeD]]&lt;-2,Table1[[#This Row],[Winning Seed]]&amp; " over " &amp;Table1[[#This Row],[Losing Seed]],"")</f>
        <v/>
      </c>
      <c r="Q315">
        <f>VLOOKUP(Table1[[#This Row],[Losing Seed]],'Seed History'!$N$4:$O$19,2)</f>
        <v>2.3472222222222223</v>
      </c>
      <c r="R315" s="1">
        <f>IF(Table1[[#This Row],[Round]]="PI",0,Table1[[#This Row],[Round]]-1)</f>
        <v>4</v>
      </c>
      <c r="S315">
        <f>Table1[[#This Row],[LAW]]-Table1[[#This Row],[LEW]]</f>
        <v>1.6527777777777777</v>
      </c>
    </row>
    <row r="316" spans="1:19" x14ac:dyDescent="0.25">
      <c r="A316" s="66">
        <v>32601</v>
      </c>
      <c r="B316" s="51">
        <f>YEAR(Table1[[#This Row],[Date]])</f>
        <v>1989</v>
      </c>
      <c r="C316" s="1">
        <v>6</v>
      </c>
      <c r="D316" t="s">
        <v>468</v>
      </c>
      <c r="E316" s="1">
        <v>3</v>
      </c>
      <c r="F316" t="s">
        <v>82</v>
      </c>
      <c r="G316" t="str">
        <f>VLOOKUP(Table1[[#This Row],[Winner]],Ranking!C:D,2,FALSE)</f>
        <v>B10</v>
      </c>
      <c r="H316" s="1">
        <v>80</v>
      </c>
      <c r="I316" s="1">
        <v>3</v>
      </c>
      <c r="J316" t="s">
        <v>87</v>
      </c>
      <c r="K316" t="str">
        <f>VLOOKUP(Table1[[#This Row],[Loser]],Ranking!C:D,2,FALSE)</f>
        <v>BE</v>
      </c>
      <c r="L316" s="1">
        <v>79</v>
      </c>
      <c r="M316" s="1" t="s">
        <v>462</v>
      </c>
      <c r="N316" s="1">
        <f>Table1[[#This Row],[Winning Score]]-Table1[[#This Row],[Losing Score]]</f>
        <v>1</v>
      </c>
      <c r="O316" s="1">
        <f>Table1[[#This Row],[Losing Seed]]-Table1[[#This Row],[Winning Seed]]</f>
        <v>0</v>
      </c>
      <c r="P316" s="1" t="str">
        <f>IF(Table1[[#This Row],[SeD]]&lt;-2,Table1[[#This Row],[Winning Seed]]&amp; " over " &amp;Table1[[#This Row],[Losing Seed]],"")</f>
        <v/>
      </c>
      <c r="Q316">
        <f>VLOOKUP(Table1[[#This Row],[Losing Seed]],'Seed History'!$N$4:$O$19,2)</f>
        <v>1.8472222222222223</v>
      </c>
      <c r="R316" s="1">
        <f>IF(Table1[[#This Row],[Round]]="PI",0,Table1[[#This Row],[Round]]-1)</f>
        <v>5</v>
      </c>
      <c r="S316">
        <f>Table1[[#This Row],[LAW]]-Table1[[#This Row],[LEW]]</f>
        <v>3.1527777777777777</v>
      </c>
    </row>
    <row r="317" spans="1:19" x14ac:dyDescent="0.25">
      <c r="A317" s="66">
        <v>32947</v>
      </c>
      <c r="B317" s="51">
        <f>YEAR(Table1[[#This Row],[Date]])</f>
        <v>1990</v>
      </c>
      <c r="C317" s="1">
        <v>1</v>
      </c>
      <c r="D317" t="s">
        <v>49</v>
      </c>
      <c r="E317" s="1">
        <v>1</v>
      </c>
      <c r="F317" t="s">
        <v>80</v>
      </c>
      <c r="G317" t="str">
        <f>VLOOKUP(Table1[[#This Row],[Winner]],Ranking!C:D,2,FALSE)</f>
        <v>BE</v>
      </c>
      <c r="H317" s="1">
        <v>76</v>
      </c>
      <c r="I317" s="1">
        <v>16</v>
      </c>
      <c r="J317" t="s">
        <v>140</v>
      </c>
      <c r="K317" t="str">
        <f>VLOOKUP(Table1[[#This Row],[Loser]],Ranking!C:D,2,FALSE)</f>
        <v>Pat</v>
      </c>
      <c r="L317" s="1">
        <v>52</v>
      </c>
      <c r="N317" s="1">
        <f>Table1[[#This Row],[Winning Score]]-Table1[[#This Row],[Losing Score]]</f>
        <v>24</v>
      </c>
      <c r="O317" s="1">
        <f>Table1[[#This Row],[Losing Seed]]-Table1[[#This Row],[Winning Seed]]</f>
        <v>15</v>
      </c>
      <c r="P317" s="1" t="str">
        <f>IF(Table1[[#This Row],[SeD]]&lt;-2,Table1[[#This Row],[Winning Seed]]&amp; " over " &amp;Table1[[#This Row],[Losing Seed]],"")</f>
        <v/>
      </c>
      <c r="Q317">
        <f>VLOOKUP(Table1[[#This Row],[Losing Seed]],'Seed History'!$N$4:$O$19,2)</f>
        <v>6.9444444444444441E-3</v>
      </c>
      <c r="R317" s="1">
        <f>IF(Table1[[#This Row],[Round]]="PI",0,Table1[[#This Row],[Round]]-1)</f>
        <v>0</v>
      </c>
      <c r="S317">
        <f>Table1[[#This Row],[LAW]]-Table1[[#This Row],[LEW]]</f>
        <v>-6.9444444444444441E-3</v>
      </c>
    </row>
    <row r="318" spans="1:19" x14ac:dyDescent="0.25">
      <c r="A318" s="66">
        <v>32947</v>
      </c>
      <c r="B318" s="51">
        <f>YEAR(Table1[[#This Row],[Date]])</f>
        <v>1990</v>
      </c>
      <c r="C318" s="1">
        <v>1</v>
      </c>
      <c r="D318" t="s">
        <v>49</v>
      </c>
      <c r="E318" s="1">
        <v>4</v>
      </c>
      <c r="F318" t="s">
        <v>246</v>
      </c>
      <c r="G318" t="str">
        <f>VLOOKUP(Table1[[#This Row],[Winner]],Ranking!C:D,2,FALSE)</f>
        <v>A10</v>
      </c>
      <c r="H318" s="1">
        <v>79</v>
      </c>
      <c r="I318" s="1">
        <v>13</v>
      </c>
      <c r="J318" t="s">
        <v>363</v>
      </c>
      <c r="K318" t="str">
        <f>VLOOKUP(Table1[[#This Row],[Loser]],Ranking!C:D,2,FALSE)</f>
        <v>CUSA</v>
      </c>
      <c r="L318" s="1">
        <v>63</v>
      </c>
      <c r="N318" s="1">
        <f>Table1[[#This Row],[Winning Score]]-Table1[[#This Row],[Losing Score]]</f>
        <v>16</v>
      </c>
      <c r="O318" s="1">
        <f>Table1[[#This Row],[Losing Seed]]-Table1[[#This Row],[Winning Seed]]</f>
        <v>9</v>
      </c>
      <c r="P318" s="1" t="str">
        <f>IF(Table1[[#This Row],[SeD]]&lt;-2,Table1[[#This Row],[Winning Seed]]&amp; " over " &amp;Table1[[#This Row],[Losing Seed]],"")</f>
        <v/>
      </c>
      <c r="Q318">
        <f>VLOOKUP(Table1[[#This Row],[Losing Seed]],'Seed History'!$N$4:$O$19,2)</f>
        <v>0.25694444444444442</v>
      </c>
      <c r="R318" s="1">
        <f>IF(Table1[[#This Row],[Round]]="PI",0,Table1[[#This Row],[Round]]-1)</f>
        <v>0</v>
      </c>
      <c r="S318">
        <f>Table1[[#This Row],[LAW]]-Table1[[#This Row],[LEW]]</f>
        <v>-0.25694444444444442</v>
      </c>
    </row>
    <row r="319" spans="1:19" x14ac:dyDescent="0.25">
      <c r="A319" s="66">
        <v>32947</v>
      </c>
      <c r="B319" s="51">
        <f>YEAR(Table1[[#This Row],[Date]])</f>
        <v>1990</v>
      </c>
      <c r="C319" s="1">
        <v>1</v>
      </c>
      <c r="D319" t="s">
        <v>49</v>
      </c>
      <c r="E319" s="1">
        <v>5</v>
      </c>
      <c r="F319" t="s">
        <v>89</v>
      </c>
      <c r="G319" t="str">
        <f>VLOOKUP(Table1[[#This Row],[Winner]],Ranking!C:D,2,FALSE)</f>
        <v>ACC</v>
      </c>
      <c r="H319" s="1">
        <v>49</v>
      </c>
      <c r="I319" s="1">
        <v>12</v>
      </c>
      <c r="J319" t="s">
        <v>72</v>
      </c>
      <c r="K319" t="str">
        <f>VLOOKUP(Table1[[#This Row],[Loser]],Ranking!C:D,2,FALSE)</f>
        <v>WCC</v>
      </c>
      <c r="L319" s="1">
        <v>47</v>
      </c>
      <c r="N319" s="1">
        <f>Table1[[#This Row],[Winning Score]]-Table1[[#This Row],[Losing Score]]</f>
        <v>2</v>
      </c>
      <c r="O319" s="1">
        <f>Table1[[#This Row],[Losing Seed]]-Table1[[#This Row],[Winning Seed]]</f>
        <v>7</v>
      </c>
      <c r="P319" s="1" t="str">
        <f>IF(Table1[[#This Row],[SeD]]&lt;-2,Table1[[#This Row],[Winning Seed]]&amp; " over " &amp;Table1[[#This Row],[Losing Seed]],"")</f>
        <v/>
      </c>
      <c r="Q319">
        <f>VLOOKUP(Table1[[#This Row],[Losing Seed]],'Seed History'!$N$4:$O$19,2)</f>
        <v>0.52083333333333337</v>
      </c>
      <c r="R319" s="1">
        <f>IF(Table1[[#This Row],[Round]]="PI",0,Table1[[#This Row],[Round]]-1)</f>
        <v>0</v>
      </c>
      <c r="S319">
        <f>Table1[[#This Row],[LAW]]-Table1[[#This Row],[LEW]]</f>
        <v>-0.52083333333333337</v>
      </c>
    </row>
    <row r="320" spans="1:19" x14ac:dyDescent="0.25">
      <c r="A320" s="66">
        <v>32947</v>
      </c>
      <c r="B320" s="51">
        <f>YEAR(Table1[[#This Row],[Date]])</f>
        <v>1990</v>
      </c>
      <c r="C320" s="1">
        <v>1</v>
      </c>
      <c r="D320" t="s">
        <v>439</v>
      </c>
      <c r="E320" s="1">
        <v>1</v>
      </c>
      <c r="F320" t="s">
        <v>58</v>
      </c>
      <c r="G320" t="str">
        <f>VLOOKUP(Table1[[#This Row],[Winner]],Ranking!C:D,2,FALSE)</f>
        <v>B12</v>
      </c>
      <c r="H320" s="1">
        <v>77</v>
      </c>
      <c r="I320" s="1">
        <v>16</v>
      </c>
      <c r="J320" t="s">
        <v>383</v>
      </c>
      <c r="K320" t="str">
        <f>VLOOKUP(Table1[[#This Row],[Loser]],Ranking!C:D,2,FALSE)</f>
        <v>CAA</v>
      </c>
      <c r="L320" s="1">
        <v>68</v>
      </c>
      <c r="N320" s="1">
        <f>Table1[[#This Row],[Winning Score]]-Table1[[#This Row],[Losing Score]]</f>
        <v>9</v>
      </c>
      <c r="O320" s="1">
        <f>Table1[[#This Row],[Losing Seed]]-Table1[[#This Row],[Winning Seed]]</f>
        <v>15</v>
      </c>
      <c r="P320" s="1" t="str">
        <f>IF(Table1[[#This Row],[SeD]]&lt;-2,Table1[[#This Row],[Winning Seed]]&amp; " over " &amp;Table1[[#This Row],[Losing Seed]],"")</f>
        <v/>
      </c>
      <c r="Q320">
        <f>VLOOKUP(Table1[[#This Row],[Losing Seed]],'Seed History'!$N$4:$O$19,2)</f>
        <v>6.9444444444444441E-3</v>
      </c>
      <c r="R320" s="1">
        <f>IF(Table1[[#This Row],[Round]]="PI",0,Table1[[#This Row],[Round]]-1)</f>
        <v>0</v>
      </c>
      <c r="S320">
        <f>Table1[[#This Row],[LAW]]-Table1[[#This Row],[LEW]]</f>
        <v>-6.9444444444444441E-3</v>
      </c>
    </row>
    <row r="321" spans="1:19" x14ac:dyDescent="0.25">
      <c r="A321" s="66">
        <v>32947</v>
      </c>
      <c r="B321" s="51">
        <f>YEAR(Table1[[#This Row],[Date]])</f>
        <v>1990</v>
      </c>
      <c r="C321" s="1">
        <v>1</v>
      </c>
      <c r="D321" t="s">
        <v>439</v>
      </c>
      <c r="E321" s="1">
        <v>4</v>
      </c>
      <c r="F321" t="s">
        <v>41</v>
      </c>
      <c r="G321" t="str">
        <f>VLOOKUP(Table1[[#This Row],[Winner]],Ranking!C:D,2,FALSE)</f>
        <v>SEC</v>
      </c>
      <c r="H321" s="1">
        <v>68</v>
      </c>
      <c r="I321" s="1">
        <v>13</v>
      </c>
      <c r="J321" t="s">
        <v>91</v>
      </c>
      <c r="K321" t="str">
        <f>VLOOKUP(Table1[[#This Row],[Loser]],Ranking!C:D,2,FALSE)</f>
        <v>Ivy</v>
      </c>
      <c r="L321" s="1">
        <v>64</v>
      </c>
      <c r="N321" s="1">
        <f>Table1[[#This Row],[Winning Score]]-Table1[[#This Row],[Losing Score]]</f>
        <v>4</v>
      </c>
      <c r="O321" s="1">
        <f>Table1[[#This Row],[Losing Seed]]-Table1[[#This Row],[Winning Seed]]</f>
        <v>9</v>
      </c>
      <c r="P321" s="1" t="str">
        <f>IF(Table1[[#This Row],[SeD]]&lt;-2,Table1[[#This Row],[Winning Seed]]&amp; " over " &amp;Table1[[#This Row],[Losing Seed]],"")</f>
        <v/>
      </c>
      <c r="Q321">
        <f>VLOOKUP(Table1[[#This Row],[Losing Seed]],'Seed History'!$N$4:$O$19,2)</f>
        <v>0.25694444444444442</v>
      </c>
      <c r="R321" s="1">
        <f>IF(Table1[[#This Row],[Round]]="PI",0,Table1[[#This Row],[Round]]-1)</f>
        <v>0</v>
      </c>
      <c r="S321">
        <f>Table1[[#This Row],[LAW]]-Table1[[#This Row],[LEW]]</f>
        <v>-0.25694444444444442</v>
      </c>
    </row>
    <row r="322" spans="1:19" x14ac:dyDescent="0.25">
      <c r="A322" s="66">
        <v>32947</v>
      </c>
      <c r="B322" s="51">
        <f>YEAR(Table1[[#This Row],[Date]])</f>
        <v>1990</v>
      </c>
      <c r="C322" s="1">
        <v>1</v>
      </c>
      <c r="D322" t="s">
        <v>439</v>
      </c>
      <c r="E322" s="1">
        <v>8</v>
      </c>
      <c r="F322" t="s">
        <v>298</v>
      </c>
      <c r="G322" t="str">
        <f>VLOOKUP(Table1[[#This Row],[Winner]],Ranking!C:D,2,FALSE)</f>
        <v>ACC</v>
      </c>
      <c r="H322" s="1">
        <v>83</v>
      </c>
      <c r="I322" s="1">
        <v>9</v>
      </c>
      <c r="J322" t="s">
        <v>278</v>
      </c>
      <c r="K322" t="str">
        <f>VLOOKUP(Table1[[#This Row],[Loser]],Ranking!C:D,2,FALSE)</f>
        <v>MVC</v>
      </c>
      <c r="L322" s="1">
        <v>70</v>
      </c>
      <c r="N322" s="1">
        <f>Table1[[#This Row],[Winning Score]]-Table1[[#This Row],[Losing Score]]</f>
        <v>13</v>
      </c>
      <c r="O322" s="1">
        <f>Table1[[#This Row],[Losing Seed]]-Table1[[#This Row],[Winning Seed]]</f>
        <v>1</v>
      </c>
      <c r="P322" s="1" t="str">
        <f>IF(Table1[[#This Row],[SeD]]&lt;-2,Table1[[#This Row],[Winning Seed]]&amp; " over " &amp;Table1[[#This Row],[Losing Seed]],"")</f>
        <v/>
      </c>
      <c r="Q322">
        <f>VLOOKUP(Table1[[#This Row],[Losing Seed]],'Seed History'!$N$4:$O$19,2)</f>
        <v>0.59027777777777779</v>
      </c>
      <c r="R322" s="1">
        <f>IF(Table1[[#This Row],[Round]]="PI",0,Table1[[#This Row],[Round]]-1)</f>
        <v>0</v>
      </c>
      <c r="S322">
        <f>Table1[[#This Row],[LAW]]-Table1[[#This Row],[LEW]]</f>
        <v>-0.59027777777777779</v>
      </c>
    </row>
    <row r="323" spans="1:19" x14ac:dyDescent="0.25">
      <c r="A323" s="66">
        <v>32947</v>
      </c>
      <c r="B323" s="51">
        <f>YEAR(Table1[[#This Row],[Date]])</f>
        <v>1990</v>
      </c>
      <c r="C323" s="1">
        <v>1</v>
      </c>
      <c r="D323" t="s">
        <v>461</v>
      </c>
      <c r="E323" s="1">
        <v>1</v>
      </c>
      <c r="F323" t="s">
        <v>271</v>
      </c>
      <c r="G323" t="str">
        <f>VLOOKUP(Table1[[#This Row],[Winner]],Ranking!C:D,2,FALSE)</f>
        <v>B10</v>
      </c>
      <c r="H323" s="1">
        <v>75</v>
      </c>
      <c r="I323" s="1">
        <v>16</v>
      </c>
      <c r="J323" t="s">
        <v>285</v>
      </c>
      <c r="K323" t="str">
        <f>VLOOKUP(Table1[[#This Row],[Loser]],Ranking!C:D,2,FALSE)</f>
        <v>OVC</v>
      </c>
      <c r="L323" s="1">
        <v>71</v>
      </c>
      <c r="M323" s="1" t="s">
        <v>462</v>
      </c>
      <c r="N323" s="1">
        <f>Table1[[#This Row],[Winning Score]]-Table1[[#This Row],[Losing Score]]</f>
        <v>4</v>
      </c>
      <c r="O323" s="1">
        <f>Table1[[#This Row],[Losing Seed]]-Table1[[#This Row],[Winning Seed]]</f>
        <v>15</v>
      </c>
      <c r="P323" s="1" t="str">
        <f>IF(Table1[[#This Row],[SeD]]&lt;-2,Table1[[#This Row],[Winning Seed]]&amp; " over " &amp;Table1[[#This Row],[Losing Seed]],"")</f>
        <v/>
      </c>
      <c r="Q323">
        <f>VLOOKUP(Table1[[#This Row],[Losing Seed]],'Seed History'!$N$4:$O$19,2)</f>
        <v>6.9444444444444441E-3</v>
      </c>
      <c r="R323" s="1">
        <f>IF(Table1[[#This Row],[Round]]="PI",0,Table1[[#This Row],[Round]]-1)</f>
        <v>0</v>
      </c>
      <c r="S323">
        <f>Table1[[#This Row],[LAW]]-Table1[[#This Row],[LEW]]</f>
        <v>-6.9444444444444441E-3</v>
      </c>
    </row>
    <row r="324" spans="1:19" x14ac:dyDescent="0.25">
      <c r="A324" s="66">
        <v>32947</v>
      </c>
      <c r="B324" s="51">
        <f>YEAR(Table1[[#This Row],[Date]])</f>
        <v>1990</v>
      </c>
      <c r="C324" s="1">
        <v>1</v>
      </c>
      <c r="D324" t="s">
        <v>461</v>
      </c>
      <c r="E324" s="1">
        <v>4</v>
      </c>
      <c r="F324" t="s">
        <v>216</v>
      </c>
      <c r="G324" t="str">
        <f>VLOOKUP(Table1[[#This Row],[Winner]],Ranking!C:D,2,FALSE)</f>
        <v>ACC</v>
      </c>
      <c r="H324" s="1">
        <v>99</v>
      </c>
      <c r="I324" s="1">
        <v>13</v>
      </c>
      <c r="J324" t="s">
        <v>192</v>
      </c>
      <c r="K324" t="str">
        <f>VLOOKUP(Table1[[#This Row],[Loser]],Ranking!C:D,2,FALSE)</f>
        <v>SC</v>
      </c>
      <c r="L324" s="1">
        <v>83</v>
      </c>
      <c r="N324" s="1">
        <f>Table1[[#This Row],[Winning Score]]-Table1[[#This Row],[Losing Score]]</f>
        <v>16</v>
      </c>
      <c r="O324" s="1">
        <f>Table1[[#This Row],[Losing Seed]]-Table1[[#This Row],[Winning Seed]]</f>
        <v>9</v>
      </c>
      <c r="P324" s="1" t="str">
        <f>IF(Table1[[#This Row],[SeD]]&lt;-2,Table1[[#This Row],[Winning Seed]]&amp; " over " &amp;Table1[[#This Row],[Losing Seed]],"")</f>
        <v/>
      </c>
      <c r="Q324">
        <f>VLOOKUP(Table1[[#This Row],[Losing Seed]],'Seed History'!$N$4:$O$19,2)</f>
        <v>0.25694444444444442</v>
      </c>
      <c r="R324" s="1">
        <f>IF(Table1[[#This Row],[Round]]="PI",0,Table1[[#This Row],[Round]]-1)</f>
        <v>0</v>
      </c>
      <c r="S324">
        <f>Table1[[#This Row],[LAW]]-Table1[[#This Row],[LEW]]</f>
        <v>-0.25694444444444442</v>
      </c>
    </row>
    <row r="325" spans="1:19" x14ac:dyDescent="0.25">
      <c r="A325" s="66">
        <v>32947</v>
      </c>
      <c r="B325" s="51">
        <f>YEAR(Table1[[#This Row],[Date]])</f>
        <v>1990</v>
      </c>
      <c r="C325" s="1">
        <v>1</v>
      </c>
      <c r="D325" t="s">
        <v>461</v>
      </c>
      <c r="E325" s="1">
        <v>5</v>
      </c>
      <c r="F325" t="s">
        <v>52</v>
      </c>
      <c r="G325" t="str">
        <f>VLOOKUP(Table1[[#This Row],[Winner]],Ranking!C:D,2,FALSE)</f>
        <v>SEC</v>
      </c>
      <c r="H325" s="1">
        <v>70</v>
      </c>
      <c r="I325" s="1">
        <v>12</v>
      </c>
      <c r="J325" t="s">
        <v>50</v>
      </c>
      <c r="K325" t="str">
        <f>VLOOKUP(Table1[[#This Row],[Loser]],Ranking!C:D,2,FALSE)</f>
        <v>BE</v>
      </c>
      <c r="L325" s="1">
        <v>63</v>
      </c>
      <c r="N325" s="1">
        <f>Table1[[#This Row],[Winning Score]]-Table1[[#This Row],[Losing Score]]</f>
        <v>7</v>
      </c>
      <c r="O325" s="1">
        <f>Table1[[#This Row],[Losing Seed]]-Table1[[#This Row],[Winning Seed]]</f>
        <v>7</v>
      </c>
      <c r="P325" s="1" t="str">
        <f>IF(Table1[[#This Row],[SeD]]&lt;-2,Table1[[#This Row],[Winning Seed]]&amp; " over " &amp;Table1[[#This Row],[Losing Seed]],"")</f>
        <v/>
      </c>
      <c r="Q325">
        <f>VLOOKUP(Table1[[#This Row],[Losing Seed]],'Seed History'!$N$4:$O$19,2)</f>
        <v>0.52083333333333337</v>
      </c>
      <c r="R325" s="1">
        <f>IF(Table1[[#This Row],[Round]]="PI",0,Table1[[#This Row],[Round]]-1)</f>
        <v>0</v>
      </c>
      <c r="S325">
        <f>Table1[[#This Row],[LAW]]-Table1[[#This Row],[LEW]]</f>
        <v>-0.52083333333333337</v>
      </c>
    </row>
    <row r="326" spans="1:19" x14ac:dyDescent="0.25">
      <c r="A326" s="66">
        <v>32947</v>
      </c>
      <c r="B326" s="51">
        <f>YEAR(Table1[[#This Row],[Date]])</f>
        <v>1990</v>
      </c>
      <c r="C326" s="1">
        <v>1</v>
      </c>
      <c r="D326" t="s">
        <v>38</v>
      </c>
      <c r="E326" s="1">
        <v>1</v>
      </c>
      <c r="F326" t="s">
        <v>396</v>
      </c>
      <c r="G326" t="str">
        <f>VLOOKUP(Table1[[#This Row],[Winner]],Ranking!C:D,2,FALSE)</f>
        <v>MWC</v>
      </c>
      <c r="H326" s="1">
        <v>102</v>
      </c>
      <c r="I326" s="1">
        <v>16</v>
      </c>
      <c r="J326" t="s">
        <v>472</v>
      </c>
      <c r="K326" t="str">
        <f>VLOOKUP(Table1[[#This Row],[Loser]],Ranking!C:D,2,FALSE)</f>
        <v>SB</v>
      </c>
      <c r="L326" s="1">
        <v>72</v>
      </c>
      <c r="N326" s="1">
        <f>Table1[[#This Row],[Winning Score]]-Table1[[#This Row],[Losing Score]]</f>
        <v>30</v>
      </c>
      <c r="O326" s="1">
        <f>Table1[[#This Row],[Losing Seed]]-Table1[[#This Row],[Winning Seed]]</f>
        <v>15</v>
      </c>
      <c r="P326" s="1" t="str">
        <f>IF(Table1[[#This Row],[SeD]]&lt;-2,Table1[[#This Row],[Winning Seed]]&amp; " over " &amp;Table1[[#This Row],[Losing Seed]],"")</f>
        <v/>
      </c>
      <c r="Q326">
        <f>VLOOKUP(Table1[[#This Row],[Losing Seed]],'Seed History'!$N$4:$O$19,2)</f>
        <v>6.9444444444444441E-3</v>
      </c>
      <c r="R326" s="1">
        <f>IF(Table1[[#This Row],[Round]]="PI",0,Table1[[#This Row],[Round]]-1)</f>
        <v>0</v>
      </c>
      <c r="S326">
        <f>Table1[[#This Row],[LAW]]-Table1[[#This Row],[LEW]]</f>
        <v>-6.9444444444444441E-3</v>
      </c>
    </row>
    <row r="327" spans="1:19" x14ac:dyDescent="0.25">
      <c r="A327" s="66">
        <v>32947</v>
      </c>
      <c r="B327" s="51">
        <f>YEAR(Table1[[#This Row],[Date]])</f>
        <v>1990</v>
      </c>
      <c r="C327" s="1">
        <v>1</v>
      </c>
      <c r="D327" t="s">
        <v>38</v>
      </c>
      <c r="E327" s="1">
        <v>4</v>
      </c>
      <c r="F327" t="s">
        <v>54</v>
      </c>
      <c r="G327" t="str">
        <f>VLOOKUP(Table1[[#This Row],[Winner]],Ranking!C:D,2,FALSE)</f>
        <v>ACC</v>
      </c>
      <c r="H327" s="1">
        <v>78</v>
      </c>
      <c r="I327" s="1">
        <v>13</v>
      </c>
      <c r="J327" t="s">
        <v>228</v>
      </c>
      <c r="K327" t="str">
        <f>VLOOKUP(Table1[[#This Row],[Loser]],Ranking!C:D,2,FALSE)</f>
        <v>BSky</v>
      </c>
      <c r="L327" s="1">
        <v>59</v>
      </c>
      <c r="N327" s="1">
        <f>Table1[[#This Row],[Winning Score]]-Table1[[#This Row],[Losing Score]]</f>
        <v>19</v>
      </c>
      <c r="O327" s="1">
        <f>Table1[[#This Row],[Losing Seed]]-Table1[[#This Row],[Winning Seed]]</f>
        <v>9</v>
      </c>
      <c r="P327" s="1" t="str">
        <f>IF(Table1[[#This Row],[SeD]]&lt;-2,Table1[[#This Row],[Winning Seed]]&amp; " over " &amp;Table1[[#This Row],[Losing Seed]],"")</f>
        <v/>
      </c>
      <c r="Q327">
        <f>VLOOKUP(Table1[[#This Row],[Losing Seed]],'Seed History'!$N$4:$O$19,2)</f>
        <v>0.25694444444444442</v>
      </c>
      <c r="R327" s="1">
        <f>IF(Table1[[#This Row],[Round]]="PI",0,Table1[[#This Row],[Round]]-1)</f>
        <v>0</v>
      </c>
      <c r="S327">
        <f>Table1[[#This Row],[LAW]]-Table1[[#This Row],[LEW]]</f>
        <v>-0.25694444444444442</v>
      </c>
    </row>
    <row r="328" spans="1:19" x14ac:dyDescent="0.25">
      <c r="A328" s="66">
        <v>32947</v>
      </c>
      <c r="B328" s="51">
        <f>YEAR(Table1[[#This Row],[Date]])</f>
        <v>1990</v>
      </c>
      <c r="C328" s="1">
        <v>1</v>
      </c>
      <c r="D328" t="s">
        <v>38</v>
      </c>
      <c r="E328" s="1">
        <v>8</v>
      </c>
      <c r="F328" t="s">
        <v>315</v>
      </c>
      <c r="G328" t="str">
        <f>VLOOKUP(Table1[[#This Row],[Winner]],Ranking!C:D,2,FALSE)</f>
        <v>B10</v>
      </c>
      <c r="H328" s="1">
        <v>84</v>
      </c>
      <c r="I328" s="1">
        <v>9</v>
      </c>
      <c r="J328" t="s">
        <v>56</v>
      </c>
      <c r="K328" t="str">
        <f>VLOOKUP(Table1[[#This Row],[Loser]],Ranking!C:D,2,FALSE)</f>
        <v>BE</v>
      </c>
      <c r="L328" s="1">
        <v>83</v>
      </c>
      <c r="M328" s="1" t="s">
        <v>462</v>
      </c>
      <c r="N328" s="1">
        <f>Table1[[#This Row],[Winning Score]]-Table1[[#This Row],[Losing Score]]</f>
        <v>1</v>
      </c>
      <c r="O328" s="1">
        <f>Table1[[#This Row],[Losing Seed]]-Table1[[#This Row],[Winning Seed]]</f>
        <v>1</v>
      </c>
      <c r="P328" s="1" t="str">
        <f>IF(Table1[[#This Row],[SeD]]&lt;-2,Table1[[#This Row],[Winning Seed]]&amp; " over " &amp;Table1[[#This Row],[Losing Seed]],"")</f>
        <v/>
      </c>
      <c r="Q328">
        <f>VLOOKUP(Table1[[#This Row],[Losing Seed]],'Seed History'!$N$4:$O$19,2)</f>
        <v>0.59027777777777779</v>
      </c>
      <c r="R328" s="1">
        <f>IF(Table1[[#This Row],[Round]]="PI",0,Table1[[#This Row],[Round]]-1)</f>
        <v>0</v>
      </c>
      <c r="S328">
        <f>Table1[[#This Row],[LAW]]-Table1[[#This Row],[LEW]]</f>
        <v>-0.59027777777777779</v>
      </c>
    </row>
    <row r="329" spans="1:19" x14ac:dyDescent="0.25">
      <c r="A329" s="66">
        <v>32947</v>
      </c>
      <c r="B329" s="51">
        <f>YEAR(Table1[[#This Row],[Date]])</f>
        <v>1990</v>
      </c>
      <c r="C329" s="1">
        <v>1</v>
      </c>
      <c r="D329" t="s">
        <v>439</v>
      </c>
      <c r="E329" s="1">
        <v>12</v>
      </c>
      <c r="F329" t="s">
        <v>57</v>
      </c>
      <c r="G329" t="str">
        <f>VLOOKUP(Table1[[#This Row],[Winner]],Ranking!C:D,2,FALSE)</f>
        <v>A10</v>
      </c>
      <c r="H329" s="1">
        <v>88</v>
      </c>
      <c r="I329" s="1">
        <v>5</v>
      </c>
      <c r="J329" t="s">
        <v>230</v>
      </c>
      <c r="K329" t="str">
        <f>VLOOKUP(Table1[[#This Row],[Loser]],Ranking!C:D,2,FALSE)</f>
        <v>B10</v>
      </c>
      <c r="L329" s="1">
        <v>86</v>
      </c>
      <c r="N329" s="1">
        <f>Table1[[#This Row],[Winning Score]]-Table1[[#This Row],[Losing Score]]</f>
        <v>2</v>
      </c>
      <c r="O329" s="1">
        <f>Table1[[#This Row],[Losing Seed]]-Table1[[#This Row],[Winning Seed]]</f>
        <v>-7</v>
      </c>
      <c r="P329" s="1" t="str">
        <f>IF(Table1[[#This Row],[SeD]]&lt;-2,Table1[[#This Row],[Winning Seed]]&amp; " over " &amp;Table1[[#This Row],[Losing Seed]],"")</f>
        <v>12 over 5</v>
      </c>
      <c r="Q329">
        <f>VLOOKUP(Table1[[#This Row],[Losing Seed]],'Seed History'!$N$4:$O$19,2)</f>
        <v>1.1180555555555556</v>
      </c>
      <c r="R329" s="1">
        <f>IF(Table1[[#This Row],[Round]]="PI",0,Table1[[#This Row],[Round]]-1)</f>
        <v>0</v>
      </c>
      <c r="S329">
        <f>Table1[[#This Row],[LAW]]-Table1[[#This Row],[LEW]]</f>
        <v>-1.1180555555555556</v>
      </c>
    </row>
    <row r="330" spans="1:19" x14ac:dyDescent="0.25">
      <c r="A330" s="66">
        <v>32947</v>
      </c>
      <c r="B330" s="51">
        <f>YEAR(Table1[[#This Row],[Date]])</f>
        <v>1990</v>
      </c>
      <c r="C330" s="1">
        <v>1</v>
      </c>
      <c r="D330" t="s">
        <v>38</v>
      </c>
      <c r="E330" s="1">
        <v>12</v>
      </c>
      <c r="F330" t="s">
        <v>132</v>
      </c>
      <c r="G330" t="str">
        <f>VLOOKUP(Table1[[#This Row],[Winner]],Ranking!C:D,2,FALSE)</f>
        <v>MAC</v>
      </c>
      <c r="H330" s="1">
        <v>54</v>
      </c>
      <c r="I330" s="1">
        <v>5</v>
      </c>
      <c r="J330" t="s">
        <v>319</v>
      </c>
      <c r="K330" t="str">
        <f>VLOOKUP(Table1[[#This Row],[Loser]],Ranking!C:D,2,FALSE)</f>
        <v>P12</v>
      </c>
      <c r="L330" s="1">
        <v>53</v>
      </c>
      <c r="N330" s="1">
        <f>Table1[[#This Row],[Winning Score]]-Table1[[#This Row],[Losing Score]]</f>
        <v>1</v>
      </c>
      <c r="O330" s="1">
        <f>Table1[[#This Row],[Losing Seed]]-Table1[[#This Row],[Winning Seed]]</f>
        <v>-7</v>
      </c>
      <c r="P330" s="1" t="str">
        <f>IF(Table1[[#This Row],[SeD]]&lt;-2,Table1[[#This Row],[Winning Seed]]&amp; " over " &amp;Table1[[#This Row],[Losing Seed]],"")</f>
        <v>12 over 5</v>
      </c>
      <c r="Q330">
        <f>VLOOKUP(Table1[[#This Row],[Losing Seed]],'Seed History'!$N$4:$O$19,2)</f>
        <v>1.1180555555555556</v>
      </c>
      <c r="R330" s="1">
        <f>IF(Table1[[#This Row],[Round]]="PI",0,Table1[[#This Row],[Round]]-1)</f>
        <v>0</v>
      </c>
      <c r="S330">
        <f>Table1[[#This Row],[LAW]]-Table1[[#This Row],[LEW]]</f>
        <v>-1.1180555555555556</v>
      </c>
    </row>
    <row r="331" spans="1:19" x14ac:dyDescent="0.25">
      <c r="A331" s="66">
        <v>32947</v>
      </c>
      <c r="B331" s="51">
        <f>YEAR(Table1[[#This Row],[Date]])</f>
        <v>1990</v>
      </c>
      <c r="C331" s="1">
        <v>1</v>
      </c>
      <c r="D331" t="s">
        <v>49</v>
      </c>
      <c r="E331" s="1">
        <v>9</v>
      </c>
      <c r="F331" t="s">
        <v>84</v>
      </c>
      <c r="G331" t="str">
        <f>VLOOKUP(Table1[[#This Row],[Winner]],Ranking!C:D,2,FALSE)</f>
        <v>P12</v>
      </c>
      <c r="H331" s="1">
        <v>65</v>
      </c>
      <c r="I331" s="1">
        <v>8</v>
      </c>
      <c r="J331" t="s">
        <v>36</v>
      </c>
      <c r="K331" t="str">
        <f>VLOOKUP(Table1[[#This Row],[Loser]],Ranking!C:D,2,FALSE)</f>
        <v>B10</v>
      </c>
      <c r="L331" s="1">
        <v>63</v>
      </c>
      <c r="N331" s="1">
        <f>Table1[[#This Row],[Winning Score]]-Table1[[#This Row],[Losing Score]]</f>
        <v>2</v>
      </c>
      <c r="O331" s="1">
        <f>Table1[[#This Row],[Losing Seed]]-Table1[[#This Row],[Winning Seed]]</f>
        <v>-1</v>
      </c>
      <c r="P331" s="1" t="str">
        <f>IF(Table1[[#This Row],[SeD]]&lt;-2,Table1[[#This Row],[Winning Seed]]&amp; " over " &amp;Table1[[#This Row],[Losing Seed]],"")</f>
        <v/>
      </c>
      <c r="Q331">
        <f>VLOOKUP(Table1[[#This Row],[Losing Seed]],'Seed History'!$N$4:$O$19,2)</f>
        <v>0.70833333333333337</v>
      </c>
      <c r="R331" s="1">
        <f>IF(Table1[[#This Row],[Round]]="PI",0,Table1[[#This Row],[Round]]-1)</f>
        <v>0</v>
      </c>
      <c r="S331">
        <f>Table1[[#This Row],[LAW]]-Table1[[#This Row],[LEW]]</f>
        <v>-0.70833333333333337</v>
      </c>
    </row>
    <row r="332" spans="1:19" x14ac:dyDescent="0.25">
      <c r="A332" s="66">
        <v>32947</v>
      </c>
      <c r="B332" s="51">
        <f>YEAR(Table1[[#This Row],[Date]])</f>
        <v>1990</v>
      </c>
      <c r="C332" s="1">
        <v>1</v>
      </c>
      <c r="D332" t="s">
        <v>461</v>
      </c>
      <c r="E332" s="1">
        <v>9</v>
      </c>
      <c r="F332" t="s">
        <v>388</v>
      </c>
      <c r="G332" t="str">
        <f>VLOOKUP(Table1[[#This Row],[Winner]],Ranking!C:D,2,FALSE)</f>
        <v>BW</v>
      </c>
      <c r="H332" s="1">
        <v>70</v>
      </c>
      <c r="I332" s="1">
        <v>8</v>
      </c>
      <c r="J332" t="s">
        <v>225</v>
      </c>
      <c r="K332" t="str">
        <f>VLOOKUP(Table1[[#This Row],[Loser]],Ranking!C:D,2,FALSE)</f>
        <v>Amer</v>
      </c>
      <c r="L332" s="1">
        <v>66</v>
      </c>
      <c r="N332" s="1">
        <f>Table1[[#This Row],[Winning Score]]-Table1[[#This Row],[Losing Score]]</f>
        <v>4</v>
      </c>
      <c r="O332" s="1">
        <f>Table1[[#This Row],[Losing Seed]]-Table1[[#This Row],[Winning Seed]]</f>
        <v>-1</v>
      </c>
      <c r="P332" s="1" t="str">
        <f>IF(Table1[[#This Row],[SeD]]&lt;-2,Table1[[#This Row],[Winning Seed]]&amp; " over " &amp;Table1[[#This Row],[Losing Seed]],"")</f>
        <v/>
      </c>
      <c r="Q332">
        <f>VLOOKUP(Table1[[#This Row],[Losing Seed]],'Seed History'!$N$4:$O$19,2)</f>
        <v>0.70833333333333337</v>
      </c>
      <c r="R332" s="1">
        <f>IF(Table1[[#This Row],[Round]]="PI",0,Table1[[#This Row],[Round]]-1)</f>
        <v>0</v>
      </c>
      <c r="S332">
        <f>Table1[[#This Row],[LAW]]-Table1[[#This Row],[LEW]]</f>
        <v>-0.70833333333333337</v>
      </c>
    </row>
    <row r="333" spans="1:19" x14ac:dyDescent="0.25">
      <c r="A333" s="66">
        <v>32948</v>
      </c>
      <c r="B333" s="51">
        <f>YEAR(Table1[[#This Row],[Date]])</f>
        <v>1990</v>
      </c>
      <c r="C333" s="1">
        <v>1</v>
      </c>
      <c r="D333" t="s">
        <v>461</v>
      </c>
      <c r="E333" s="1">
        <v>14</v>
      </c>
      <c r="F333" t="s">
        <v>310</v>
      </c>
      <c r="G333" t="str">
        <f>VLOOKUP(Table1[[#This Row],[Winner]],Ranking!C:D,2,FALSE)</f>
        <v>MVC</v>
      </c>
      <c r="H333" s="1">
        <v>74</v>
      </c>
      <c r="I333" s="1">
        <v>3</v>
      </c>
      <c r="J333" t="s">
        <v>277</v>
      </c>
      <c r="K333" t="str">
        <f>VLOOKUP(Table1[[#This Row],[Loser]],Ranking!C:D,2,FALSE)</f>
        <v>SEC</v>
      </c>
      <c r="L333" s="1">
        <v>71</v>
      </c>
      <c r="N333" s="1">
        <f>Table1[[#This Row],[Winning Score]]-Table1[[#This Row],[Losing Score]]</f>
        <v>3</v>
      </c>
      <c r="O333" s="1">
        <f>Table1[[#This Row],[Losing Seed]]-Table1[[#This Row],[Winning Seed]]</f>
        <v>-11</v>
      </c>
      <c r="P333" s="1" t="str">
        <f>IF(Table1[[#This Row],[SeD]]&lt;-2,Table1[[#This Row],[Winning Seed]]&amp; " over " &amp;Table1[[#This Row],[Losing Seed]],"")</f>
        <v>14 over 3</v>
      </c>
      <c r="Q333">
        <f>VLOOKUP(Table1[[#This Row],[Losing Seed]],'Seed History'!$N$4:$O$19,2)</f>
        <v>1.8472222222222223</v>
      </c>
      <c r="R333" s="1">
        <f>IF(Table1[[#This Row],[Round]]="PI",0,Table1[[#This Row],[Round]]-1)</f>
        <v>0</v>
      </c>
      <c r="S333">
        <f>Table1[[#This Row],[LAW]]-Table1[[#This Row],[LEW]]</f>
        <v>-1.8472222222222223</v>
      </c>
    </row>
    <row r="334" spans="1:19" x14ac:dyDescent="0.25">
      <c r="A334" s="66">
        <v>32948</v>
      </c>
      <c r="B334" s="51">
        <f>YEAR(Table1[[#This Row],[Date]])</f>
        <v>1990</v>
      </c>
      <c r="C334" s="1">
        <v>1</v>
      </c>
      <c r="D334" t="s">
        <v>49</v>
      </c>
      <c r="E334" s="1">
        <v>2</v>
      </c>
      <c r="F334" t="s">
        <v>37</v>
      </c>
      <c r="G334" t="str">
        <f>VLOOKUP(Table1[[#This Row],[Winner]],Ranking!C:D,2,FALSE)</f>
        <v>B12</v>
      </c>
      <c r="H334" s="1">
        <v>79</v>
      </c>
      <c r="I334" s="1">
        <v>15</v>
      </c>
      <c r="J334" t="s">
        <v>333</v>
      </c>
      <c r="K334" t="str">
        <f>VLOOKUP(Table1[[#This Row],[Loser]],Ranking!C:D,2,FALSE)</f>
        <v>Horz</v>
      </c>
      <c r="L334" s="1">
        <v>71</v>
      </c>
      <c r="N334" s="1">
        <f>Table1[[#This Row],[Winning Score]]-Table1[[#This Row],[Losing Score]]</f>
        <v>8</v>
      </c>
      <c r="O334" s="1">
        <f>Table1[[#This Row],[Losing Seed]]-Table1[[#This Row],[Winning Seed]]</f>
        <v>13</v>
      </c>
      <c r="P334" s="1" t="str">
        <f>IF(Table1[[#This Row],[SeD]]&lt;-2,Table1[[#This Row],[Winning Seed]]&amp; " over " &amp;Table1[[#This Row],[Losing Seed]],"")</f>
        <v/>
      </c>
      <c r="Q334">
        <f>VLOOKUP(Table1[[#This Row],[Losing Seed]],'Seed History'!$N$4:$O$19,2)</f>
        <v>7.6388888888888895E-2</v>
      </c>
      <c r="R334" s="1">
        <f>IF(Table1[[#This Row],[Round]]="PI",0,Table1[[#This Row],[Round]]-1)</f>
        <v>0</v>
      </c>
      <c r="S334">
        <f>Table1[[#This Row],[LAW]]-Table1[[#This Row],[LEW]]</f>
        <v>-7.6388888888888895E-2</v>
      </c>
    </row>
    <row r="335" spans="1:19" x14ac:dyDescent="0.25">
      <c r="A335" s="66">
        <v>32948</v>
      </c>
      <c r="B335" s="51">
        <f>YEAR(Table1[[#This Row],[Date]])</f>
        <v>1990</v>
      </c>
      <c r="C335" s="1">
        <v>1</v>
      </c>
      <c r="D335" t="s">
        <v>49</v>
      </c>
      <c r="E335" s="1">
        <v>3</v>
      </c>
      <c r="F335" t="s">
        <v>64</v>
      </c>
      <c r="G335" t="str">
        <f>VLOOKUP(Table1[[#This Row],[Winner]],Ranking!C:D,2,FALSE)</f>
        <v>ACC</v>
      </c>
      <c r="H335" s="1">
        <v>81</v>
      </c>
      <c r="I335" s="1">
        <v>14</v>
      </c>
      <c r="J335" t="s">
        <v>331</v>
      </c>
      <c r="K335" t="str">
        <f>VLOOKUP(Table1[[#This Row],[Loser]],Ranking!C:D,2,FALSE)</f>
        <v>A10</v>
      </c>
      <c r="L335" s="1">
        <v>46</v>
      </c>
      <c r="N335" s="1">
        <f>Table1[[#This Row],[Winning Score]]-Table1[[#This Row],[Losing Score]]</f>
        <v>35</v>
      </c>
      <c r="O335" s="1">
        <f>Table1[[#This Row],[Losing Seed]]-Table1[[#This Row],[Winning Seed]]</f>
        <v>11</v>
      </c>
      <c r="P335" s="1" t="str">
        <f>IF(Table1[[#This Row],[SeD]]&lt;-2,Table1[[#This Row],[Winning Seed]]&amp; " over " &amp;Table1[[#This Row],[Losing Seed]],"")</f>
        <v/>
      </c>
      <c r="Q335">
        <f>VLOOKUP(Table1[[#This Row],[Losing Seed]],'Seed History'!$N$4:$O$19,2)</f>
        <v>0.16666666666666666</v>
      </c>
      <c r="R335" s="1">
        <f>IF(Table1[[#This Row],[Round]]="PI",0,Table1[[#This Row],[Round]]-1)</f>
        <v>0</v>
      </c>
      <c r="S335">
        <f>Table1[[#This Row],[LAW]]-Table1[[#This Row],[LEW]]</f>
        <v>-0.16666666666666666</v>
      </c>
    </row>
    <row r="336" spans="1:19" x14ac:dyDescent="0.25">
      <c r="A336" s="66">
        <v>32948</v>
      </c>
      <c r="B336" s="51">
        <f>YEAR(Table1[[#This Row],[Date]])</f>
        <v>1990</v>
      </c>
      <c r="C336" s="1">
        <v>1</v>
      </c>
      <c r="D336" t="s">
        <v>49</v>
      </c>
      <c r="E336" s="1">
        <v>6</v>
      </c>
      <c r="F336" t="s">
        <v>368</v>
      </c>
      <c r="G336" t="str">
        <f>VLOOKUP(Table1[[#This Row],[Winner]],Ranking!C:D,2,FALSE)</f>
        <v>BE</v>
      </c>
      <c r="H336" s="1">
        <v>81</v>
      </c>
      <c r="I336" s="1">
        <v>11</v>
      </c>
      <c r="J336" t="s">
        <v>373</v>
      </c>
      <c r="K336" t="str">
        <f>VLOOKUP(Table1[[#This Row],[Loser]],Ranking!C:D,2,FALSE)</f>
        <v>Amer</v>
      </c>
      <c r="L336" s="1">
        <v>65</v>
      </c>
      <c r="N336" s="1">
        <f>Table1[[#This Row],[Winning Score]]-Table1[[#This Row],[Losing Score]]</f>
        <v>16</v>
      </c>
      <c r="O336" s="1">
        <f>Table1[[#This Row],[Losing Seed]]-Table1[[#This Row],[Winning Seed]]</f>
        <v>5</v>
      </c>
      <c r="P336" s="1" t="str">
        <f>IF(Table1[[#This Row],[SeD]]&lt;-2,Table1[[#This Row],[Winning Seed]]&amp; " over " &amp;Table1[[#This Row],[Losing Seed]],"")</f>
        <v/>
      </c>
      <c r="Q336">
        <f>VLOOKUP(Table1[[#This Row],[Losing Seed]],'Seed History'!$N$4:$O$19,2)</f>
        <v>0.63194444444444442</v>
      </c>
      <c r="R336" s="1">
        <f>IF(Table1[[#This Row],[Round]]="PI",0,Table1[[#This Row],[Round]]-1)</f>
        <v>0</v>
      </c>
      <c r="S336">
        <f>Table1[[#This Row],[LAW]]-Table1[[#This Row],[LEW]]</f>
        <v>-0.63194444444444442</v>
      </c>
    </row>
    <row r="337" spans="1:19" x14ac:dyDescent="0.25">
      <c r="A337" s="66">
        <v>32948</v>
      </c>
      <c r="B337" s="51">
        <f>YEAR(Table1[[#This Row],[Date]])</f>
        <v>1990</v>
      </c>
      <c r="C337" s="1">
        <v>1</v>
      </c>
      <c r="D337" t="s">
        <v>49</v>
      </c>
      <c r="E337" s="1">
        <v>7</v>
      </c>
      <c r="F337" t="s">
        <v>67</v>
      </c>
      <c r="G337" t="str">
        <f>VLOOKUP(Table1[[#This Row],[Winner]],Ranking!C:D,2,FALSE)</f>
        <v>P12</v>
      </c>
      <c r="H337" s="1">
        <v>68</v>
      </c>
      <c r="I337" s="1">
        <v>10</v>
      </c>
      <c r="J337" t="s">
        <v>68</v>
      </c>
      <c r="K337" t="str">
        <f>VLOOKUP(Table1[[#This Row],[Loser]],Ranking!C:D,2,FALSE)</f>
        <v>CUSA</v>
      </c>
      <c r="L337" s="1">
        <v>56</v>
      </c>
      <c r="N337" s="1">
        <f>Table1[[#This Row],[Winning Score]]-Table1[[#This Row],[Losing Score]]</f>
        <v>12</v>
      </c>
      <c r="O337" s="1">
        <f>Table1[[#This Row],[Losing Seed]]-Table1[[#This Row],[Winning Seed]]</f>
        <v>3</v>
      </c>
      <c r="P337" s="1" t="str">
        <f>IF(Table1[[#This Row],[SeD]]&lt;-2,Table1[[#This Row],[Winning Seed]]&amp; " over " &amp;Table1[[#This Row],[Losing Seed]],"")</f>
        <v/>
      </c>
      <c r="Q337">
        <f>VLOOKUP(Table1[[#This Row],[Losing Seed]],'Seed History'!$N$4:$O$19,2)</f>
        <v>0.61805555555555558</v>
      </c>
      <c r="R337" s="1">
        <f>IF(Table1[[#This Row],[Round]]="PI",0,Table1[[#This Row],[Round]]-1)</f>
        <v>0</v>
      </c>
      <c r="S337">
        <f>Table1[[#This Row],[LAW]]-Table1[[#This Row],[LEW]]</f>
        <v>-0.61805555555555558</v>
      </c>
    </row>
    <row r="338" spans="1:19" x14ac:dyDescent="0.25">
      <c r="A338" s="66">
        <v>32948</v>
      </c>
      <c r="B338" s="51">
        <f>YEAR(Table1[[#This Row],[Date]])</f>
        <v>1990</v>
      </c>
      <c r="C338" s="1">
        <v>1</v>
      </c>
      <c r="D338" t="s">
        <v>439</v>
      </c>
      <c r="E338" s="1">
        <v>2</v>
      </c>
      <c r="F338" t="s">
        <v>29</v>
      </c>
      <c r="G338" t="str">
        <f>VLOOKUP(Table1[[#This Row],[Winner]],Ranking!C:D,2,FALSE)</f>
        <v>B10</v>
      </c>
      <c r="H338" s="1">
        <v>75</v>
      </c>
      <c r="I338" s="1">
        <v>15</v>
      </c>
      <c r="J338" t="s">
        <v>255</v>
      </c>
      <c r="K338" t="str">
        <f>VLOOKUP(Table1[[#This Row],[Loser]],Ranking!C:D,2,FALSE)</f>
        <v>SB</v>
      </c>
      <c r="L338" s="1">
        <v>63</v>
      </c>
      <c r="N338" s="1">
        <f>Table1[[#This Row],[Winning Score]]-Table1[[#This Row],[Losing Score]]</f>
        <v>12</v>
      </c>
      <c r="O338" s="1">
        <f>Table1[[#This Row],[Losing Seed]]-Table1[[#This Row],[Winning Seed]]</f>
        <v>13</v>
      </c>
      <c r="P338" s="1" t="str">
        <f>IF(Table1[[#This Row],[SeD]]&lt;-2,Table1[[#This Row],[Winning Seed]]&amp; " over " &amp;Table1[[#This Row],[Losing Seed]],"")</f>
        <v/>
      </c>
      <c r="Q338">
        <f>VLOOKUP(Table1[[#This Row],[Losing Seed]],'Seed History'!$N$4:$O$19,2)</f>
        <v>7.6388888888888895E-2</v>
      </c>
      <c r="R338" s="1">
        <f>IF(Table1[[#This Row],[Round]]="PI",0,Table1[[#This Row],[Round]]-1)</f>
        <v>0</v>
      </c>
      <c r="S338">
        <f>Table1[[#This Row],[LAW]]-Table1[[#This Row],[LEW]]</f>
        <v>-7.6388888888888895E-2</v>
      </c>
    </row>
    <row r="339" spans="1:19" x14ac:dyDescent="0.25">
      <c r="A339" s="66">
        <v>32948</v>
      </c>
      <c r="B339" s="51">
        <f>YEAR(Table1[[#This Row],[Date]])</f>
        <v>1990</v>
      </c>
      <c r="C339" s="1">
        <v>1</v>
      </c>
      <c r="D339" t="s">
        <v>439</v>
      </c>
      <c r="E339" s="1">
        <v>3</v>
      </c>
      <c r="F339" t="s">
        <v>66</v>
      </c>
      <c r="G339" t="str">
        <f>VLOOKUP(Table1[[#This Row],[Winner]],Ranking!C:D,2,FALSE)</f>
        <v>BE</v>
      </c>
      <c r="H339" s="1">
        <v>70</v>
      </c>
      <c r="I339" s="1">
        <v>14</v>
      </c>
      <c r="J339" t="s">
        <v>379</v>
      </c>
      <c r="K339" t="str">
        <f>VLOOKUP(Table1[[#This Row],[Loser]],Ranking!C:D,2,FALSE)</f>
        <v>SWAC</v>
      </c>
      <c r="L339" s="1">
        <v>52</v>
      </c>
      <c r="N339" s="1">
        <f>Table1[[#This Row],[Winning Score]]-Table1[[#This Row],[Losing Score]]</f>
        <v>18</v>
      </c>
      <c r="O339" s="1">
        <f>Table1[[#This Row],[Losing Seed]]-Table1[[#This Row],[Winning Seed]]</f>
        <v>11</v>
      </c>
      <c r="P339" s="1" t="str">
        <f>IF(Table1[[#This Row],[SeD]]&lt;-2,Table1[[#This Row],[Winning Seed]]&amp; " over " &amp;Table1[[#This Row],[Losing Seed]],"")</f>
        <v/>
      </c>
      <c r="Q339">
        <f>VLOOKUP(Table1[[#This Row],[Losing Seed]],'Seed History'!$N$4:$O$19,2)</f>
        <v>0.16666666666666666</v>
      </c>
      <c r="R339" s="1">
        <f>IF(Table1[[#This Row],[Round]]="PI",0,Table1[[#This Row],[Round]]-1)</f>
        <v>0</v>
      </c>
      <c r="S339">
        <f>Table1[[#This Row],[LAW]]-Table1[[#This Row],[LEW]]</f>
        <v>-0.16666666666666666</v>
      </c>
    </row>
    <row r="340" spans="1:19" x14ac:dyDescent="0.25">
      <c r="A340" s="66">
        <v>32948</v>
      </c>
      <c r="B340" s="51">
        <f>YEAR(Table1[[#This Row],[Date]])</f>
        <v>1990</v>
      </c>
      <c r="C340" s="1">
        <v>1</v>
      </c>
      <c r="D340" t="s">
        <v>439</v>
      </c>
      <c r="E340" s="1">
        <v>6</v>
      </c>
      <c r="F340" t="s">
        <v>44</v>
      </c>
      <c r="G340" t="str">
        <f>VLOOKUP(Table1[[#This Row],[Winner]],Ranking!C:D,2,FALSE)</f>
        <v>BE</v>
      </c>
      <c r="H340" s="1">
        <v>87</v>
      </c>
      <c r="I340" s="1">
        <v>11</v>
      </c>
      <c r="J340" t="s">
        <v>243</v>
      </c>
      <c r="K340" t="str">
        <f>VLOOKUP(Table1[[#This Row],[Loser]],Ranking!C:D,2,FALSE)</f>
        <v>B12</v>
      </c>
      <c r="L340" s="1">
        <v>79</v>
      </c>
      <c r="N340" s="1">
        <f>Table1[[#This Row],[Winning Score]]-Table1[[#This Row],[Losing Score]]</f>
        <v>8</v>
      </c>
      <c r="O340" s="1">
        <f>Table1[[#This Row],[Losing Seed]]-Table1[[#This Row],[Winning Seed]]</f>
        <v>5</v>
      </c>
      <c r="P340" s="1" t="str">
        <f>IF(Table1[[#This Row],[SeD]]&lt;-2,Table1[[#This Row],[Winning Seed]]&amp; " over " &amp;Table1[[#This Row],[Losing Seed]],"")</f>
        <v/>
      </c>
      <c r="Q340">
        <f>VLOOKUP(Table1[[#This Row],[Losing Seed]],'Seed History'!$N$4:$O$19,2)</f>
        <v>0.63194444444444442</v>
      </c>
      <c r="R340" s="1">
        <f>IF(Table1[[#This Row],[Round]]="PI",0,Table1[[#This Row],[Round]]-1)</f>
        <v>0</v>
      </c>
      <c r="S340">
        <f>Table1[[#This Row],[LAW]]-Table1[[#This Row],[LEW]]</f>
        <v>-0.63194444444444442</v>
      </c>
    </row>
    <row r="341" spans="1:19" x14ac:dyDescent="0.25">
      <c r="A341" s="66">
        <v>32948</v>
      </c>
      <c r="B341" s="51">
        <f>YEAR(Table1[[#This Row],[Date]])</f>
        <v>1990</v>
      </c>
      <c r="C341" s="1">
        <v>1</v>
      </c>
      <c r="D341" t="s">
        <v>461</v>
      </c>
      <c r="E341" s="1">
        <v>2</v>
      </c>
      <c r="F341" t="s">
        <v>86</v>
      </c>
      <c r="G341" t="str">
        <f>VLOOKUP(Table1[[#This Row],[Winner]],Ranking!C:D,2,FALSE)</f>
        <v>ACC</v>
      </c>
      <c r="H341" s="1">
        <v>70</v>
      </c>
      <c r="I341" s="1">
        <v>15</v>
      </c>
      <c r="J341" t="s">
        <v>178</v>
      </c>
      <c r="K341" t="str">
        <f>VLOOKUP(Table1[[#This Row],[Loser]],Ranking!C:D,2,FALSE)</f>
        <v>MEAC</v>
      </c>
      <c r="L341" s="1">
        <v>48</v>
      </c>
      <c r="N341" s="1">
        <f>Table1[[#This Row],[Winning Score]]-Table1[[#This Row],[Losing Score]]</f>
        <v>22</v>
      </c>
      <c r="O341" s="1">
        <f>Table1[[#This Row],[Losing Seed]]-Table1[[#This Row],[Winning Seed]]</f>
        <v>13</v>
      </c>
      <c r="P341" s="1" t="str">
        <f>IF(Table1[[#This Row],[SeD]]&lt;-2,Table1[[#This Row],[Winning Seed]]&amp; " over " &amp;Table1[[#This Row],[Losing Seed]],"")</f>
        <v/>
      </c>
      <c r="Q341">
        <f>VLOOKUP(Table1[[#This Row],[Losing Seed]],'Seed History'!$N$4:$O$19,2)</f>
        <v>7.6388888888888895E-2</v>
      </c>
      <c r="R341" s="1">
        <f>IF(Table1[[#This Row],[Round]]="PI",0,Table1[[#This Row],[Round]]-1)</f>
        <v>0</v>
      </c>
      <c r="S341">
        <f>Table1[[#This Row],[LAW]]-Table1[[#This Row],[LEW]]</f>
        <v>-7.6388888888888895E-2</v>
      </c>
    </row>
    <row r="342" spans="1:19" x14ac:dyDescent="0.25">
      <c r="A342" s="66">
        <v>32948</v>
      </c>
      <c r="B342" s="51">
        <f>YEAR(Table1[[#This Row],[Date]])</f>
        <v>1990</v>
      </c>
      <c r="C342" s="1">
        <v>1</v>
      </c>
      <c r="D342" t="s">
        <v>461</v>
      </c>
      <c r="E342" s="1">
        <v>6</v>
      </c>
      <c r="F342" t="s">
        <v>274</v>
      </c>
      <c r="G342" t="str">
        <f>VLOOKUP(Table1[[#This Row],[Winner]],Ranking!C:D,2,FALSE)</f>
        <v>B10</v>
      </c>
      <c r="H342" s="1">
        <v>64</v>
      </c>
      <c r="I342" s="1">
        <v>11</v>
      </c>
      <c r="J342" t="s">
        <v>402</v>
      </c>
      <c r="K342" t="str">
        <f>VLOOKUP(Table1[[#This Row],[Loser]],Ranking!C:D,2,FALSE)</f>
        <v>CUSA</v>
      </c>
      <c r="L342" s="1">
        <v>61</v>
      </c>
      <c r="M342" s="1" t="s">
        <v>462</v>
      </c>
      <c r="N342" s="1">
        <f>Table1[[#This Row],[Winning Score]]-Table1[[#This Row],[Losing Score]]</f>
        <v>3</v>
      </c>
      <c r="O342" s="1">
        <f>Table1[[#This Row],[Losing Seed]]-Table1[[#This Row],[Winning Seed]]</f>
        <v>5</v>
      </c>
      <c r="P342" s="1" t="str">
        <f>IF(Table1[[#This Row],[SeD]]&lt;-2,Table1[[#This Row],[Winning Seed]]&amp; " over " &amp;Table1[[#This Row],[Losing Seed]],"")</f>
        <v/>
      </c>
      <c r="Q342">
        <f>VLOOKUP(Table1[[#This Row],[Losing Seed]],'Seed History'!$N$4:$O$19,2)</f>
        <v>0.63194444444444442</v>
      </c>
      <c r="R342" s="1">
        <f>IF(Table1[[#This Row],[Round]]="PI",0,Table1[[#This Row],[Round]]-1)</f>
        <v>0</v>
      </c>
      <c r="S342">
        <f>Table1[[#This Row],[LAW]]-Table1[[#This Row],[LEW]]</f>
        <v>-0.63194444444444442</v>
      </c>
    </row>
    <row r="343" spans="1:19" x14ac:dyDescent="0.25">
      <c r="A343" s="66">
        <v>32948</v>
      </c>
      <c r="B343" s="51">
        <f>YEAR(Table1[[#This Row],[Date]])</f>
        <v>1990</v>
      </c>
      <c r="C343" s="1">
        <v>1</v>
      </c>
      <c r="D343" t="s">
        <v>461</v>
      </c>
      <c r="E343" s="1">
        <v>7</v>
      </c>
      <c r="F343" t="s">
        <v>61</v>
      </c>
      <c r="G343" t="str">
        <f>VLOOKUP(Table1[[#This Row],[Winner]],Ranking!C:D,2,FALSE)</f>
        <v>ACC</v>
      </c>
      <c r="H343" s="1">
        <v>75</v>
      </c>
      <c r="I343" s="1">
        <v>10</v>
      </c>
      <c r="J343" t="s">
        <v>35</v>
      </c>
      <c r="K343" t="str">
        <f>VLOOKUP(Table1[[#This Row],[Loser]],Ranking!C:D,2,FALSE)</f>
        <v>ACC</v>
      </c>
      <c r="L343" s="1">
        <v>67</v>
      </c>
      <c r="N343" s="1">
        <f>Table1[[#This Row],[Winning Score]]-Table1[[#This Row],[Losing Score]]</f>
        <v>8</v>
      </c>
      <c r="O343" s="1">
        <f>Table1[[#This Row],[Losing Seed]]-Table1[[#This Row],[Winning Seed]]</f>
        <v>3</v>
      </c>
      <c r="P343" s="1" t="str">
        <f>IF(Table1[[#This Row],[SeD]]&lt;-2,Table1[[#This Row],[Winning Seed]]&amp; " over " &amp;Table1[[#This Row],[Losing Seed]],"")</f>
        <v/>
      </c>
      <c r="Q343">
        <f>VLOOKUP(Table1[[#This Row],[Losing Seed]],'Seed History'!$N$4:$O$19,2)</f>
        <v>0.61805555555555558</v>
      </c>
      <c r="R343" s="1">
        <f>IF(Table1[[#This Row],[Round]]="PI",0,Table1[[#This Row],[Round]]-1)</f>
        <v>0</v>
      </c>
      <c r="S343">
        <f>Table1[[#This Row],[LAW]]-Table1[[#This Row],[LEW]]</f>
        <v>-0.61805555555555558</v>
      </c>
    </row>
    <row r="344" spans="1:19" x14ac:dyDescent="0.25">
      <c r="A344" s="66">
        <v>32948</v>
      </c>
      <c r="B344" s="51">
        <f>YEAR(Table1[[#This Row],[Date]])</f>
        <v>1990</v>
      </c>
      <c r="C344" s="1">
        <v>1</v>
      </c>
      <c r="D344" t="s">
        <v>38</v>
      </c>
      <c r="E344" s="1">
        <v>2</v>
      </c>
      <c r="F344" t="s">
        <v>48</v>
      </c>
      <c r="G344" t="str">
        <f>VLOOKUP(Table1[[#This Row],[Winner]],Ranking!C:D,2,FALSE)</f>
        <v>P12</v>
      </c>
      <c r="H344" s="1">
        <v>79</v>
      </c>
      <c r="I344" s="1">
        <v>15</v>
      </c>
      <c r="J344" t="s">
        <v>358</v>
      </c>
      <c r="K344" t="str">
        <f>VLOOKUP(Table1[[#This Row],[Loser]],Ranking!C:D,2,FALSE)</f>
        <v>Amer</v>
      </c>
      <c r="L344" s="1">
        <v>67</v>
      </c>
      <c r="N344" s="1">
        <f>Table1[[#This Row],[Winning Score]]-Table1[[#This Row],[Losing Score]]</f>
        <v>12</v>
      </c>
      <c r="O344" s="1">
        <f>Table1[[#This Row],[Losing Seed]]-Table1[[#This Row],[Winning Seed]]</f>
        <v>13</v>
      </c>
      <c r="P344" s="1" t="str">
        <f>IF(Table1[[#This Row],[SeD]]&lt;-2,Table1[[#This Row],[Winning Seed]]&amp; " over " &amp;Table1[[#This Row],[Losing Seed]],"")</f>
        <v/>
      </c>
      <c r="Q344">
        <f>VLOOKUP(Table1[[#This Row],[Losing Seed]],'Seed History'!$N$4:$O$19,2)</f>
        <v>7.6388888888888895E-2</v>
      </c>
      <c r="R344" s="1">
        <f>IF(Table1[[#This Row],[Round]]="PI",0,Table1[[#This Row],[Round]]-1)</f>
        <v>0</v>
      </c>
      <c r="S344">
        <f>Table1[[#This Row],[LAW]]-Table1[[#This Row],[LEW]]</f>
        <v>-7.6388888888888895E-2</v>
      </c>
    </row>
    <row r="345" spans="1:19" x14ac:dyDescent="0.25">
      <c r="A345" s="66">
        <v>32948</v>
      </c>
      <c r="B345" s="51">
        <f>YEAR(Table1[[#This Row],[Date]])</f>
        <v>1990</v>
      </c>
      <c r="C345" s="1">
        <v>1</v>
      </c>
      <c r="D345" t="s">
        <v>38</v>
      </c>
      <c r="E345" s="1">
        <v>3</v>
      </c>
      <c r="F345" t="s">
        <v>82</v>
      </c>
      <c r="G345" t="str">
        <f>VLOOKUP(Table1[[#This Row],[Winner]],Ranking!C:D,2,FALSE)</f>
        <v>B10</v>
      </c>
      <c r="H345" s="1">
        <v>76</v>
      </c>
      <c r="I345" s="1">
        <v>14</v>
      </c>
      <c r="J345" t="s">
        <v>233</v>
      </c>
      <c r="K345" t="str">
        <f>VLOOKUP(Table1[[#This Row],[Loser]],Ranking!C:D,2,FALSE)</f>
        <v>MVC</v>
      </c>
      <c r="L345" s="1">
        <v>70</v>
      </c>
      <c r="N345" s="1">
        <f>Table1[[#This Row],[Winning Score]]-Table1[[#This Row],[Losing Score]]</f>
        <v>6</v>
      </c>
      <c r="O345" s="1">
        <f>Table1[[#This Row],[Losing Seed]]-Table1[[#This Row],[Winning Seed]]</f>
        <v>11</v>
      </c>
      <c r="P345" s="1" t="str">
        <f>IF(Table1[[#This Row],[SeD]]&lt;-2,Table1[[#This Row],[Winning Seed]]&amp; " over " &amp;Table1[[#This Row],[Losing Seed]],"")</f>
        <v/>
      </c>
      <c r="Q345">
        <f>VLOOKUP(Table1[[#This Row],[Losing Seed]],'Seed History'!$N$4:$O$19,2)</f>
        <v>0.16666666666666666</v>
      </c>
      <c r="R345" s="1">
        <f>IF(Table1[[#This Row],[Round]]="PI",0,Table1[[#This Row],[Round]]-1)</f>
        <v>0</v>
      </c>
      <c r="S345">
        <f>Table1[[#This Row],[LAW]]-Table1[[#This Row],[LEW]]</f>
        <v>-0.16666666666666666</v>
      </c>
    </row>
    <row r="346" spans="1:19" x14ac:dyDescent="0.25">
      <c r="A346" s="66">
        <v>32948</v>
      </c>
      <c r="B346" s="51">
        <f>YEAR(Table1[[#This Row],[Date]])</f>
        <v>1990</v>
      </c>
      <c r="C346" s="1">
        <v>1</v>
      </c>
      <c r="D346" t="s">
        <v>38</v>
      </c>
      <c r="E346" s="1">
        <v>7</v>
      </c>
      <c r="F346" t="s">
        <v>113</v>
      </c>
      <c r="G346" t="str">
        <f>VLOOKUP(Table1[[#This Row],[Winner]],Ranking!C:D,2,FALSE)</f>
        <v>SEC</v>
      </c>
      <c r="H346" s="1">
        <v>71</v>
      </c>
      <c r="I346" s="1">
        <v>10</v>
      </c>
      <c r="J346" t="s">
        <v>176</v>
      </c>
      <c r="K346" t="str">
        <f>VLOOKUP(Table1[[#This Row],[Loser]],Ranking!C:D,2,FALSE)</f>
        <v>MWC</v>
      </c>
      <c r="L346" s="1">
        <v>54</v>
      </c>
      <c r="N346" s="1">
        <f>Table1[[#This Row],[Winning Score]]-Table1[[#This Row],[Losing Score]]</f>
        <v>17</v>
      </c>
      <c r="O346" s="1">
        <f>Table1[[#This Row],[Losing Seed]]-Table1[[#This Row],[Winning Seed]]</f>
        <v>3</v>
      </c>
      <c r="P346" s="1" t="str">
        <f>IF(Table1[[#This Row],[SeD]]&lt;-2,Table1[[#This Row],[Winning Seed]]&amp; " over " &amp;Table1[[#This Row],[Losing Seed]],"")</f>
        <v/>
      </c>
      <c r="Q346">
        <f>VLOOKUP(Table1[[#This Row],[Losing Seed]],'Seed History'!$N$4:$O$19,2)</f>
        <v>0.61805555555555558</v>
      </c>
      <c r="R346" s="1">
        <f>IF(Table1[[#This Row],[Round]]="PI",0,Table1[[#This Row],[Round]]-1)</f>
        <v>0</v>
      </c>
      <c r="S346">
        <f>Table1[[#This Row],[LAW]]-Table1[[#This Row],[LEW]]</f>
        <v>-0.61805555555555558</v>
      </c>
    </row>
    <row r="347" spans="1:19" x14ac:dyDescent="0.25">
      <c r="A347" s="66">
        <v>32948</v>
      </c>
      <c r="B347" s="51">
        <f>YEAR(Table1[[#This Row],[Date]])</f>
        <v>1990</v>
      </c>
      <c r="C347" s="1">
        <v>1</v>
      </c>
      <c r="D347" t="s">
        <v>38</v>
      </c>
      <c r="E347" s="1">
        <v>11</v>
      </c>
      <c r="F347" t="s">
        <v>258</v>
      </c>
      <c r="G347" t="str">
        <f>VLOOKUP(Table1[[#This Row],[Winner]],Ranking!C:D,2,FALSE)</f>
        <v>WCC</v>
      </c>
      <c r="H347" s="1">
        <v>111</v>
      </c>
      <c r="I347" s="1">
        <v>6</v>
      </c>
      <c r="J347" t="s">
        <v>292</v>
      </c>
      <c r="K347" t="str">
        <f>VLOOKUP(Table1[[#This Row],[Loser]],Ranking!C:D,2,FALSE)</f>
        <v>WAC</v>
      </c>
      <c r="L347" s="1">
        <v>92</v>
      </c>
      <c r="N347" s="1">
        <f>Table1[[#This Row],[Winning Score]]-Table1[[#This Row],[Losing Score]]</f>
        <v>19</v>
      </c>
      <c r="O347" s="1">
        <f>Table1[[#This Row],[Losing Seed]]-Table1[[#This Row],[Winning Seed]]</f>
        <v>-5</v>
      </c>
      <c r="P347" s="1" t="str">
        <f>IF(Table1[[#This Row],[SeD]]&lt;-2,Table1[[#This Row],[Winning Seed]]&amp; " over " &amp;Table1[[#This Row],[Losing Seed]],"")</f>
        <v>11 over 6</v>
      </c>
      <c r="Q347">
        <f>VLOOKUP(Table1[[#This Row],[Losing Seed]],'Seed History'!$N$4:$O$19,2)</f>
        <v>1.0625</v>
      </c>
      <c r="R347" s="1">
        <f>IF(Table1[[#This Row],[Round]]="PI",0,Table1[[#This Row],[Round]]-1)</f>
        <v>0</v>
      </c>
      <c r="S347">
        <f>Table1[[#This Row],[LAW]]-Table1[[#This Row],[LEW]]</f>
        <v>-1.0625</v>
      </c>
    </row>
    <row r="348" spans="1:19" x14ac:dyDescent="0.25">
      <c r="A348" s="66">
        <v>32948</v>
      </c>
      <c r="B348" s="51">
        <f>YEAR(Table1[[#This Row],[Date]])</f>
        <v>1990</v>
      </c>
      <c r="C348" s="1">
        <v>1</v>
      </c>
      <c r="D348" t="s">
        <v>439</v>
      </c>
      <c r="E348" s="1">
        <v>10</v>
      </c>
      <c r="F348" t="s">
        <v>34</v>
      </c>
      <c r="G348" t="str">
        <f>VLOOKUP(Table1[[#This Row],[Winner]],Ranking!C:D,2,FALSE)</f>
        <v>B12</v>
      </c>
      <c r="H348" s="1">
        <v>100</v>
      </c>
      <c r="I348" s="1">
        <v>7</v>
      </c>
      <c r="J348" t="s">
        <v>60</v>
      </c>
      <c r="K348" t="str">
        <f>VLOOKUP(Table1[[#This Row],[Loser]],Ranking!C:D,2,FALSE)</f>
        <v>SEC</v>
      </c>
      <c r="L348" s="1">
        <v>88</v>
      </c>
      <c r="N348" s="1">
        <f>Table1[[#This Row],[Winning Score]]-Table1[[#This Row],[Losing Score]]</f>
        <v>12</v>
      </c>
      <c r="O348" s="1">
        <f>Table1[[#This Row],[Losing Seed]]-Table1[[#This Row],[Winning Seed]]</f>
        <v>-3</v>
      </c>
      <c r="P348" s="1" t="str">
        <f>IF(Table1[[#This Row],[SeD]]&lt;-2,Table1[[#This Row],[Winning Seed]]&amp; " over " &amp;Table1[[#This Row],[Losing Seed]],"")</f>
        <v>10 over 7</v>
      </c>
      <c r="Q348">
        <f>VLOOKUP(Table1[[#This Row],[Losing Seed]],'Seed History'!$N$4:$O$19,2)</f>
        <v>0.90277777777777779</v>
      </c>
      <c r="R348" s="1">
        <f>IF(Table1[[#This Row],[Round]]="PI",0,Table1[[#This Row],[Round]]-1)</f>
        <v>0</v>
      </c>
      <c r="S348">
        <f>Table1[[#This Row],[LAW]]-Table1[[#This Row],[LEW]]</f>
        <v>-0.90277777777777779</v>
      </c>
    </row>
    <row r="349" spans="1:19" x14ac:dyDescent="0.25">
      <c r="A349" s="66">
        <v>32949</v>
      </c>
      <c r="B349" s="51">
        <f>YEAR(Table1[[#This Row],[Date]])</f>
        <v>1990</v>
      </c>
      <c r="C349" s="1">
        <v>2</v>
      </c>
      <c r="D349" t="s">
        <v>38</v>
      </c>
      <c r="E349" s="1">
        <v>12</v>
      </c>
      <c r="F349" t="s">
        <v>132</v>
      </c>
      <c r="G349" t="str">
        <f>VLOOKUP(Table1[[#This Row],[Winner]],Ranking!C:D,2,FALSE)</f>
        <v>MAC</v>
      </c>
      <c r="H349" s="1">
        <v>62</v>
      </c>
      <c r="I349" s="1">
        <v>4</v>
      </c>
      <c r="J349" t="s">
        <v>54</v>
      </c>
      <c r="K349" t="str">
        <f>VLOOKUP(Table1[[#This Row],[Loser]],Ranking!C:D,2,FALSE)</f>
        <v>ACC</v>
      </c>
      <c r="L349" s="1">
        <v>60</v>
      </c>
      <c r="N349" s="1">
        <f>Table1[[#This Row],[Winning Score]]-Table1[[#This Row],[Losing Score]]</f>
        <v>2</v>
      </c>
      <c r="O349" s="1">
        <f>Table1[[#This Row],[Losing Seed]]-Table1[[#This Row],[Winning Seed]]</f>
        <v>-8</v>
      </c>
      <c r="P349" s="1" t="str">
        <f>IF(Table1[[#This Row],[SeD]]&lt;-2,Table1[[#This Row],[Winning Seed]]&amp; " over " &amp;Table1[[#This Row],[Losing Seed]],"")</f>
        <v>12 over 4</v>
      </c>
      <c r="Q349">
        <f>VLOOKUP(Table1[[#This Row],[Losing Seed]],'Seed History'!$N$4:$O$19,2)</f>
        <v>1.5208333333333333</v>
      </c>
      <c r="R349" s="1">
        <f>IF(Table1[[#This Row],[Round]]="PI",0,Table1[[#This Row],[Round]]-1)</f>
        <v>1</v>
      </c>
      <c r="S349">
        <f>Table1[[#This Row],[LAW]]-Table1[[#This Row],[LEW]]</f>
        <v>-0.52083333333333326</v>
      </c>
    </row>
    <row r="350" spans="1:19" x14ac:dyDescent="0.25">
      <c r="A350" s="66">
        <v>32949</v>
      </c>
      <c r="B350" s="51">
        <f>YEAR(Table1[[#This Row],[Date]])</f>
        <v>1990</v>
      </c>
      <c r="C350" s="1">
        <v>2</v>
      </c>
      <c r="D350" t="s">
        <v>49</v>
      </c>
      <c r="E350" s="1">
        <v>1</v>
      </c>
      <c r="F350" t="s">
        <v>80</v>
      </c>
      <c r="G350" t="str">
        <f>VLOOKUP(Table1[[#This Row],[Winner]],Ranking!C:D,2,FALSE)</f>
        <v>BE</v>
      </c>
      <c r="H350" s="1">
        <v>74</v>
      </c>
      <c r="I350" s="1">
        <v>9</v>
      </c>
      <c r="J350" t="s">
        <v>84</v>
      </c>
      <c r="K350" t="str">
        <f>VLOOKUP(Table1[[#This Row],[Loser]],Ranking!C:D,2,FALSE)</f>
        <v>P12</v>
      </c>
      <c r="L350" s="1">
        <v>54</v>
      </c>
      <c r="N350" s="1">
        <f>Table1[[#This Row],[Winning Score]]-Table1[[#This Row],[Losing Score]]</f>
        <v>20</v>
      </c>
      <c r="O350" s="1">
        <f>Table1[[#This Row],[Losing Seed]]-Table1[[#This Row],[Winning Seed]]</f>
        <v>8</v>
      </c>
      <c r="P350" s="1" t="str">
        <f>IF(Table1[[#This Row],[SeD]]&lt;-2,Table1[[#This Row],[Winning Seed]]&amp; " over " &amp;Table1[[#This Row],[Losing Seed]],"")</f>
        <v/>
      </c>
      <c r="Q350">
        <f>VLOOKUP(Table1[[#This Row],[Losing Seed]],'Seed History'!$N$4:$O$19,2)</f>
        <v>0.59027777777777779</v>
      </c>
      <c r="R350" s="1">
        <f>IF(Table1[[#This Row],[Round]]="PI",0,Table1[[#This Row],[Round]]-1)</f>
        <v>1</v>
      </c>
      <c r="S350">
        <f>Table1[[#This Row],[LAW]]-Table1[[#This Row],[LEW]]</f>
        <v>0.40972222222222221</v>
      </c>
    </row>
    <row r="351" spans="1:19" x14ac:dyDescent="0.25">
      <c r="A351" s="66">
        <v>32949</v>
      </c>
      <c r="B351" s="51">
        <f>YEAR(Table1[[#This Row],[Date]])</f>
        <v>1990</v>
      </c>
      <c r="C351" s="1">
        <v>2</v>
      </c>
      <c r="D351" t="s">
        <v>439</v>
      </c>
      <c r="E351" s="1">
        <v>4</v>
      </c>
      <c r="F351" t="s">
        <v>41</v>
      </c>
      <c r="G351" t="str">
        <f>VLOOKUP(Table1[[#This Row],[Winner]],Ranking!C:D,2,FALSE)</f>
        <v>SEC</v>
      </c>
      <c r="H351" s="1">
        <v>86</v>
      </c>
      <c r="I351" s="1">
        <v>12</v>
      </c>
      <c r="J351" t="s">
        <v>57</v>
      </c>
      <c r="K351" t="str">
        <f>VLOOKUP(Table1[[#This Row],[Loser]],Ranking!C:D,2,FALSE)</f>
        <v>A10</v>
      </c>
      <c r="L351" s="1">
        <v>84</v>
      </c>
      <c r="N351" s="1">
        <f>Table1[[#This Row],[Winning Score]]-Table1[[#This Row],[Losing Score]]</f>
        <v>2</v>
      </c>
      <c r="O351" s="1">
        <f>Table1[[#This Row],[Losing Seed]]-Table1[[#This Row],[Winning Seed]]</f>
        <v>8</v>
      </c>
      <c r="P351" s="1" t="str">
        <f>IF(Table1[[#This Row],[SeD]]&lt;-2,Table1[[#This Row],[Winning Seed]]&amp; " over " &amp;Table1[[#This Row],[Losing Seed]],"")</f>
        <v/>
      </c>
      <c r="Q351">
        <f>VLOOKUP(Table1[[#This Row],[Losing Seed]],'Seed History'!$N$4:$O$19,2)</f>
        <v>0.52083333333333337</v>
      </c>
      <c r="R351" s="1">
        <f>IF(Table1[[#This Row],[Round]]="PI",0,Table1[[#This Row],[Round]]-1)</f>
        <v>1</v>
      </c>
      <c r="S351">
        <f>Table1[[#This Row],[LAW]]-Table1[[#This Row],[LEW]]</f>
        <v>0.47916666666666663</v>
      </c>
    </row>
    <row r="352" spans="1:19" x14ac:dyDescent="0.25">
      <c r="A352" s="66">
        <v>32949</v>
      </c>
      <c r="B352" s="51">
        <f>YEAR(Table1[[#This Row],[Date]])</f>
        <v>1990</v>
      </c>
      <c r="C352" s="1">
        <v>2</v>
      </c>
      <c r="D352" t="s">
        <v>461</v>
      </c>
      <c r="E352" s="1">
        <v>1</v>
      </c>
      <c r="F352" t="s">
        <v>271</v>
      </c>
      <c r="G352" t="str">
        <f>VLOOKUP(Table1[[#This Row],[Winner]],Ranking!C:D,2,FALSE)</f>
        <v>B10</v>
      </c>
      <c r="H352" s="1">
        <v>62</v>
      </c>
      <c r="I352" s="1">
        <v>9</v>
      </c>
      <c r="J352" t="s">
        <v>388</v>
      </c>
      <c r="K352" t="str">
        <f>VLOOKUP(Table1[[#This Row],[Loser]],Ranking!C:D,2,FALSE)</f>
        <v>BW</v>
      </c>
      <c r="L352" s="1">
        <v>58</v>
      </c>
      <c r="N352" s="1">
        <f>Table1[[#This Row],[Winning Score]]-Table1[[#This Row],[Losing Score]]</f>
        <v>4</v>
      </c>
      <c r="O352" s="1">
        <f>Table1[[#This Row],[Losing Seed]]-Table1[[#This Row],[Winning Seed]]</f>
        <v>8</v>
      </c>
      <c r="P352" s="1" t="str">
        <f>IF(Table1[[#This Row],[SeD]]&lt;-2,Table1[[#This Row],[Winning Seed]]&amp; " over " &amp;Table1[[#This Row],[Losing Seed]],"")</f>
        <v/>
      </c>
      <c r="Q352">
        <f>VLOOKUP(Table1[[#This Row],[Losing Seed]],'Seed History'!$N$4:$O$19,2)</f>
        <v>0.59027777777777779</v>
      </c>
      <c r="R352" s="1">
        <f>IF(Table1[[#This Row],[Round]]="PI",0,Table1[[#This Row],[Round]]-1)</f>
        <v>1</v>
      </c>
      <c r="S352">
        <f>Table1[[#This Row],[LAW]]-Table1[[#This Row],[LEW]]</f>
        <v>0.40972222222222221</v>
      </c>
    </row>
    <row r="353" spans="1:19" x14ac:dyDescent="0.25">
      <c r="A353" s="66">
        <v>32949</v>
      </c>
      <c r="B353" s="51">
        <f>YEAR(Table1[[#This Row],[Date]])</f>
        <v>1990</v>
      </c>
      <c r="C353" s="1">
        <v>2</v>
      </c>
      <c r="D353" t="s">
        <v>461</v>
      </c>
      <c r="E353" s="1">
        <v>4</v>
      </c>
      <c r="F353" t="s">
        <v>216</v>
      </c>
      <c r="G353" t="str">
        <f>VLOOKUP(Table1[[#This Row],[Winner]],Ranking!C:D,2,FALSE)</f>
        <v>ACC</v>
      </c>
      <c r="H353" s="1">
        <v>94</v>
      </c>
      <c r="I353" s="1">
        <v>5</v>
      </c>
      <c r="J353" t="s">
        <v>52</v>
      </c>
      <c r="K353" t="str">
        <f>VLOOKUP(Table1[[#This Row],[Loser]],Ranking!C:D,2,FALSE)</f>
        <v>SEC</v>
      </c>
      <c r="L353" s="1">
        <v>91</v>
      </c>
      <c r="N353" s="1">
        <f>Table1[[#This Row],[Winning Score]]-Table1[[#This Row],[Losing Score]]</f>
        <v>3</v>
      </c>
      <c r="O353" s="1">
        <f>Table1[[#This Row],[Losing Seed]]-Table1[[#This Row],[Winning Seed]]</f>
        <v>1</v>
      </c>
      <c r="P353" s="1" t="str">
        <f>IF(Table1[[#This Row],[SeD]]&lt;-2,Table1[[#This Row],[Winning Seed]]&amp; " over " &amp;Table1[[#This Row],[Losing Seed]],"")</f>
        <v/>
      </c>
      <c r="Q353">
        <f>VLOOKUP(Table1[[#This Row],[Losing Seed]],'Seed History'!$N$4:$O$19,2)</f>
        <v>1.1180555555555556</v>
      </c>
      <c r="R353" s="1">
        <f>IF(Table1[[#This Row],[Round]]="PI",0,Table1[[#This Row],[Round]]-1)</f>
        <v>1</v>
      </c>
      <c r="S353">
        <f>Table1[[#This Row],[LAW]]-Table1[[#This Row],[LEW]]</f>
        <v>-0.11805555555555558</v>
      </c>
    </row>
    <row r="354" spans="1:19" x14ac:dyDescent="0.25">
      <c r="A354" s="66">
        <v>32949</v>
      </c>
      <c r="B354" s="51">
        <f>YEAR(Table1[[#This Row],[Date]])</f>
        <v>1990</v>
      </c>
      <c r="C354" s="1">
        <v>2</v>
      </c>
      <c r="D354" t="s">
        <v>38</v>
      </c>
      <c r="E354" s="1">
        <v>1</v>
      </c>
      <c r="F354" t="s">
        <v>396</v>
      </c>
      <c r="G354" t="str">
        <f>VLOOKUP(Table1[[#This Row],[Winner]],Ranking!C:D,2,FALSE)</f>
        <v>MWC</v>
      </c>
      <c r="H354" s="1">
        <v>76</v>
      </c>
      <c r="I354" s="1">
        <v>8</v>
      </c>
      <c r="J354" t="s">
        <v>315</v>
      </c>
      <c r="K354" t="str">
        <f>VLOOKUP(Table1[[#This Row],[Loser]],Ranking!C:D,2,FALSE)</f>
        <v>B10</v>
      </c>
      <c r="L354" s="1">
        <v>65</v>
      </c>
      <c r="N354" s="1">
        <f>Table1[[#This Row],[Winning Score]]-Table1[[#This Row],[Losing Score]]</f>
        <v>11</v>
      </c>
      <c r="O354" s="1">
        <f>Table1[[#This Row],[Losing Seed]]-Table1[[#This Row],[Winning Seed]]</f>
        <v>7</v>
      </c>
      <c r="P354" s="1" t="str">
        <f>IF(Table1[[#This Row],[SeD]]&lt;-2,Table1[[#This Row],[Winning Seed]]&amp; " over " &amp;Table1[[#This Row],[Losing Seed]],"")</f>
        <v/>
      </c>
      <c r="Q354">
        <f>VLOOKUP(Table1[[#This Row],[Losing Seed]],'Seed History'!$N$4:$O$19,2)</f>
        <v>0.70833333333333337</v>
      </c>
      <c r="R354" s="1">
        <f>IF(Table1[[#This Row],[Round]]="PI",0,Table1[[#This Row],[Round]]-1)</f>
        <v>1</v>
      </c>
      <c r="S354">
        <f>Table1[[#This Row],[LAW]]-Table1[[#This Row],[LEW]]</f>
        <v>0.29166666666666663</v>
      </c>
    </row>
    <row r="355" spans="1:19" x14ac:dyDescent="0.25">
      <c r="A355" s="66">
        <v>32949</v>
      </c>
      <c r="B355" s="51">
        <f>YEAR(Table1[[#This Row],[Date]])</f>
        <v>1990</v>
      </c>
      <c r="C355" s="1">
        <v>2</v>
      </c>
      <c r="D355" t="s">
        <v>439</v>
      </c>
      <c r="E355" s="1">
        <v>8</v>
      </c>
      <c r="F355" t="s">
        <v>298</v>
      </c>
      <c r="G355" t="str">
        <f>VLOOKUP(Table1[[#This Row],[Winner]],Ranking!C:D,2,FALSE)</f>
        <v>ACC</v>
      </c>
      <c r="H355" s="1">
        <v>79</v>
      </c>
      <c r="I355" s="1">
        <v>1</v>
      </c>
      <c r="J355" t="s">
        <v>58</v>
      </c>
      <c r="K355" t="str">
        <f>VLOOKUP(Table1[[#This Row],[Loser]],Ranking!C:D,2,FALSE)</f>
        <v>B12</v>
      </c>
      <c r="L355" s="1">
        <v>77</v>
      </c>
      <c r="N355" s="1">
        <f>Table1[[#This Row],[Winning Score]]-Table1[[#This Row],[Losing Score]]</f>
        <v>2</v>
      </c>
      <c r="O355" s="1">
        <f>Table1[[#This Row],[Losing Seed]]-Table1[[#This Row],[Winning Seed]]</f>
        <v>-7</v>
      </c>
      <c r="P355" s="1" t="str">
        <f>IF(Table1[[#This Row],[SeD]]&lt;-2,Table1[[#This Row],[Winning Seed]]&amp; " over " &amp;Table1[[#This Row],[Losing Seed]],"")</f>
        <v>8 over 1</v>
      </c>
      <c r="Q355">
        <f>VLOOKUP(Table1[[#This Row],[Losing Seed]],'Seed History'!$N$4:$O$19,2)</f>
        <v>3.3263888888888888</v>
      </c>
      <c r="R355" s="1">
        <f>IF(Table1[[#This Row],[Round]]="PI",0,Table1[[#This Row],[Round]]-1)</f>
        <v>1</v>
      </c>
      <c r="S355">
        <f>Table1[[#This Row],[LAW]]-Table1[[#This Row],[LEW]]</f>
        <v>-2.3263888888888888</v>
      </c>
    </row>
    <row r="356" spans="1:19" x14ac:dyDescent="0.25">
      <c r="A356" s="66">
        <v>32949</v>
      </c>
      <c r="B356" s="51">
        <f>YEAR(Table1[[#This Row],[Date]])</f>
        <v>1990</v>
      </c>
      <c r="C356" s="1">
        <v>2</v>
      </c>
      <c r="D356" t="s">
        <v>49</v>
      </c>
      <c r="E356" s="1">
        <v>5</v>
      </c>
      <c r="F356" t="s">
        <v>89</v>
      </c>
      <c r="G356" t="str">
        <f>VLOOKUP(Table1[[#This Row],[Winner]],Ranking!C:D,2,FALSE)</f>
        <v>ACC</v>
      </c>
      <c r="H356" s="1">
        <v>79</v>
      </c>
      <c r="I356" s="1">
        <v>4</v>
      </c>
      <c r="J356" t="s">
        <v>246</v>
      </c>
      <c r="K356" t="str">
        <f>VLOOKUP(Table1[[#This Row],[Loser]],Ranking!C:D,2,FALSE)</f>
        <v>A10</v>
      </c>
      <c r="L356" s="1">
        <v>75</v>
      </c>
      <c r="N356" s="1">
        <f>Table1[[#This Row],[Winning Score]]-Table1[[#This Row],[Losing Score]]</f>
        <v>4</v>
      </c>
      <c r="O356" s="1">
        <f>Table1[[#This Row],[Losing Seed]]-Table1[[#This Row],[Winning Seed]]</f>
        <v>-1</v>
      </c>
      <c r="P356" s="1" t="str">
        <f>IF(Table1[[#This Row],[SeD]]&lt;-2,Table1[[#This Row],[Winning Seed]]&amp; " over " &amp;Table1[[#This Row],[Losing Seed]],"")</f>
        <v/>
      </c>
      <c r="Q356">
        <f>VLOOKUP(Table1[[#This Row],[Losing Seed]],'Seed History'!$N$4:$O$19,2)</f>
        <v>1.5208333333333333</v>
      </c>
      <c r="R356" s="1">
        <f>IF(Table1[[#This Row],[Round]]="PI",0,Table1[[#This Row],[Round]]-1)</f>
        <v>1</v>
      </c>
      <c r="S356">
        <f>Table1[[#This Row],[LAW]]-Table1[[#This Row],[LEW]]</f>
        <v>-0.52083333333333326</v>
      </c>
    </row>
    <row r="357" spans="1:19" x14ac:dyDescent="0.25">
      <c r="A357" s="66">
        <v>32950</v>
      </c>
      <c r="B357" s="51">
        <f>YEAR(Table1[[#This Row],[Date]])</f>
        <v>1990</v>
      </c>
      <c r="C357" s="1">
        <v>2</v>
      </c>
      <c r="D357" t="s">
        <v>439</v>
      </c>
      <c r="E357" s="1">
        <v>10</v>
      </c>
      <c r="F357" t="s">
        <v>34</v>
      </c>
      <c r="G357" t="str">
        <f>VLOOKUP(Table1[[#This Row],[Winner]],Ranking!C:D,2,FALSE)</f>
        <v>B12</v>
      </c>
      <c r="H357" s="1">
        <v>73</v>
      </c>
      <c r="I357" s="1">
        <v>2</v>
      </c>
      <c r="J357" t="s">
        <v>29</v>
      </c>
      <c r="K357" t="str">
        <f>VLOOKUP(Table1[[#This Row],[Loser]],Ranking!C:D,2,FALSE)</f>
        <v>B10</v>
      </c>
      <c r="L357" s="1">
        <v>72</v>
      </c>
      <c r="N357" s="1">
        <f>Table1[[#This Row],[Winning Score]]-Table1[[#This Row],[Losing Score]]</f>
        <v>1</v>
      </c>
      <c r="O357" s="1">
        <f>Table1[[#This Row],[Losing Seed]]-Table1[[#This Row],[Winning Seed]]</f>
        <v>-8</v>
      </c>
      <c r="P357" s="1" t="str">
        <f>IF(Table1[[#This Row],[SeD]]&lt;-2,Table1[[#This Row],[Winning Seed]]&amp; " over " &amp;Table1[[#This Row],[Losing Seed]],"")</f>
        <v>10 over 2</v>
      </c>
      <c r="Q357">
        <f>VLOOKUP(Table1[[#This Row],[Losing Seed]],'Seed History'!$N$4:$O$19,2)</f>
        <v>2.3472222222222223</v>
      </c>
      <c r="R357" s="1">
        <f>IF(Table1[[#This Row],[Round]]="PI",0,Table1[[#This Row],[Round]]-1)</f>
        <v>1</v>
      </c>
      <c r="S357">
        <f>Table1[[#This Row],[LAW]]-Table1[[#This Row],[LEW]]</f>
        <v>-1.3472222222222223</v>
      </c>
    </row>
    <row r="358" spans="1:19" x14ac:dyDescent="0.25">
      <c r="A358" s="66">
        <v>32950</v>
      </c>
      <c r="B358" s="51">
        <f>YEAR(Table1[[#This Row],[Date]])</f>
        <v>1990</v>
      </c>
      <c r="C358" s="1">
        <v>2</v>
      </c>
      <c r="D358" t="s">
        <v>38</v>
      </c>
      <c r="E358" s="1">
        <v>11</v>
      </c>
      <c r="F358" t="s">
        <v>258</v>
      </c>
      <c r="G358" t="str">
        <f>VLOOKUP(Table1[[#This Row],[Winner]],Ranking!C:D,2,FALSE)</f>
        <v>WCC</v>
      </c>
      <c r="H358" s="1">
        <v>149</v>
      </c>
      <c r="I358" s="1">
        <v>3</v>
      </c>
      <c r="J358" t="s">
        <v>82</v>
      </c>
      <c r="K358" t="str">
        <f>VLOOKUP(Table1[[#This Row],[Loser]],Ranking!C:D,2,FALSE)</f>
        <v>B10</v>
      </c>
      <c r="L358" s="1">
        <v>115</v>
      </c>
      <c r="N358" s="1">
        <f>Table1[[#This Row],[Winning Score]]-Table1[[#This Row],[Losing Score]]</f>
        <v>34</v>
      </c>
      <c r="O358" s="1">
        <f>Table1[[#This Row],[Losing Seed]]-Table1[[#This Row],[Winning Seed]]</f>
        <v>-8</v>
      </c>
      <c r="P358" s="1" t="str">
        <f>IF(Table1[[#This Row],[SeD]]&lt;-2,Table1[[#This Row],[Winning Seed]]&amp; " over " &amp;Table1[[#This Row],[Losing Seed]],"")</f>
        <v>11 over 3</v>
      </c>
      <c r="Q358">
        <f>VLOOKUP(Table1[[#This Row],[Losing Seed]],'Seed History'!$N$4:$O$19,2)</f>
        <v>1.8472222222222223</v>
      </c>
      <c r="R358" s="1">
        <f>IF(Table1[[#This Row],[Round]]="PI",0,Table1[[#This Row],[Round]]-1)</f>
        <v>1</v>
      </c>
      <c r="S358">
        <f>Table1[[#This Row],[LAW]]-Table1[[#This Row],[LEW]]</f>
        <v>-0.84722222222222232</v>
      </c>
    </row>
    <row r="359" spans="1:19" x14ac:dyDescent="0.25">
      <c r="A359" s="66">
        <v>32950</v>
      </c>
      <c r="B359" s="51">
        <f>YEAR(Table1[[#This Row],[Date]])</f>
        <v>1990</v>
      </c>
      <c r="C359" s="1">
        <v>2</v>
      </c>
      <c r="D359" t="s">
        <v>49</v>
      </c>
      <c r="E359" s="1">
        <v>3</v>
      </c>
      <c r="F359" t="s">
        <v>64</v>
      </c>
      <c r="G359" t="str">
        <f>VLOOKUP(Table1[[#This Row],[Winner]],Ranking!C:D,2,FALSE)</f>
        <v>ACC</v>
      </c>
      <c r="H359" s="1">
        <v>76</v>
      </c>
      <c r="I359" s="1">
        <v>6</v>
      </c>
      <c r="J359" t="s">
        <v>368</v>
      </c>
      <c r="K359" t="str">
        <f>VLOOKUP(Table1[[#This Row],[Loser]],Ranking!C:D,2,FALSE)</f>
        <v>BE</v>
      </c>
      <c r="L359" s="1">
        <v>72</v>
      </c>
      <c r="N359" s="1">
        <f>Table1[[#This Row],[Winning Score]]-Table1[[#This Row],[Losing Score]]</f>
        <v>4</v>
      </c>
      <c r="O359" s="1">
        <f>Table1[[#This Row],[Losing Seed]]-Table1[[#This Row],[Winning Seed]]</f>
        <v>3</v>
      </c>
      <c r="P359" s="1" t="str">
        <f>IF(Table1[[#This Row],[SeD]]&lt;-2,Table1[[#This Row],[Winning Seed]]&amp; " over " &amp;Table1[[#This Row],[Losing Seed]],"")</f>
        <v/>
      </c>
      <c r="Q359">
        <f>VLOOKUP(Table1[[#This Row],[Losing Seed]],'Seed History'!$N$4:$O$19,2)</f>
        <v>1.0625</v>
      </c>
      <c r="R359" s="1">
        <f>IF(Table1[[#This Row],[Round]]="PI",0,Table1[[#This Row],[Round]]-1)</f>
        <v>1</v>
      </c>
      <c r="S359">
        <f>Table1[[#This Row],[LAW]]-Table1[[#This Row],[LEW]]</f>
        <v>-6.25E-2</v>
      </c>
    </row>
    <row r="360" spans="1:19" x14ac:dyDescent="0.25">
      <c r="A360" s="66">
        <v>32950</v>
      </c>
      <c r="B360" s="51">
        <f>YEAR(Table1[[#This Row],[Date]])</f>
        <v>1990</v>
      </c>
      <c r="C360" s="1">
        <v>2</v>
      </c>
      <c r="D360" t="s">
        <v>461</v>
      </c>
      <c r="E360" s="1">
        <v>2</v>
      </c>
      <c r="F360" t="s">
        <v>86</v>
      </c>
      <c r="G360" t="str">
        <f>VLOOKUP(Table1[[#This Row],[Winner]],Ranking!C:D,2,FALSE)</f>
        <v>ACC</v>
      </c>
      <c r="H360" s="1">
        <v>63</v>
      </c>
      <c r="I360" s="1">
        <v>7</v>
      </c>
      <c r="J360" t="s">
        <v>61</v>
      </c>
      <c r="K360" t="str">
        <f>VLOOKUP(Table1[[#This Row],[Loser]],Ranking!C:D,2,FALSE)</f>
        <v>ACC</v>
      </c>
      <c r="L360" s="1">
        <v>61</v>
      </c>
      <c r="N360" s="1">
        <f>Table1[[#This Row],[Winning Score]]-Table1[[#This Row],[Losing Score]]</f>
        <v>2</v>
      </c>
      <c r="O360" s="1">
        <f>Table1[[#This Row],[Losing Seed]]-Table1[[#This Row],[Winning Seed]]</f>
        <v>5</v>
      </c>
      <c r="P360" s="1" t="str">
        <f>IF(Table1[[#This Row],[SeD]]&lt;-2,Table1[[#This Row],[Winning Seed]]&amp; " over " &amp;Table1[[#This Row],[Losing Seed]],"")</f>
        <v/>
      </c>
      <c r="Q360">
        <f>VLOOKUP(Table1[[#This Row],[Losing Seed]],'Seed History'!$N$4:$O$19,2)</f>
        <v>0.90277777777777779</v>
      </c>
      <c r="R360" s="1">
        <f>IF(Table1[[#This Row],[Round]]="PI",0,Table1[[#This Row],[Round]]-1)</f>
        <v>1</v>
      </c>
      <c r="S360">
        <f>Table1[[#This Row],[LAW]]-Table1[[#This Row],[LEW]]</f>
        <v>9.722222222222221E-2</v>
      </c>
    </row>
    <row r="361" spans="1:19" x14ac:dyDescent="0.25">
      <c r="A361" s="66">
        <v>32950</v>
      </c>
      <c r="B361" s="51">
        <f>YEAR(Table1[[#This Row],[Date]])</f>
        <v>1990</v>
      </c>
      <c r="C361" s="1">
        <v>2</v>
      </c>
      <c r="D361" t="s">
        <v>461</v>
      </c>
      <c r="E361" s="1">
        <v>6</v>
      </c>
      <c r="F361" t="s">
        <v>274</v>
      </c>
      <c r="G361" t="str">
        <f>VLOOKUP(Table1[[#This Row],[Winner]],Ranking!C:D,2,FALSE)</f>
        <v>B10</v>
      </c>
      <c r="H361" s="1">
        <v>81</v>
      </c>
      <c r="I361" s="1">
        <v>14</v>
      </c>
      <c r="J361" t="s">
        <v>310</v>
      </c>
      <c r="K361" t="str">
        <f>VLOOKUP(Table1[[#This Row],[Loser]],Ranking!C:D,2,FALSE)</f>
        <v>MVC</v>
      </c>
      <c r="L361" s="1">
        <v>78</v>
      </c>
      <c r="N361" s="1">
        <f>Table1[[#This Row],[Winning Score]]-Table1[[#This Row],[Losing Score]]</f>
        <v>3</v>
      </c>
      <c r="O361" s="1">
        <f>Table1[[#This Row],[Losing Seed]]-Table1[[#This Row],[Winning Seed]]</f>
        <v>8</v>
      </c>
      <c r="P361" s="1" t="str">
        <f>IF(Table1[[#This Row],[SeD]]&lt;-2,Table1[[#This Row],[Winning Seed]]&amp; " over " &amp;Table1[[#This Row],[Losing Seed]],"")</f>
        <v/>
      </c>
      <c r="Q361">
        <f>VLOOKUP(Table1[[#This Row],[Losing Seed]],'Seed History'!$N$4:$O$19,2)</f>
        <v>0.16666666666666666</v>
      </c>
      <c r="R361" s="1">
        <f>IF(Table1[[#This Row],[Round]]="PI",0,Table1[[#This Row],[Round]]-1)</f>
        <v>1</v>
      </c>
      <c r="S361">
        <f>Table1[[#This Row],[LAW]]-Table1[[#This Row],[LEW]]</f>
        <v>0.83333333333333337</v>
      </c>
    </row>
    <row r="362" spans="1:19" x14ac:dyDescent="0.25">
      <c r="A362" s="66">
        <v>32950</v>
      </c>
      <c r="B362" s="51">
        <f>YEAR(Table1[[#This Row],[Date]])</f>
        <v>1990</v>
      </c>
      <c r="C362" s="1">
        <v>2</v>
      </c>
      <c r="D362" t="s">
        <v>49</v>
      </c>
      <c r="E362" s="1">
        <v>7</v>
      </c>
      <c r="F362" t="s">
        <v>67</v>
      </c>
      <c r="G362" t="str">
        <f>VLOOKUP(Table1[[#This Row],[Winner]],Ranking!C:D,2,FALSE)</f>
        <v>P12</v>
      </c>
      <c r="H362" s="1">
        <v>71</v>
      </c>
      <c r="I362" s="1">
        <v>2</v>
      </c>
      <c r="J362" t="s">
        <v>37</v>
      </c>
      <c r="K362" t="str">
        <f>VLOOKUP(Table1[[#This Row],[Loser]],Ranking!C:D,2,FALSE)</f>
        <v>B12</v>
      </c>
      <c r="L362" s="1">
        <v>70</v>
      </c>
      <c r="N362" s="1">
        <f>Table1[[#This Row],[Winning Score]]-Table1[[#This Row],[Losing Score]]</f>
        <v>1</v>
      </c>
      <c r="O362" s="1">
        <f>Table1[[#This Row],[Losing Seed]]-Table1[[#This Row],[Winning Seed]]</f>
        <v>-5</v>
      </c>
      <c r="P362" s="1" t="str">
        <f>IF(Table1[[#This Row],[SeD]]&lt;-2,Table1[[#This Row],[Winning Seed]]&amp; " over " &amp;Table1[[#This Row],[Losing Seed]],"")</f>
        <v>7 over 2</v>
      </c>
      <c r="Q362">
        <f>VLOOKUP(Table1[[#This Row],[Losing Seed]],'Seed History'!$N$4:$O$19,2)</f>
        <v>2.3472222222222223</v>
      </c>
      <c r="R362" s="1">
        <f>IF(Table1[[#This Row],[Round]]="PI",0,Table1[[#This Row],[Round]]-1)</f>
        <v>1</v>
      </c>
      <c r="S362">
        <f>Table1[[#This Row],[LAW]]-Table1[[#This Row],[LEW]]</f>
        <v>-1.3472222222222223</v>
      </c>
    </row>
    <row r="363" spans="1:19" x14ac:dyDescent="0.25">
      <c r="A363" s="66">
        <v>32950</v>
      </c>
      <c r="B363" s="51">
        <f>YEAR(Table1[[#This Row],[Date]])</f>
        <v>1990</v>
      </c>
      <c r="C363" s="1">
        <v>2</v>
      </c>
      <c r="D363" t="s">
        <v>38</v>
      </c>
      <c r="E363" s="1">
        <v>7</v>
      </c>
      <c r="F363" t="s">
        <v>113</v>
      </c>
      <c r="G363" t="str">
        <f>VLOOKUP(Table1[[#This Row],[Winner]],Ranking!C:D,2,FALSE)</f>
        <v>SEC</v>
      </c>
      <c r="H363" s="1">
        <v>77</v>
      </c>
      <c r="I363" s="1">
        <v>2</v>
      </c>
      <c r="J363" t="s">
        <v>48</v>
      </c>
      <c r="K363" t="str">
        <f>VLOOKUP(Table1[[#This Row],[Loser]],Ranking!C:D,2,FALSE)</f>
        <v>P12</v>
      </c>
      <c r="L363" s="1">
        <v>55</v>
      </c>
      <c r="N363" s="1">
        <f>Table1[[#This Row],[Winning Score]]-Table1[[#This Row],[Losing Score]]</f>
        <v>22</v>
      </c>
      <c r="O363" s="1">
        <f>Table1[[#This Row],[Losing Seed]]-Table1[[#This Row],[Winning Seed]]</f>
        <v>-5</v>
      </c>
      <c r="P363" s="1" t="str">
        <f>IF(Table1[[#This Row],[SeD]]&lt;-2,Table1[[#This Row],[Winning Seed]]&amp; " over " &amp;Table1[[#This Row],[Losing Seed]],"")</f>
        <v>7 over 2</v>
      </c>
      <c r="Q363">
        <f>VLOOKUP(Table1[[#This Row],[Losing Seed]],'Seed History'!$N$4:$O$19,2)</f>
        <v>2.3472222222222223</v>
      </c>
      <c r="R363" s="1">
        <f>IF(Table1[[#This Row],[Round]]="PI",0,Table1[[#This Row],[Round]]-1)</f>
        <v>1</v>
      </c>
      <c r="S363">
        <f>Table1[[#This Row],[LAW]]-Table1[[#This Row],[LEW]]</f>
        <v>-1.3472222222222223</v>
      </c>
    </row>
    <row r="364" spans="1:19" x14ac:dyDescent="0.25">
      <c r="A364" s="66">
        <v>32950</v>
      </c>
      <c r="B364" s="51">
        <f>YEAR(Table1[[#This Row],[Date]])</f>
        <v>1990</v>
      </c>
      <c r="C364" s="1">
        <v>2</v>
      </c>
      <c r="D364" t="s">
        <v>439</v>
      </c>
      <c r="E364" s="1">
        <v>6</v>
      </c>
      <c r="F364" t="s">
        <v>44</v>
      </c>
      <c r="G364" t="str">
        <f>VLOOKUP(Table1[[#This Row],[Winner]],Ranking!C:D,2,FALSE)</f>
        <v>BE</v>
      </c>
      <c r="H364" s="1">
        <v>74</v>
      </c>
      <c r="I364" s="1">
        <v>3</v>
      </c>
      <c r="J364" t="s">
        <v>66</v>
      </c>
      <c r="K364" t="str">
        <f>VLOOKUP(Table1[[#This Row],[Loser]],Ranking!C:D,2,FALSE)</f>
        <v>BE</v>
      </c>
      <c r="L364" s="1">
        <v>71</v>
      </c>
      <c r="N364" s="1">
        <f>Table1[[#This Row],[Winning Score]]-Table1[[#This Row],[Losing Score]]</f>
        <v>3</v>
      </c>
      <c r="O364" s="1">
        <f>Table1[[#This Row],[Losing Seed]]-Table1[[#This Row],[Winning Seed]]</f>
        <v>-3</v>
      </c>
      <c r="P364" s="1" t="str">
        <f>IF(Table1[[#This Row],[SeD]]&lt;-2,Table1[[#This Row],[Winning Seed]]&amp; " over " &amp;Table1[[#This Row],[Losing Seed]],"")</f>
        <v>6 over 3</v>
      </c>
      <c r="Q364">
        <f>VLOOKUP(Table1[[#This Row],[Losing Seed]],'Seed History'!$N$4:$O$19,2)</f>
        <v>1.8472222222222223</v>
      </c>
      <c r="R364" s="1">
        <f>IF(Table1[[#This Row],[Round]]="PI",0,Table1[[#This Row],[Round]]-1)</f>
        <v>1</v>
      </c>
      <c r="S364">
        <f>Table1[[#This Row],[LAW]]-Table1[[#This Row],[LEW]]</f>
        <v>-0.84722222222222232</v>
      </c>
    </row>
    <row r="365" spans="1:19" x14ac:dyDescent="0.25">
      <c r="A365" s="66">
        <v>32954</v>
      </c>
      <c r="B365" s="51">
        <f>YEAR(Table1[[#This Row],[Date]])</f>
        <v>1990</v>
      </c>
      <c r="C365" s="1">
        <v>3</v>
      </c>
      <c r="D365" t="s">
        <v>49</v>
      </c>
      <c r="E365" s="1">
        <v>1</v>
      </c>
      <c r="F365" t="s">
        <v>80</v>
      </c>
      <c r="G365" t="str">
        <f>VLOOKUP(Table1[[#This Row],[Winner]],Ranking!C:D,2,FALSE)</f>
        <v>BE</v>
      </c>
      <c r="H365" s="1">
        <v>71</v>
      </c>
      <c r="I365" s="1">
        <v>5</v>
      </c>
      <c r="J365" t="s">
        <v>89</v>
      </c>
      <c r="K365" t="str">
        <f>VLOOKUP(Table1[[#This Row],[Loser]],Ranking!C:D,2,FALSE)</f>
        <v>ACC</v>
      </c>
      <c r="L365" s="1">
        <v>70</v>
      </c>
      <c r="N365" s="1">
        <f>Table1[[#This Row],[Winning Score]]-Table1[[#This Row],[Losing Score]]</f>
        <v>1</v>
      </c>
      <c r="O365" s="1">
        <f>Table1[[#This Row],[Losing Seed]]-Table1[[#This Row],[Winning Seed]]</f>
        <v>4</v>
      </c>
      <c r="P365" s="1" t="str">
        <f>IF(Table1[[#This Row],[SeD]]&lt;-2,Table1[[#This Row],[Winning Seed]]&amp; " over " &amp;Table1[[#This Row],[Losing Seed]],"")</f>
        <v/>
      </c>
      <c r="Q365">
        <f>VLOOKUP(Table1[[#This Row],[Losing Seed]],'Seed History'!$N$4:$O$19,2)</f>
        <v>1.1180555555555556</v>
      </c>
      <c r="R365" s="1">
        <f>IF(Table1[[#This Row],[Round]]="PI",0,Table1[[#This Row],[Round]]-1)</f>
        <v>2</v>
      </c>
      <c r="S365">
        <f>Table1[[#This Row],[LAW]]-Table1[[#This Row],[LEW]]</f>
        <v>0.88194444444444442</v>
      </c>
    </row>
    <row r="366" spans="1:19" x14ac:dyDescent="0.25">
      <c r="A366" s="66">
        <v>32954</v>
      </c>
      <c r="B366" s="51">
        <f>YEAR(Table1[[#This Row],[Date]])</f>
        <v>1990</v>
      </c>
      <c r="C366" s="1">
        <v>3</v>
      </c>
      <c r="D366" t="s">
        <v>49</v>
      </c>
      <c r="E366" s="1">
        <v>3</v>
      </c>
      <c r="F366" t="s">
        <v>64</v>
      </c>
      <c r="G366" t="str">
        <f>VLOOKUP(Table1[[#This Row],[Winner]],Ranking!C:D,2,FALSE)</f>
        <v>ACC</v>
      </c>
      <c r="H366" s="1">
        <v>90</v>
      </c>
      <c r="I366" s="1">
        <v>7</v>
      </c>
      <c r="J366" t="s">
        <v>67</v>
      </c>
      <c r="K366" t="str">
        <f>VLOOKUP(Table1[[#This Row],[Loser]],Ranking!C:D,2,FALSE)</f>
        <v>P12</v>
      </c>
      <c r="L366" s="1">
        <v>81</v>
      </c>
      <c r="N366" s="1">
        <f>Table1[[#This Row],[Winning Score]]-Table1[[#This Row],[Losing Score]]</f>
        <v>9</v>
      </c>
      <c r="O366" s="1">
        <f>Table1[[#This Row],[Losing Seed]]-Table1[[#This Row],[Winning Seed]]</f>
        <v>4</v>
      </c>
      <c r="P366" s="1" t="str">
        <f>IF(Table1[[#This Row],[SeD]]&lt;-2,Table1[[#This Row],[Winning Seed]]&amp; " over " &amp;Table1[[#This Row],[Losing Seed]],"")</f>
        <v/>
      </c>
      <c r="Q366">
        <f>VLOOKUP(Table1[[#This Row],[Losing Seed]],'Seed History'!$N$4:$O$19,2)</f>
        <v>0.90277777777777779</v>
      </c>
      <c r="R366" s="1">
        <f>IF(Table1[[#This Row],[Round]]="PI",0,Table1[[#This Row],[Round]]-1)</f>
        <v>2</v>
      </c>
      <c r="S366">
        <f>Table1[[#This Row],[LAW]]-Table1[[#This Row],[LEW]]</f>
        <v>1.0972222222222223</v>
      </c>
    </row>
    <row r="367" spans="1:19" x14ac:dyDescent="0.25">
      <c r="A367" s="66">
        <v>32954</v>
      </c>
      <c r="B367" s="51">
        <f>YEAR(Table1[[#This Row],[Date]])</f>
        <v>1990</v>
      </c>
      <c r="C367" s="1">
        <v>3</v>
      </c>
      <c r="D367" t="s">
        <v>439</v>
      </c>
      <c r="E367" s="1">
        <v>4</v>
      </c>
      <c r="F367" t="s">
        <v>41</v>
      </c>
      <c r="G367" t="str">
        <f>VLOOKUP(Table1[[#This Row],[Winner]],Ranking!C:D,2,FALSE)</f>
        <v>SEC</v>
      </c>
      <c r="H367" s="1">
        <v>96</v>
      </c>
      <c r="I367" s="1">
        <v>8</v>
      </c>
      <c r="J367" t="s">
        <v>298</v>
      </c>
      <c r="K367" t="str">
        <f>VLOOKUP(Table1[[#This Row],[Loser]],Ranking!C:D,2,FALSE)</f>
        <v>ACC</v>
      </c>
      <c r="L367" s="1">
        <v>73</v>
      </c>
      <c r="N367" s="1">
        <f>Table1[[#This Row],[Winning Score]]-Table1[[#This Row],[Losing Score]]</f>
        <v>23</v>
      </c>
      <c r="O367" s="1">
        <f>Table1[[#This Row],[Losing Seed]]-Table1[[#This Row],[Winning Seed]]</f>
        <v>4</v>
      </c>
      <c r="P367" s="1" t="str">
        <f>IF(Table1[[#This Row],[SeD]]&lt;-2,Table1[[#This Row],[Winning Seed]]&amp; " over " &amp;Table1[[#This Row],[Losing Seed]],"")</f>
        <v/>
      </c>
      <c r="Q367">
        <f>VLOOKUP(Table1[[#This Row],[Losing Seed]],'Seed History'!$N$4:$O$19,2)</f>
        <v>0.70833333333333337</v>
      </c>
      <c r="R367" s="1">
        <f>IF(Table1[[#This Row],[Round]]="PI",0,Table1[[#This Row],[Round]]-1)</f>
        <v>2</v>
      </c>
      <c r="S367">
        <f>Table1[[#This Row],[LAW]]-Table1[[#This Row],[LEW]]</f>
        <v>1.2916666666666665</v>
      </c>
    </row>
    <row r="368" spans="1:19" x14ac:dyDescent="0.25">
      <c r="A368" s="66">
        <v>32954</v>
      </c>
      <c r="B368" s="51">
        <f>YEAR(Table1[[#This Row],[Date]])</f>
        <v>1990</v>
      </c>
      <c r="C368" s="1">
        <v>3</v>
      </c>
      <c r="D368" t="s">
        <v>439</v>
      </c>
      <c r="E368" s="1">
        <v>10</v>
      </c>
      <c r="F368" t="s">
        <v>34</v>
      </c>
      <c r="G368" t="str">
        <f>VLOOKUP(Table1[[#This Row],[Winner]],Ranking!C:D,2,FALSE)</f>
        <v>B12</v>
      </c>
      <c r="H368" s="1">
        <v>102</v>
      </c>
      <c r="I368" s="1">
        <v>6</v>
      </c>
      <c r="J368" t="s">
        <v>44</v>
      </c>
      <c r="K368" t="str">
        <f>VLOOKUP(Table1[[#This Row],[Loser]],Ranking!C:D,2,FALSE)</f>
        <v>BE</v>
      </c>
      <c r="L368" s="1">
        <v>89</v>
      </c>
      <c r="N368" s="1">
        <f>Table1[[#This Row],[Winning Score]]-Table1[[#This Row],[Losing Score]]</f>
        <v>13</v>
      </c>
      <c r="O368" s="1">
        <f>Table1[[#This Row],[Losing Seed]]-Table1[[#This Row],[Winning Seed]]</f>
        <v>-4</v>
      </c>
      <c r="P368" s="1" t="str">
        <f>IF(Table1[[#This Row],[SeD]]&lt;-2,Table1[[#This Row],[Winning Seed]]&amp; " over " &amp;Table1[[#This Row],[Losing Seed]],"")</f>
        <v>10 over 6</v>
      </c>
      <c r="Q368">
        <f>VLOOKUP(Table1[[#This Row],[Losing Seed]],'Seed History'!$N$4:$O$19,2)</f>
        <v>1.0625</v>
      </c>
      <c r="R368" s="1">
        <f>IF(Table1[[#This Row],[Round]]="PI",0,Table1[[#This Row],[Round]]-1)</f>
        <v>2</v>
      </c>
      <c r="S368">
        <f>Table1[[#This Row],[LAW]]-Table1[[#This Row],[LEW]]</f>
        <v>0.9375</v>
      </c>
    </row>
    <row r="369" spans="1:19" x14ac:dyDescent="0.25">
      <c r="A369" s="66">
        <v>32955</v>
      </c>
      <c r="B369" s="51">
        <f>YEAR(Table1[[#This Row],[Date]])</f>
        <v>1990</v>
      </c>
      <c r="C369" s="1">
        <v>3</v>
      </c>
      <c r="D369" t="s">
        <v>38</v>
      </c>
      <c r="E369" s="1">
        <v>1</v>
      </c>
      <c r="F369" t="s">
        <v>396</v>
      </c>
      <c r="G369" t="str">
        <f>VLOOKUP(Table1[[#This Row],[Winner]],Ranking!C:D,2,FALSE)</f>
        <v>MWC</v>
      </c>
      <c r="H369" s="1">
        <v>69</v>
      </c>
      <c r="I369" s="1">
        <v>12</v>
      </c>
      <c r="J369" t="s">
        <v>132</v>
      </c>
      <c r="K369" t="str">
        <f>VLOOKUP(Table1[[#This Row],[Loser]],Ranking!C:D,2,FALSE)</f>
        <v>MAC</v>
      </c>
      <c r="L369" s="1">
        <v>67</v>
      </c>
      <c r="N369" s="1">
        <f>Table1[[#This Row],[Winning Score]]-Table1[[#This Row],[Losing Score]]</f>
        <v>2</v>
      </c>
      <c r="O369" s="1">
        <f>Table1[[#This Row],[Losing Seed]]-Table1[[#This Row],[Winning Seed]]</f>
        <v>11</v>
      </c>
      <c r="P369" s="1" t="str">
        <f>IF(Table1[[#This Row],[SeD]]&lt;-2,Table1[[#This Row],[Winning Seed]]&amp; " over " &amp;Table1[[#This Row],[Losing Seed]],"")</f>
        <v/>
      </c>
      <c r="Q369">
        <f>VLOOKUP(Table1[[#This Row],[Losing Seed]],'Seed History'!$N$4:$O$19,2)</f>
        <v>0.52083333333333337</v>
      </c>
      <c r="R369" s="1">
        <f>IF(Table1[[#This Row],[Round]]="PI",0,Table1[[#This Row],[Round]]-1)</f>
        <v>2</v>
      </c>
      <c r="S369">
        <f>Table1[[#This Row],[LAW]]-Table1[[#This Row],[LEW]]</f>
        <v>1.4791666666666665</v>
      </c>
    </row>
    <row r="370" spans="1:19" x14ac:dyDescent="0.25">
      <c r="A370" s="66">
        <v>32955</v>
      </c>
      <c r="B370" s="51">
        <f>YEAR(Table1[[#This Row],[Date]])</f>
        <v>1990</v>
      </c>
      <c r="C370" s="1">
        <v>3</v>
      </c>
      <c r="D370" t="s">
        <v>461</v>
      </c>
      <c r="E370" s="1">
        <v>6</v>
      </c>
      <c r="F370" t="s">
        <v>274</v>
      </c>
      <c r="G370" t="str">
        <f>VLOOKUP(Table1[[#This Row],[Winner]],Ranking!C:D,2,FALSE)</f>
        <v>B10</v>
      </c>
      <c r="H370" s="1">
        <v>82</v>
      </c>
      <c r="I370" s="1">
        <v>2</v>
      </c>
      <c r="J370" t="s">
        <v>86</v>
      </c>
      <c r="K370" t="str">
        <f>VLOOKUP(Table1[[#This Row],[Loser]],Ranking!C:D,2,FALSE)</f>
        <v>ACC</v>
      </c>
      <c r="L370" s="1">
        <v>75</v>
      </c>
      <c r="N370" s="1">
        <f>Table1[[#This Row],[Winning Score]]-Table1[[#This Row],[Losing Score]]</f>
        <v>7</v>
      </c>
      <c r="O370" s="1">
        <f>Table1[[#This Row],[Losing Seed]]-Table1[[#This Row],[Winning Seed]]</f>
        <v>-4</v>
      </c>
      <c r="P370" s="1" t="str">
        <f>IF(Table1[[#This Row],[SeD]]&lt;-2,Table1[[#This Row],[Winning Seed]]&amp; " over " &amp;Table1[[#This Row],[Losing Seed]],"")</f>
        <v>6 over 2</v>
      </c>
      <c r="Q370">
        <f>VLOOKUP(Table1[[#This Row],[Losing Seed]],'Seed History'!$N$4:$O$19,2)</f>
        <v>2.3472222222222223</v>
      </c>
      <c r="R370" s="1">
        <f>IF(Table1[[#This Row],[Round]]="PI",0,Table1[[#This Row],[Round]]-1)</f>
        <v>2</v>
      </c>
      <c r="S370">
        <f>Table1[[#This Row],[LAW]]-Table1[[#This Row],[LEW]]</f>
        <v>-0.34722222222222232</v>
      </c>
    </row>
    <row r="371" spans="1:19" x14ac:dyDescent="0.25">
      <c r="A371" s="66">
        <v>32955</v>
      </c>
      <c r="B371" s="51">
        <f>YEAR(Table1[[#This Row],[Date]])</f>
        <v>1990</v>
      </c>
      <c r="C371" s="1">
        <v>3</v>
      </c>
      <c r="D371" t="s">
        <v>38</v>
      </c>
      <c r="E371" s="1">
        <v>11</v>
      </c>
      <c r="F371" t="s">
        <v>258</v>
      </c>
      <c r="G371" t="str">
        <f>VLOOKUP(Table1[[#This Row],[Winner]],Ranking!C:D,2,FALSE)</f>
        <v>WCC</v>
      </c>
      <c r="H371" s="1">
        <v>62</v>
      </c>
      <c r="I371" s="1">
        <v>7</v>
      </c>
      <c r="J371" t="s">
        <v>113</v>
      </c>
      <c r="K371" t="str">
        <f>VLOOKUP(Table1[[#This Row],[Loser]],Ranking!C:D,2,FALSE)</f>
        <v>SEC</v>
      </c>
      <c r="L371" s="1">
        <v>60</v>
      </c>
      <c r="N371" s="1">
        <f>Table1[[#This Row],[Winning Score]]-Table1[[#This Row],[Losing Score]]</f>
        <v>2</v>
      </c>
      <c r="O371" s="1">
        <f>Table1[[#This Row],[Losing Seed]]-Table1[[#This Row],[Winning Seed]]</f>
        <v>-4</v>
      </c>
      <c r="P371" s="1" t="str">
        <f>IF(Table1[[#This Row],[SeD]]&lt;-2,Table1[[#This Row],[Winning Seed]]&amp; " over " &amp;Table1[[#This Row],[Losing Seed]],"")</f>
        <v>11 over 7</v>
      </c>
      <c r="Q371">
        <f>VLOOKUP(Table1[[#This Row],[Losing Seed]],'Seed History'!$N$4:$O$19,2)</f>
        <v>0.90277777777777779</v>
      </c>
      <c r="R371" s="1">
        <f>IF(Table1[[#This Row],[Round]]="PI",0,Table1[[#This Row],[Round]]-1)</f>
        <v>2</v>
      </c>
      <c r="S371">
        <f>Table1[[#This Row],[LAW]]-Table1[[#This Row],[LEW]]</f>
        <v>1.0972222222222223</v>
      </c>
    </row>
    <row r="372" spans="1:19" x14ac:dyDescent="0.25">
      <c r="A372" s="66">
        <v>32955</v>
      </c>
      <c r="B372" s="51">
        <f>YEAR(Table1[[#This Row],[Date]])</f>
        <v>1990</v>
      </c>
      <c r="C372" s="1">
        <v>3</v>
      </c>
      <c r="D372" t="s">
        <v>461</v>
      </c>
      <c r="E372" s="1">
        <v>4</v>
      </c>
      <c r="F372" t="s">
        <v>216</v>
      </c>
      <c r="G372" t="str">
        <f>VLOOKUP(Table1[[#This Row],[Winner]],Ranking!C:D,2,FALSE)</f>
        <v>ACC</v>
      </c>
      <c r="H372" s="1">
        <v>81</v>
      </c>
      <c r="I372" s="1">
        <v>1</v>
      </c>
      <c r="J372" t="s">
        <v>271</v>
      </c>
      <c r="K372" t="str">
        <f>VLOOKUP(Table1[[#This Row],[Loser]],Ranking!C:D,2,FALSE)</f>
        <v>B10</v>
      </c>
      <c r="L372" s="1">
        <v>80</v>
      </c>
      <c r="M372" s="1" t="s">
        <v>462</v>
      </c>
      <c r="N372" s="1">
        <f>Table1[[#This Row],[Winning Score]]-Table1[[#This Row],[Losing Score]]</f>
        <v>1</v>
      </c>
      <c r="O372" s="1">
        <f>Table1[[#This Row],[Losing Seed]]-Table1[[#This Row],[Winning Seed]]</f>
        <v>-3</v>
      </c>
      <c r="P372" s="1" t="str">
        <f>IF(Table1[[#This Row],[SeD]]&lt;-2,Table1[[#This Row],[Winning Seed]]&amp; " over " &amp;Table1[[#This Row],[Losing Seed]],"")</f>
        <v>4 over 1</v>
      </c>
      <c r="Q372">
        <f>VLOOKUP(Table1[[#This Row],[Losing Seed]],'Seed History'!$N$4:$O$19,2)</f>
        <v>3.3263888888888888</v>
      </c>
      <c r="R372" s="1">
        <f>IF(Table1[[#This Row],[Round]]="PI",0,Table1[[#This Row],[Round]]-1)</f>
        <v>2</v>
      </c>
      <c r="S372">
        <f>Table1[[#This Row],[LAW]]-Table1[[#This Row],[LEW]]</f>
        <v>-1.3263888888888888</v>
      </c>
    </row>
    <row r="373" spans="1:19" x14ac:dyDescent="0.25">
      <c r="A373" s="66">
        <v>32956</v>
      </c>
      <c r="B373" s="51">
        <f>YEAR(Table1[[#This Row],[Date]])</f>
        <v>1990</v>
      </c>
      <c r="C373" s="1">
        <v>4</v>
      </c>
      <c r="D373" t="s">
        <v>439</v>
      </c>
      <c r="E373" s="1">
        <v>4</v>
      </c>
      <c r="F373" t="s">
        <v>41</v>
      </c>
      <c r="G373" t="str">
        <f>VLOOKUP(Table1[[#This Row],[Winner]],Ranking!C:D,2,FALSE)</f>
        <v>SEC</v>
      </c>
      <c r="H373" s="1">
        <v>88</v>
      </c>
      <c r="I373" s="1">
        <v>10</v>
      </c>
      <c r="J373" t="s">
        <v>34</v>
      </c>
      <c r="K373" t="str">
        <f>VLOOKUP(Table1[[#This Row],[Loser]],Ranking!C:D,2,FALSE)</f>
        <v>B12</v>
      </c>
      <c r="L373" s="1">
        <v>85</v>
      </c>
      <c r="N373" s="1">
        <f>Table1[[#This Row],[Winning Score]]-Table1[[#This Row],[Losing Score]]</f>
        <v>3</v>
      </c>
      <c r="O373" s="1">
        <f>Table1[[#This Row],[Losing Seed]]-Table1[[#This Row],[Winning Seed]]</f>
        <v>6</v>
      </c>
      <c r="P373" s="1" t="str">
        <f>IF(Table1[[#This Row],[SeD]]&lt;-2,Table1[[#This Row],[Winning Seed]]&amp; " over " &amp;Table1[[#This Row],[Losing Seed]],"")</f>
        <v/>
      </c>
      <c r="Q373">
        <f>VLOOKUP(Table1[[#This Row],[Losing Seed]],'Seed History'!$N$4:$O$19,2)</f>
        <v>0.61805555555555558</v>
      </c>
      <c r="R373" s="1">
        <f>IF(Table1[[#This Row],[Round]]="PI",0,Table1[[#This Row],[Round]]-1)</f>
        <v>3</v>
      </c>
      <c r="S373">
        <f>Table1[[#This Row],[LAW]]-Table1[[#This Row],[LEW]]</f>
        <v>2.3819444444444446</v>
      </c>
    </row>
    <row r="374" spans="1:19" x14ac:dyDescent="0.25">
      <c r="A374" s="66">
        <v>32956</v>
      </c>
      <c r="B374" s="51">
        <f>YEAR(Table1[[#This Row],[Date]])</f>
        <v>1990</v>
      </c>
      <c r="C374" s="1">
        <v>4</v>
      </c>
      <c r="D374" t="s">
        <v>49</v>
      </c>
      <c r="E374" s="1">
        <v>3</v>
      </c>
      <c r="F374" t="s">
        <v>64</v>
      </c>
      <c r="G374" t="str">
        <f>VLOOKUP(Table1[[#This Row],[Winner]],Ranking!C:D,2,FALSE)</f>
        <v>ACC</v>
      </c>
      <c r="H374" s="1">
        <v>79</v>
      </c>
      <c r="I374" s="1">
        <v>1</v>
      </c>
      <c r="J374" t="s">
        <v>80</v>
      </c>
      <c r="K374" t="str">
        <f>VLOOKUP(Table1[[#This Row],[Loser]],Ranking!C:D,2,FALSE)</f>
        <v>BE</v>
      </c>
      <c r="L374" s="1">
        <v>78</v>
      </c>
      <c r="M374" s="1" t="s">
        <v>462</v>
      </c>
      <c r="N374" s="1">
        <f>Table1[[#This Row],[Winning Score]]-Table1[[#This Row],[Losing Score]]</f>
        <v>1</v>
      </c>
      <c r="O374" s="1">
        <f>Table1[[#This Row],[Losing Seed]]-Table1[[#This Row],[Winning Seed]]</f>
        <v>-2</v>
      </c>
      <c r="P374" s="1" t="str">
        <f>IF(Table1[[#This Row],[SeD]]&lt;-2,Table1[[#This Row],[Winning Seed]]&amp; " over " &amp;Table1[[#This Row],[Losing Seed]],"")</f>
        <v/>
      </c>
      <c r="Q374">
        <f>VLOOKUP(Table1[[#This Row],[Losing Seed]],'Seed History'!$N$4:$O$19,2)</f>
        <v>3.3263888888888888</v>
      </c>
      <c r="R374" s="1">
        <f>IF(Table1[[#This Row],[Round]]="PI",0,Table1[[#This Row],[Round]]-1)</f>
        <v>3</v>
      </c>
      <c r="S374">
        <f>Table1[[#This Row],[LAW]]-Table1[[#This Row],[LEW]]</f>
        <v>-0.32638888888888884</v>
      </c>
    </row>
    <row r="375" spans="1:19" x14ac:dyDescent="0.25">
      <c r="A375" s="66">
        <v>32957</v>
      </c>
      <c r="B375" s="51">
        <f>YEAR(Table1[[#This Row],[Date]])</f>
        <v>1990</v>
      </c>
      <c r="C375" s="1">
        <v>4</v>
      </c>
      <c r="D375" t="s">
        <v>461</v>
      </c>
      <c r="E375" s="1">
        <v>4</v>
      </c>
      <c r="F375" t="s">
        <v>216</v>
      </c>
      <c r="G375" t="str">
        <f>VLOOKUP(Table1[[#This Row],[Winner]],Ranking!C:D,2,FALSE)</f>
        <v>ACC</v>
      </c>
      <c r="H375" s="1">
        <v>93</v>
      </c>
      <c r="I375" s="1">
        <v>6</v>
      </c>
      <c r="J375" t="s">
        <v>274</v>
      </c>
      <c r="K375" t="str">
        <f>VLOOKUP(Table1[[#This Row],[Loser]],Ranking!C:D,2,FALSE)</f>
        <v>B10</v>
      </c>
      <c r="L375" s="1">
        <v>91</v>
      </c>
      <c r="N375" s="1">
        <f>Table1[[#This Row],[Winning Score]]-Table1[[#This Row],[Losing Score]]</f>
        <v>2</v>
      </c>
      <c r="O375" s="1">
        <f>Table1[[#This Row],[Losing Seed]]-Table1[[#This Row],[Winning Seed]]</f>
        <v>2</v>
      </c>
      <c r="P375" s="1" t="str">
        <f>IF(Table1[[#This Row],[SeD]]&lt;-2,Table1[[#This Row],[Winning Seed]]&amp; " over " &amp;Table1[[#This Row],[Losing Seed]],"")</f>
        <v/>
      </c>
      <c r="Q375">
        <f>VLOOKUP(Table1[[#This Row],[Losing Seed]],'Seed History'!$N$4:$O$19,2)</f>
        <v>1.0625</v>
      </c>
      <c r="R375" s="1">
        <f>IF(Table1[[#This Row],[Round]]="PI",0,Table1[[#This Row],[Round]]-1)</f>
        <v>3</v>
      </c>
      <c r="S375">
        <f>Table1[[#This Row],[LAW]]-Table1[[#This Row],[LEW]]</f>
        <v>1.9375</v>
      </c>
    </row>
    <row r="376" spans="1:19" x14ac:dyDescent="0.25">
      <c r="A376" s="66">
        <v>32957</v>
      </c>
      <c r="B376" s="51">
        <f>YEAR(Table1[[#This Row],[Date]])</f>
        <v>1990</v>
      </c>
      <c r="C376" s="1">
        <v>4</v>
      </c>
      <c r="D376" t="s">
        <v>38</v>
      </c>
      <c r="E376" s="1">
        <v>1</v>
      </c>
      <c r="F376" t="s">
        <v>396</v>
      </c>
      <c r="G376" t="str">
        <f>VLOOKUP(Table1[[#This Row],[Winner]],Ranking!C:D,2,FALSE)</f>
        <v>MWC</v>
      </c>
      <c r="H376" s="1">
        <v>131</v>
      </c>
      <c r="I376" s="1">
        <v>11</v>
      </c>
      <c r="J376" t="s">
        <v>258</v>
      </c>
      <c r="K376" t="str">
        <f>VLOOKUP(Table1[[#This Row],[Loser]],Ranking!C:D,2,FALSE)</f>
        <v>WCC</v>
      </c>
      <c r="L376" s="1">
        <v>101</v>
      </c>
      <c r="N376" s="1">
        <f>Table1[[#This Row],[Winning Score]]-Table1[[#This Row],[Losing Score]]</f>
        <v>30</v>
      </c>
      <c r="O376" s="1">
        <f>Table1[[#This Row],[Losing Seed]]-Table1[[#This Row],[Winning Seed]]</f>
        <v>10</v>
      </c>
      <c r="P376" s="1" t="str">
        <f>IF(Table1[[#This Row],[SeD]]&lt;-2,Table1[[#This Row],[Winning Seed]]&amp; " over " &amp;Table1[[#This Row],[Losing Seed]],"")</f>
        <v/>
      </c>
      <c r="Q376">
        <f>VLOOKUP(Table1[[#This Row],[Losing Seed]],'Seed History'!$N$4:$O$19,2)</f>
        <v>0.63194444444444442</v>
      </c>
      <c r="R376" s="1">
        <f>IF(Table1[[#This Row],[Round]]="PI",0,Table1[[#This Row],[Round]]-1)</f>
        <v>3</v>
      </c>
      <c r="S376">
        <f>Table1[[#This Row],[LAW]]-Table1[[#This Row],[LEW]]</f>
        <v>2.3680555555555554</v>
      </c>
    </row>
    <row r="377" spans="1:19" x14ac:dyDescent="0.25">
      <c r="A377" s="66">
        <v>32963</v>
      </c>
      <c r="B377" s="51">
        <f>YEAR(Table1[[#This Row],[Date]])</f>
        <v>1990</v>
      </c>
      <c r="C377" s="1">
        <v>5</v>
      </c>
      <c r="D377" t="s">
        <v>467</v>
      </c>
      <c r="E377" s="1">
        <v>1</v>
      </c>
      <c r="F377" t="s">
        <v>396</v>
      </c>
      <c r="G377" t="str">
        <f>VLOOKUP(Table1[[#This Row],[Winner]],Ranking!C:D,2,FALSE)</f>
        <v>MWC</v>
      </c>
      <c r="H377" s="1">
        <v>90</v>
      </c>
      <c r="I377" s="1">
        <v>4</v>
      </c>
      <c r="J377" t="s">
        <v>216</v>
      </c>
      <c r="K377" t="str">
        <f>VLOOKUP(Table1[[#This Row],[Loser]],Ranking!C:D,2,FALSE)</f>
        <v>ACC</v>
      </c>
      <c r="L377" s="1">
        <v>81</v>
      </c>
      <c r="N377" s="1">
        <f>Table1[[#This Row],[Winning Score]]-Table1[[#This Row],[Losing Score]]</f>
        <v>9</v>
      </c>
      <c r="O377" s="1">
        <f>Table1[[#This Row],[Losing Seed]]-Table1[[#This Row],[Winning Seed]]</f>
        <v>3</v>
      </c>
      <c r="P377" s="1" t="str">
        <f>IF(Table1[[#This Row],[SeD]]&lt;-2,Table1[[#This Row],[Winning Seed]]&amp; " over " &amp;Table1[[#This Row],[Losing Seed]],"")</f>
        <v/>
      </c>
      <c r="Q377">
        <f>VLOOKUP(Table1[[#This Row],[Losing Seed]],'Seed History'!$N$4:$O$19,2)</f>
        <v>1.5208333333333333</v>
      </c>
      <c r="R377" s="1">
        <f>IF(Table1[[#This Row],[Round]]="PI",0,Table1[[#This Row],[Round]]-1)</f>
        <v>4</v>
      </c>
      <c r="S377">
        <f>Table1[[#This Row],[LAW]]-Table1[[#This Row],[LEW]]</f>
        <v>2.479166666666667</v>
      </c>
    </row>
    <row r="378" spans="1:19" x14ac:dyDescent="0.25">
      <c r="A378" s="66">
        <v>32963</v>
      </c>
      <c r="B378" s="51">
        <f>YEAR(Table1[[#This Row],[Date]])</f>
        <v>1990</v>
      </c>
      <c r="C378" s="1">
        <v>5</v>
      </c>
      <c r="D378" t="s">
        <v>467</v>
      </c>
      <c r="E378" s="1">
        <v>3</v>
      </c>
      <c r="F378" t="s">
        <v>64</v>
      </c>
      <c r="G378" t="str">
        <f>VLOOKUP(Table1[[#This Row],[Winner]],Ranking!C:D,2,FALSE)</f>
        <v>ACC</v>
      </c>
      <c r="H378" s="1">
        <v>97</v>
      </c>
      <c r="I378" s="1">
        <v>4</v>
      </c>
      <c r="J378" t="s">
        <v>41</v>
      </c>
      <c r="K378" t="str">
        <f>VLOOKUP(Table1[[#This Row],[Loser]],Ranking!C:D,2,FALSE)</f>
        <v>SEC</v>
      </c>
      <c r="L378" s="1">
        <v>83</v>
      </c>
      <c r="N378" s="1">
        <f>Table1[[#This Row],[Winning Score]]-Table1[[#This Row],[Losing Score]]</f>
        <v>14</v>
      </c>
      <c r="O378" s="1">
        <f>Table1[[#This Row],[Losing Seed]]-Table1[[#This Row],[Winning Seed]]</f>
        <v>1</v>
      </c>
      <c r="P378" s="1" t="str">
        <f>IF(Table1[[#This Row],[SeD]]&lt;-2,Table1[[#This Row],[Winning Seed]]&amp; " over " &amp;Table1[[#This Row],[Losing Seed]],"")</f>
        <v/>
      </c>
      <c r="Q378">
        <f>VLOOKUP(Table1[[#This Row],[Losing Seed]],'Seed History'!$N$4:$O$19,2)</f>
        <v>1.5208333333333333</v>
      </c>
      <c r="R378" s="1">
        <f>IF(Table1[[#This Row],[Round]]="PI",0,Table1[[#This Row],[Round]]-1)</f>
        <v>4</v>
      </c>
      <c r="S378">
        <f>Table1[[#This Row],[LAW]]-Table1[[#This Row],[LEW]]</f>
        <v>2.479166666666667</v>
      </c>
    </row>
    <row r="379" spans="1:19" x14ac:dyDescent="0.25">
      <c r="A379" s="66">
        <v>32965</v>
      </c>
      <c r="B379" s="51">
        <f>YEAR(Table1[[#This Row],[Date]])</f>
        <v>1990</v>
      </c>
      <c r="C379" s="1">
        <v>6</v>
      </c>
      <c r="D379" t="s">
        <v>468</v>
      </c>
      <c r="E379" s="1">
        <v>1</v>
      </c>
      <c r="F379" t="s">
        <v>396</v>
      </c>
      <c r="G379" t="str">
        <f>VLOOKUP(Table1[[#This Row],[Winner]],Ranking!C:D,2,FALSE)</f>
        <v>MWC</v>
      </c>
      <c r="H379" s="1">
        <v>103</v>
      </c>
      <c r="I379" s="1">
        <v>3</v>
      </c>
      <c r="J379" t="s">
        <v>64</v>
      </c>
      <c r="K379" t="str">
        <f>VLOOKUP(Table1[[#This Row],[Loser]],Ranking!C:D,2,FALSE)</f>
        <v>ACC</v>
      </c>
      <c r="L379" s="1">
        <v>73</v>
      </c>
      <c r="N379" s="1">
        <f>Table1[[#This Row],[Winning Score]]-Table1[[#This Row],[Losing Score]]</f>
        <v>30</v>
      </c>
      <c r="O379" s="1">
        <f>Table1[[#This Row],[Losing Seed]]-Table1[[#This Row],[Winning Seed]]</f>
        <v>2</v>
      </c>
      <c r="P379" s="1" t="str">
        <f>IF(Table1[[#This Row],[SeD]]&lt;-2,Table1[[#This Row],[Winning Seed]]&amp; " over " &amp;Table1[[#This Row],[Losing Seed]],"")</f>
        <v/>
      </c>
      <c r="Q379">
        <f>VLOOKUP(Table1[[#This Row],[Losing Seed]],'Seed History'!$N$4:$O$19,2)</f>
        <v>1.8472222222222223</v>
      </c>
      <c r="R379" s="1">
        <f>IF(Table1[[#This Row],[Round]]="PI",0,Table1[[#This Row],[Round]]-1)</f>
        <v>5</v>
      </c>
      <c r="S379">
        <f>Table1[[#This Row],[LAW]]-Table1[[#This Row],[LEW]]</f>
        <v>3.1527777777777777</v>
      </c>
    </row>
    <row r="380" spans="1:19" x14ac:dyDescent="0.25">
      <c r="A380" s="66">
        <v>33311</v>
      </c>
      <c r="B380" s="51">
        <f>YEAR(Table1[[#This Row],[Date]])</f>
        <v>1991</v>
      </c>
      <c r="C380" s="1">
        <v>1</v>
      </c>
      <c r="D380" t="s">
        <v>49</v>
      </c>
      <c r="E380" s="1">
        <v>15</v>
      </c>
      <c r="F380" t="s">
        <v>331</v>
      </c>
      <c r="G380" t="str">
        <f>VLOOKUP(Table1[[#This Row],[Winner]],Ranking!C:D,2,FALSE)</f>
        <v>A10</v>
      </c>
      <c r="H380" s="1">
        <v>73</v>
      </c>
      <c r="I380" s="1">
        <v>2</v>
      </c>
      <c r="J380" t="s">
        <v>86</v>
      </c>
      <c r="K380" t="str">
        <f>VLOOKUP(Table1[[#This Row],[Loser]],Ranking!C:D,2,FALSE)</f>
        <v>ACC</v>
      </c>
      <c r="L380" s="1">
        <v>69</v>
      </c>
      <c r="N380" s="1">
        <f>Table1[[#This Row],[Winning Score]]-Table1[[#This Row],[Losing Score]]</f>
        <v>4</v>
      </c>
      <c r="O380" s="1">
        <f>Table1[[#This Row],[Losing Seed]]-Table1[[#This Row],[Winning Seed]]</f>
        <v>-13</v>
      </c>
      <c r="P380" s="1" t="str">
        <f>IF(Table1[[#This Row],[SeD]]&lt;-2,Table1[[#This Row],[Winning Seed]]&amp; " over " &amp;Table1[[#This Row],[Losing Seed]],"")</f>
        <v>15 over 2</v>
      </c>
      <c r="Q380">
        <f>VLOOKUP(Table1[[#This Row],[Losing Seed]],'Seed History'!$N$4:$O$19,2)</f>
        <v>2.3472222222222223</v>
      </c>
      <c r="R380" s="1">
        <f>IF(Table1[[#This Row],[Round]]="PI",0,Table1[[#This Row],[Round]]-1)</f>
        <v>0</v>
      </c>
      <c r="S380">
        <f>Table1[[#This Row],[LAW]]-Table1[[#This Row],[LEW]]</f>
        <v>-2.3472222222222223</v>
      </c>
    </row>
    <row r="381" spans="1:19" x14ac:dyDescent="0.25">
      <c r="A381" s="66">
        <v>33311</v>
      </c>
      <c r="B381" s="51">
        <f>YEAR(Table1[[#This Row],[Date]])</f>
        <v>1991</v>
      </c>
      <c r="C381" s="1">
        <v>1</v>
      </c>
      <c r="D381" t="s">
        <v>439</v>
      </c>
      <c r="E381" s="1">
        <v>14</v>
      </c>
      <c r="F381" t="s">
        <v>44</v>
      </c>
      <c r="G381" t="str">
        <f>VLOOKUP(Table1[[#This Row],[Winner]],Ranking!C:D,2,FALSE)</f>
        <v>BE</v>
      </c>
      <c r="H381" s="1">
        <v>89</v>
      </c>
      <c r="I381" s="1">
        <v>3</v>
      </c>
      <c r="J381" t="s">
        <v>287</v>
      </c>
      <c r="K381" t="str">
        <f>VLOOKUP(Table1[[#This Row],[Loser]],Ranking!C:D,2,FALSE)</f>
        <v>B10</v>
      </c>
      <c r="L381" s="1">
        <v>84</v>
      </c>
      <c r="N381" s="1">
        <f>Table1[[#This Row],[Winning Score]]-Table1[[#This Row],[Losing Score]]</f>
        <v>5</v>
      </c>
      <c r="O381" s="1">
        <f>Table1[[#This Row],[Losing Seed]]-Table1[[#This Row],[Winning Seed]]</f>
        <v>-11</v>
      </c>
      <c r="P381" s="1" t="str">
        <f>IF(Table1[[#This Row],[SeD]]&lt;-2,Table1[[#This Row],[Winning Seed]]&amp; " over " &amp;Table1[[#This Row],[Losing Seed]],"")</f>
        <v>14 over 3</v>
      </c>
      <c r="Q381">
        <f>VLOOKUP(Table1[[#This Row],[Losing Seed]],'Seed History'!$N$4:$O$19,2)</f>
        <v>1.8472222222222223</v>
      </c>
      <c r="R381" s="1">
        <f>IF(Table1[[#This Row],[Round]]="PI",0,Table1[[#This Row],[Round]]-1)</f>
        <v>0</v>
      </c>
      <c r="S381">
        <f>Table1[[#This Row],[LAW]]-Table1[[#This Row],[LEW]]</f>
        <v>-1.8472222222222223</v>
      </c>
    </row>
    <row r="382" spans="1:19" x14ac:dyDescent="0.25">
      <c r="A382" s="66">
        <v>33311</v>
      </c>
      <c r="B382" s="51">
        <f>YEAR(Table1[[#This Row],[Date]])</f>
        <v>1991</v>
      </c>
      <c r="C382" s="1">
        <v>1</v>
      </c>
      <c r="D382" t="s">
        <v>49</v>
      </c>
      <c r="E382" s="1">
        <v>3</v>
      </c>
      <c r="F382" t="s">
        <v>316</v>
      </c>
      <c r="G382" t="str">
        <f>VLOOKUP(Table1[[#This Row],[Winner]],Ranking!C:D,2,FALSE)</f>
        <v>B12</v>
      </c>
      <c r="H382" s="1">
        <v>67</v>
      </c>
      <c r="I382" s="1">
        <v>14</v>
      </c>
      <c r="J382" t="s">
        <v>291</v>
      </c>
      <c r="K382" t="str">
        <f>VLOOKUP(Table1[[#This Row],[Loser]],Ranking!C:D,2,FALSE)</f>
        <v>MWC</v>
      </c>
      <c r="L382" s="1">
        <v>54</v>
      </c>
      <c r="N382" s="1">
        <f>Table1[[#This Row],[Winning Score]]-Table1[[#This Row],[Losing Score]]</f>
        <v>13</v>
      </c>
      <c r="O382" s="1">
        <f>Table1[[#This Row],[Losing Seed]]-Table1[[#This Row],[Winning Seed]]</f>
        <v>11</v>
      </c>
      <c r="P382" s="1" t="str">
        <f>IF(Table1[[#This Row],[SeD]]&lt;-2,Table1[[#This Row],[Winning Seed]]&amp; " over " &amp;Table1[[#This Row],[Losing Seed]],"")</f>
        <v/>
      </c>
      <c r="Q382">
        <f>VLOOKUP(Table1[[#This Row],[Losing Seed]],'Seed History'!$N$4:$O$19,2)</f>
        <v>0.16666666666666666</v>
      </c>
      <c r="R382" s="1">
        <f>IF(Table1[[#This Row],[Round]]="PI",0,Table1[[#This Row],[Round]]-1)</f>
        <v>0</v>
      </c>
      <c r="S382">
        <f>Table1[[#This Row],[LAW]]-Table1[[#This Row],[LEW]]</f>
        <v>-0.16666666666666666</v>
      </c>
    </row>
    <row r="383" spans="1:19" x14ac:dyDescent="0.25">
      <c r="A383" s="66">
        <v>33311</v>
      </c>
      <c r="B383" s="51">
        <f>YEAR(Table1[[#This Row],[Date]])</f>
        <v>1991</v>
      </c>
      <c r="C383" s="1">
        <v>1</v>
      </c>
      <c r="D383" t="s">
        <v>49</v>
      </c>
      <c r="E383" s="1">
        <v>6</v>
      </c>
      <c r="F383" t="s">
        <v>301</v>
      </c>
      <c r="G383" t="e">
        <f>VLOOKUP(Table1[[#This Row],[Winner]],Ranking!C:D,2,FALSE)</f>
        <v>#N/A</v>
      </c>
      <c r="H383" s="1">
        <v>114</v>
      </c>
      <c r="I383" s="1">
        <v>11</v>
      </c>
      <c r="J383" t="s">
        <v>363</v>
      </c>
      <c r="K383" t="str">
        <f>VLOOKUP(Table1[[#This Row],[Loser]],Ranking!C:D,2,FALSE)</f>
        <v>CUSA</v>
      </c>
      <c r="L383" s="1">
        <v>85</v>
      </c>
      <c r="N383" s="1">
        <f>Table1[[#This Row],[Winning Score]]-Table1[[#This Row],[Losing Score]]</f>
        <v>29</v>
      </c>
      <c r="O383" s="1">
        <f>Table1[[#This Row],[Losing Seed]]-Table1[[#This Row],[Winning Seed]]</f>
        <v>5</v>
      </c>
      <c r="P383" s="1" t="str">
        <f>IF(Table1[[#This Row],[SeD]]&lt;-2,Table1[[#This Row],[Winning Seed]]&amp; " over " &amp;Table1[[#This Row],[Losing Seed]],"")</f>
        <v/>
      </c>
      <c r="Q383">
        <f>VLOOKUP(Table1[[#This Row],[Losing Seed]],'Seed History'!$N$4:$O$19,2)</f>
        <v>0.63194444444444442</v>
      </c>
      <c r="R383" s="1">
        <f>IF(Table1[[#This Row],[Round]]="PI",0,Table1[[#This Row],[Round]]-1)</f>
        <v>0</v>
      </c>
      <c r="S383">
        <f>Table1[[#This Row],[LAW]]-Table1[[#This Row],[LEW]]</f>
        <v>-0.63194444444444442</v>
      </c>
    </row>
    <row r="384" spans="1:19" x14ac:dyDescent="0.25">
      <c r="A384" s="66">
        <v>33311</v>
      </c>
      <c r="B384" s="51">
        <f>YEAR(Table1[[#This Row],[Date]])</f>
        <v>1991</v>
      </c>
      <c r="C384" s="1">
        <v>1</v>
      </c>
      <c r="D384" t="s">
        <v>439</v>
      </c>
      <c r="E384" s="1">
        <v>2</v>
      </c>
      <c r="F384" t="s">
        <v>64</v>
      </c>
      <c r="G384" t="str">
        <f>VLOOKUP(Table1[[#This Row],[Winner]],Ranking!C:D,2,FALSE)</f>
        <v>ACC</v>
      </c>
      <c r="H384" s="1">
        <v>102</v>
      </c>
      <c r="I384" s="1">
        <v>15</v>
      </c>
      <c r="J384" t="s">
        <v>255</v>
      </c>
      <c r="K384" t="str">
        <f>VLOOKUP(Table1[[#This Row],[Loser]],Ranking!C:D,2,FALSE)</f>
        <v>SB</v>
      </c>
      <c r="L384" s="1">
        <v>73</v>
      </c>
      <c r="N384" s="1">
        <f>Table1[[#This Row],[Winning Score]]-Table1[[#This Row],[Losing Score]]</f>
        <v>29</v>
      </c>
      <c r="O384" s="1">
        <f>Table1[[#This Row],[Losing Seed]]-Table1[[#This Row],[Winning Seed]]</f>
        <v>13</v>
      </c>
      <c r="P384" s="1" t="str">
        <f>IF(Table1[[#This Row],[SeD]]&lt;-2,Table1[[#This Row],[Winning Seed]]&amp; " over " &amp;Table1[[#This Row],[Losing Seed]],"")</f>
        <v/>
      </c>
      <c r="Q384">
        <f>VLOOKUP(Table1[[#This Row],[Losing Seed]],'Seed History'!$N$4:$O$19,2)</f>
        <v>7.6388888888888895E-2</v>
      </c>
      <c r="R384" s="1">
        <f>IF(Table1[[#This Row],[Round]]="PI",0,Table1[[#This Row],[Round]]-1)</f>
        <v>0</v>
      </c>
      <c r="S384">
        <f>Table1[[#This Row],[LAW]]-Table1[[#This Row],[LEW]]</f>
        <v>-7.6388888888888895E-2</v>
      </c>
    </row>
    <row r="385" spans="1:19" x14ac:dyDescent="0.25">
      <c r="A385" s="66">
        <v>33311</v>
      </c>
      <c r="B385" s="51">
        <f>YEAR(Table1[[#This Row],[Date]])</f>
        <v>1991</v>
      </c>
      <c r="C385" s="1">
        <v>1</v>
      </c>
      <c r="D385" t="s">
        <v>439</v>
      </c>
      <c r="E385" s="1">
        <v>7</v>
      </c>
      <c r="F385" t="s">
        <v>69</v>
      </c>
      <c r="G385" t="str">
        <f>VLOOKUP(Table1[[#This Row],[Winner]],Ranking!C:D,2,FALSE)</f>
        <v>B10</v>
      </c>
      <c r="H385" s="1">
        <v>76</v>
      </c>
      <c r="I385" s="1">
        <v>10</v>
      </c>
      <c r="J385" t="s">
        <v>192</v>
      </c>
      <c r="K385" t="str">
        <f>VLOOKUP(Table1[[#This Row],[Loser]],Ranking!C:D,2,FALSE)</f>
        <v>SC</v>
      </c>
      <c r="L385" s="1">
        <v>73</v>
      </c>
      <c r="N385" s="1">
        <f>Table1[[#This Row],[Winning Score]]-Table1[[#This Row],[Losing Score]]</f>
        <v>3</v>
      </c>
      <c r="O385" s="1">
        <f>Table1[[#This Row],[Losing Seed]]-Table1[[#This Row],[Winning Seed]]</f>
        <v>3</v>
      </c>
      <c r="P385" s="1" t="str">
        <f>IF(Table1[[#This Row],[SeD]]&lt;-2,Table1[[#This Row],[Winning Seed]]&amp; " over " &amp;Table1[[#This Row],[Losing Seed]],"")</f>
        <v/>
      </c>
      <c r="Q385">
        <f>VLOOKUP(Table1[[#This Row],[Losing Seed]],'Seed History'!$N$4:$O$19,2)</f>
        <v>0.61805555555555558</v>
      </c>
      <c r="R385" s="1">
        <f>IF(Table1[[#This Row],[Round]]="PI",0,Table1[[#This Row],[Round]]-1)</f>
        <v>0</v>
      </c>
      <c r="S385">
        <f>Table1[[#This Row],[LAW]]-Table1[[#This Row],[LEW]]</f>
        <v>-0.61805555555555558</v>
      </c>
    </row>
    <row r="386" spans="1:19" x14ac:dyDescent="0.25">
      <c r="A386" s="66">
        <v>33311</v>
      </c>
      <c r="B386" s="51">
        <f>YEAR(Table1[[#This Row],[Date]])</f>
        <v>1991</v>
      </c>
      <c r="C386" s="1">
        <v>1</v>
      </c>
      <c r="D386" t="s">
        <v>461</v>
      </c>
      <c r="E386" s="1">
        <v>2</v>
      </c>
      <c r="F386" t="s">
        <v>36</v>
      </c>
      <c r="G386" t="str">
        <f>VLOOKUP(Table1[[#This Row],[Winner]],Ranking!C:D,2,FALSE)</f>
        <v>B10</v>
      </c>
      <c r="H386" s="1">
        <v>79</v>
      </c>
      <c r="I386" s="1">
        <v>15</v>
      </c>
      <c r="J386" t="s">
        <v>173</v>
      </c>
      <c r="K386" t="str">
        <f>VLOOKUP(Table1[[#This Row],[Loser]],Ranking!C:D,2,FALSE)</f>
        <v>SB</v>
      </c>
      <c r="L386" s="1">
        <v>69</v>
      </c>
      <c r="N386" s="1">
        <f>Table1[[#This Row],[Winning Score]]-Table1[[#This Row],[Losing Score]]</f>
        <v>10</v>
      </c>
      <c r="O386" s="1">
        <f>Table1[[#This Row],[Losing Seed]]-Table1[[#This Row],[Winning Seed]]</f>
        <v>13</v>
      </c>
      <c r="P386" s="1" t="str">
        <f>IF(Table1[[#This Row],[SeD]]&lt;-2,Table1[[#This Row],[Winning Seed]]&amp; " over " &amp;Table1[[#This Row],[Losing Seed]],"")</f>
        <v/>
      </c>
      <c r="Q386">
        <f>VLOOKUP(Table1[[#This Row],[Losing Seed]],'Seed History'!$N$4:$O$19,2)</f>
        <v>7.6388888888888895E-2</v>
      </c>
      <c r="R386" s="1">
        <f>IF(Table1[[#This Row],[Round]]="PI",0,Table1[[#This Row],[Round]]-1)</f>
        <v>0</v>
      </c>
      <c r="S386">
        <f>Table1[[#This Row],[LAW]]-Table1[[#This Row],[LEW]]</f>
        <v>-7.6388888888888895E-2</v>
      </c>
    </row>
    <row r="387" spans="1:19" x14ac:dyDescent="0.25">
      <c r="A387" s="66">
        <v>33311</v>
      </c>
      <c r="B387" s="51">
        <f>YEAR(Table1[[#This Row],[Date]])</f>
        <v>1991</v>
      </c>
      <c r="C387" s="1">
        <v>1</v>
      </c>
      <c r="D387" t="s">
        <v>461</v>
      </c>
      <c r="E387" s="1">
        <v>3</v>
      </c>
      <c r="F387" t="s">
        <v>37</v>
      </c>
      <c r="G387" t="str">
        <f>VLOOKUP(Table1[[#This Row],[Winner]],Ranking!C:D,2,FALSE)</f>
        <v>B12</v>
      </c>
      <c r="H387" s="1">
        <v>55</v>
      </c>
      <c r="I387" s="1">
        <v>14</v>
      </c>
      <c r="J387" t="s">
        <v>293</v>
      </c>
      <c r="K387" t="str">
        <f>VLOOKUP(Table1[[#This Row],[Loser]],Ranking!C:D,2,FALSE)</f>
        <v>Slnd</v>
      </c>
      <c r="L387" s="1">
        <v>49</v>
      </c>
      <c r="N387" s="1">
        <f>Table1[[#This Row],[Winning Score]]-Table1[[#This Row],[Losing Score]]</f>
        <v>6</v>
      </c>
      <c r="O387" s="1">
        <f>Table1[[#This Row],[Losing Seed]]-Table1[[#This Row],[Winning Seed]]</f>
        <v>11</v>
      </c>
      <c r="P387" s="1" t="str">
        <f>IF(Table1[[#This Row],[SeD]]&lt;-2,Table1[[#This Row],[Winning Seed]]&amp; " over " &amp;Table1[[#This Row],[Losing Seed]],"")</f>
        <v/>
      </c>
      <c r="Q387">
        <f>VLOOKUP(Table1[[#This Row],[Losing Seed]],'Seed History'!$N$4:$O$19,2)</f>
        <v>0.16666666666666666</v>
      </c>
      <c r="R387" s="1">
        <f>IF(Table1[[#This Row],[Round]]="PI",0,Table1[[#This Row],[Round]]-1)</f>
        <v>0</v>
      </c>
      <c r="S387">
        <f>Table1[[#This Row],[LAW]]-Table1[[#This Row],[LEW]]</f>
        <v>-0.16666666666666666</v>
      </c>
    </row>
    <row r="388" spans="1:19" x14ac:dyDescent="0.25">
      <c r="A388" s="66">
        <v>33311</v>
      </c>
      <c r="B388" s="51">
        <f>YEAR(Table1[[#This Row],[Date]])</f>
        <v>1991</v>
      </c>
      <c r="C388" s="1">
        <v>1</v>
      </c>
      <c r="D388" t="s">
        <v>461</v>
      </c>
      <c r="E388" s="1">
        <v>6</v>
      </c>
      <c r="F388" t="s">
        <v>83</v>
      </c>
      <c r="G388" t="str">
        <f>VLOOKUP(Table1[[#This Row],[Winner]],Ranking!C:D,2,FALSE)</f>
        <v>ACC</v>
      </c>
      <c r="H388" s="1">
        <v>76</v>
      </c>
      <c r="I388" s="1">
        <v>11</v>
      </c>
      <c r="J388" t="s">
        <v>60</v>
      </c>
      <c r="K388" t="str">
        <f>VLOOKUP(Table1[[#This Row],[Loser]],Ranking!C:D,2,FALSE)</f>
        <v>SEC</v>
      </c>
      <c r="L388" s="1">
        <v>68</v>
      </c>
      <c r="M388" s="1" t="s">
        <v>462</v>
      </c>
      <c r="N388" s="1">
        <f>Table1[[#This Row],[Winning Score]]-Table1[[#This Row],[Losing Score]]</f>
        <v>8</v>
      </c>
      <c r="O388" s="1">
        <f>Table1[[#This Row],[Losing Seed]]-Table1[[#This Row],[Winning Seed]]</f>
        <v>5</v>
      </c>
      <c r="P388" s="1" t="str">
        <f>IF(Table1[[#This Row],[SeD]]&lt;-2,Table1[[#This Row],[Winning Seed]]&amp; " over " &amp;Table1[[#This Row],[Losing Seed]],"")</f>
        <v/>
      </c>
      <c r="Q388">
        <f>VLOOKUP(Table1[[#This Row],[Losing Seed]],'Seed History'!$N$4:$O$19,2)</f>
        <v>0.63194444444444442</v>
      </c>
      <c r="R388" s="1">
        <f>IF(Table1[[#This Row],[Round]]="PI",0,Table1[[#This Row],[Round]]-1)</f>
        <v>0</v>
      </c>
      <c r="S388">
        <f>Table1[[#This Row],[LAW]]-Table1[[#This Row],[LEW]]</f>
        <v>-0.63194444444444442</v>
      </c>
    </row>
    <row r="389" spans="1:19" x14ac:dyDescent="0.25">
      <c r="A389" s="66">
        <v>33311</v>
      </c>
      <c r="B389" s="51">
        <f>YEAR(Table1[[#This Row],[Date]])</f>
        <v>1991</v>
      </c>
      <c r="C389" s="1">
        <v>1</v>
      </c>
      <c r="D389" t="s">
        <v>461</v>
      </c>
      <c r="E389" s="1">
        <v>7</v>
      </c>
      <c r="F389" t="s">
        <v>207</v>
      </c>
      <c r="G389" t="str">
        <f>VLOOKUP(Table1[[#This Row],[Winner]],Ranking!C:D,2,FALSE)</f>
        <v>ACC</v>
      </c>
      <c r="H389" s="1">
        <v>75</v>
      </c>
      <c r="I389" s="1">
        <v>10</v>
      </c>
      <c r="J389" t="s">
        <v>85</v>
      </c>
      <c r="K389" t="str">
        <f>VLOOKUP(Table1[[#This Row],[Loser]],Ranking!C:D,2,FALSE)</f>
        <v>P12</v>
      </c>
      <c r="L389" s="1">
        <v>72</v>
      </c>
      <c r="N389" s="1">
        <f>Table1[[#This Row],[Winning Score]]-Table1[[#This Row],[Losing Score]]</f>
        <v>3</v>
      </c>
      <c r="O389" s="1">
        <f>Table1[[#This Row],[Losing Seed]]-Table1[[#This Row],[Winning Seed]]</f>
        <v>3</v>
      </c>
      <c r="P389" s="1" t="str">
        <f>IF(Table1[[#This Row],[SeD]]&lt;-2,Table1[[#This Row],[Winning Seed]]&amp; " over " &amp;Table1[[#This Row],[Losing Seed]],"")</f>
        <v/>
      </c>
      <c r="Q389">
        <f>VLOOKUP(Table1[[#This Row],[Losing Seed]],'Seed History'!$N$4:$O$19,2)</f>
        <v>0.61805555555555558</v>
      </c>
      <c r="R389" s="1">
        <f>IF(Table1[[#This Row],[Round]]="PI",0,Table1[[#This Row],[Round]]-1)</f>
        <v>0</v>
      </c>
      <c r="S389">
        <f>Table1[[#This Row],[LAW]]-Table1[[#This Row],[LEW]]</f>
        <v>-0.61805555555555558</v>
      </c>
    </row>
    <row r="390" spans="1:19" x14ac:dyDescent="0.25">
      <c r="A390" s="66">
        <v>33311</v>
      </c>
      <c r="B390" s="51">
        <f>YEAR(Table1[[#This Row],[Date]])</f>
        <v>1991</v>
      </c>
      <c r="C390" s="1">
        <v>1</v>
      </c>
      <c r="D390" t="s">
        <v>38</v>
      </c>
      <c r="E390" s="1">
        <v>2</v>
      </c>
      <c r="F390" t="s">
        <v>48</v>
      </c>
      <c r="G390" t="str">
        <f>VLOOKUP(Table1[[#This Row],[Winner]],Ranking!C:D,2,FALSE)</f>
        <v>P12</v>
      </c>
      <c r="H390" s="1">
        <v>93</v>
      </c>
      <c r="I390" s="1">
        <v>15</v>
      </c>
      <c r="J390" t="s">
        <v>367</v>
      </c>
      <c r="K390" t="str">
        <f>VLOOKUP(Table1[[#This Row],[Loser]],Ranking!C:D,2,FALSE)</f>
        <v>NEC</v>
      </c>
      <c r="L390" s="1">
        <v>80</v>
      </c>
      <c r="N390" s="1">
        <f>Table1[[#This Row],[Winning Score]]-Table1[[#This Row],[Losing Score]]</f>
        <v>13</v>
      </c>
      <c r="O390" s="1">
        <f>Table1[[#This Row],[Losing Seed]]-Table1[[#This Row],[Winning Seed]]</f>
        <v>13</v>
      </c>
      <c r="P390" s="1" t="str">
        <f>IF(Table1[[#This Row],[SeD]]&lt;-2,Table1[[#This Row],[Winning Seed]]&amp; " over " &amp;Table1[[#This Row],[Losing Seed]],"")</f>
        <v/>
      </c>
      <c r="Q390">
        <f>VLOOKUP(Table1[[#This Row],[Losing Seed]],'Seed History'!$N$4:$O$19,2)</f>
        <v>7.6388888888888895E-2</v>
      </c>
      <c r="R390" s="1">
        <f>IF(Table1[[#This Row],[Round]]="PI",0,Table1[[#This Row],[Round]]-1)</f>
        <v>0</v>
      </c>
      <c r="S390">
        <f>Table1[[#This Row],[LAW]]-Table1[[#This Row],[LEW]]</f>
        <v>-7.6388888888888895E-2</v>
      </c>
    </row>
    <row r="391" spans="1:19" x14ac:dyDescent="0.25">
      <c r="A391" s="66">
        <v>33311</v>
      </c>
      <c r="B391" s="51">
        <f>YEAR(Table1[[#This Row],[Date]])</f>
        <v>1991</v>
      </c>
      <c r="C391" s="1">
        <v>1</v>
      </c>
      <c r="D391" t="s">
        <v>38</v>
      </c>
      <c r="E391" s="1">
        <v>3</v>
      </c>
      <c r="F391" t="s">
        <v>87</v>
      </c>
      <c r="G391" t="str">
        <f>VLOOKUP(Table1[[#This Row],[Winner]],Ranking!C:D,2,FALSE)</f>
        <v>BE</v>
      </c>
      <c r="H391" s="1">
        <v>71</v>
      </c>
      <c r="I391" s="1">
        <v>14</v>
      </c>
      <c r="J391" t="s">
        <v>323</v>
      </c>
      <c r="K391" t="str">
        <f>VLOOKUP(Table1[[#This Row],[Loser]],Ranking!C:D,2,FALSE)</f>
        <v>WCC</v>
      </c>
      <c r="L391" s="1">
        <v>51</v>
      </c>
      <c r="N391" s="1">
        <f>Table1[[#This Row],[Winning Score]]-Table1[[#This Row],[Losing Score]]</f>
        <v>20</v>
      </c>
      <c r="O391" s="1">
        <f>Table1[[#This Row],[Losing Seed]]-Table1[[#This Row],[Winning Seed]]</f>
        <v>11</v>
      </c>
      <c r="P391" s="1" t="str">
        <f>IF(Table1[[#This Row],[SeD]]&lt;-2,Table1[[#This Row],[Winning Seed]]&amp; " over " &amp;Table1[[#This Row],[Losing Seed]],"")</f>
        <v/>
      </c>
      <c r="Q391">
        <f>VLOOKUP(Table1[[#This Row],[Losing Seed]],'Seed History'!$N$4:$O$19,2)</f>
        <v>0.16666666666666666</v>
      </c>
      <c r="R391" s="1">
        <f>IF(Table1[[#This Row],[Round]]="PI",0,Table1[[#This Row],[Round]]-1)</f>
        <v>0</v>
      </c>
      <c r="S391">
        <f>Table1[[#This Row],[LAW]]-Table1[[#This Row],[LEW]]</f>
        <v>-0.16666666666666666</v>
      </c>
    </row>
    <row r="392" spans="1:19" x14ac:dyDescent="0.25">
      <c r="A392" s="66">
        <v>33311</v>
      </c>
      <c r="B392" s="51">
        <f>YEAR(Table1[[#This Row],[Date]])</f>
        <v>1991</v>
      </c>
      <c r="C392" s="1">
        <v>1</v>
      </c>
      <c r="D392" t="s">
        <v>439</v>
      </c>
      <c r="E392" s="1">
        <v>11</v>
      </c>
      <c r="F392" t="s">
        <v>80</v>
      </c>
      <c r="G392" t="str">
        <f>VLOOKUP(Table1[[#This Row],[Winner]],Ranking!C:D,2,FALSE)</f>
        <v>BE</v>
      </c>
      <c r="H392" s="1">
        <v>79</v>
      </c>
      <c r="I392" s="1">
        <v>6</v>
      </c>
      <c r="J392" t="s">
        <v>52</v>
      </c>
      <c r="K392" t="str">
        <f>VLOOKUP(Table1[[#This Row],[Loser]],Ranking!C:D,2,FALSE)</f>
        <v>SEC</v>
      </c>
      <c r="L392" s="1">
        <v>62</v>
      </c>
      <c r="N392" s="1">
        <f>Table1[[#This Row],[Winning Score]]-Table1[[#This Row],[Losing Score]]</f>
        <v>17</v>
      </c>
      <c r="O392" s="1">
        <f>Table1[[#This Row],[Losing Seed]]-Table1[[#This Row],[Winning Seed]]</f>
        <v>-5</v>
      </c>
      <c r="P392" s="1" t="str">
        <f>IF(Table1[[#This Row],[SeD]]&lt;-2,Table1[[#This Row],[Winning Seed]]&amp; " over " &amp;Table1[[#This Row],[Losing Seed]],"")</f>
        <v>11 over 6</v>
      </c>
      <c r="Q392">
        <f>VLOOKUP(Table1[[#This Row],[Losing Seed]],'Seed History'!$N$4:$O$19,2)</f>
        <v>1.0625</v>
      </c>
      <c r="R392" s="1">
        <f>IF(Table1[[#This Row],[Round]]="PI",0,Table1[[#This Row],[Round]]-1)</f>
        <v>0</v>
      </c>
      <c r="S392">
        <f>Table1[[#This Row],[LAW]]-Table1[[#This Row],[LEW]]</f>
        <v>-1.0625</v>
      </c>
    </row>
    <row r="393" spans="1:19" x14ac:dyDescent="0.25">
      <c r="A393" s="66">
        <v>33311</v>
      </c>
      <c r="B393" s="51">
        <f>YEAR(Table1[[#This Row],[Date]])</f>
        <v>1991</v>
      </c>
      <c r="C393" s="1">
        <v>1</v>
      </c>
      <c r="D393" t="s">
        <v>38</v>
      </c>
      <c r="E393" s="1">
        <v>11</v>
      </c>
      <c r="F393" t="s">
        <v>88</v>
      </c>
      <c r="G393" t="str">
        <f>VLOOKUP(Table1[[#This Row],[Winner]],Ranking!C:D,2,FALSE)</f>
        <v>BE</v>
      </c>
      <c r="H393" s="1">
        <v>64</v>
      </c>
      <c r="I393" s="1">
        <v>6</v>
      </c>
      <c r="J393" t="s">
        <v>292</v>
      </c>
      <c r="K393" t="str">
        <f>VLOOKUP(Table1[[#This Row],[Loser]],Ranking!C:D,2,FALSE)</f>
        <v>WAC</v>
      </c>
      <c r="L393" s="1">
        <v>56</v>
      </c>
      <c r="N393" s="1">
        <f>Table1[[#This Row],[Winning Score]]-Table1[[#This Row],[Losing Score]]</f>
        <v>8</v>
      </c>
      <c r="O393" s="1">
        <f>Table1[[#This Row],[Losing Seed]]-Table1[[#This Row],[Winning Seed]]</f>
        <v>-5</v>
      </c>
      <c r="P393" s="1" t="str">
        <f>IF(Table1[[#This Row],[SeD]]&lt;-2,Table1[[#This Row],[Winning Seed]]&amp; " over " &amp;Table1[[#This Row],[Losing Seed]],"")</f>
        <v>11 over 6</v>
      </c>
      <c r="Q393">
        <f>VLOOKUP(Table1[[#This Row],[Losing Seed]],'Seed History'!$N$4:$O$19,2)</f>
        <v>1.0625</v>
      </c>
      <c r="R393" s="1">
        <f>IF(Table1[[#This Row],[Round]]="PI",0,Table1[[#This Row],[Round]]-1)</f>
        <v>0</v>
      </c>
      <c r="S393">
        <f>Table1[[#This Row],[LAW]]-Table1[[#This Row],[LEW]]</f>
        <v>-1.0625</v>
      </c>
    </row>
    <row r="394" spans="1:19" x14ac:dyDescent="0.25">
      <c r="A394" s="66">
        <v>33311</v>
      </c>
      <c r="B394" s="51">
        <f>YEAR(Table1[[#This Row],[Date]])</f>
        <v>1991</v>
      </c>
      <c r="C394" s="1">
        <v>1</v>
      </c>
      <c r="D394" t="s">
        <v>49</v>
      </c>
      <c r="E394" s="1">
        <v>10</v>
      </c>
      <c r="F394" t="s">
        <v>373</v>
      </c>
      <c r="G394" t="str">
        <f>VLOOKUP(Table1[[#This Row],[Winner]],Ranking!C:D,2,FALSE)</f>
        <v>Amer</v>
      </c>
      <c r="H394" s="1">
        <v>80</v>
      </c>
      <c r="I394" s="1">
        <v>7</v>
      </c>
      <c r="J394" t="s">
        <v>29</v>
      </c>
      <c r="K394" t="str">
        <f>VLOOKUP(Table1[[#This Row],[Loser]],Ranking!C:D,2,FALSE)</f>
        <v>B10</v>
      </c>
      <c r="L394" s="1">
        <v>63</v>
      </c>
      <c r="N394" s="1">
        <f>Table1[[#This Row],[Winning Score]]-Table1[[#This Row],[Losing Score]]</f>
        <v>17</v>
      </c>
      <c r="O394" s="1">
        <f>Table1[[#This Row],[Losing Seed]]-Table1[[#This Row],[Winning Seed]]</f>
        <v>-3</v>
      </c>
      <c r="P394" s="1" t="str">
        <f>IF(Table1[[#This Row],[SeD]]&lt;-2,Table1[[#This Row],[Winning Seed]]&amp; " over " &amp;Table1[[#This Row],[Losing Seed]],"")</f>
        <v>10 over 7</v>
      </c>
      <c r="Q394">
        <f>VLOOKUP(Table1[[#This Row],[Losing Seed]],'Seed History'!$N$4:$O$19,2)</f>
        <v>0.90277777777777779</v>
      </c>
      <c r="R394" s="1">
        <f>IF(Table1[[#This Row],[Round]]="PI",0,Table1[[#This Row],[Round]]-1)</f>
        <v>0</v>
      </c>
      <c r="S394">
        <f>Table1[[#This Row],[LAW]]-Table1[[#This Row],[LEW]]</f>
        <v>-0.90277777777777779</v>
      </c>
    </row>
    <row r="395" spans="1:19" x14ac:dyDescent="0.25">
      <c r="A395" s="66">
        <v>33311</v>
      </c>
      <c r="B395" s="51">
        <f>YEAR(Table1[[#This Row],[Date]])</f>
        <v>1991</v>
      </c>
      <c r="C395" s="1">
        <v>1</v>
      </c>
      <c r="D395" t="s">
        <v>38</v>
      </c>
      <c r="E395" s="1">
        <v>10</v>
      </c>
      <c r="F395" t="s">
        <v>72</v>
      </c>
      <c r="G395" t="str">
        <f>VLOOKUP(Table1[[#This Row],[Winner]],Ranking!C:D,2,FALSE)</f>
        <v>WCC</v>
      </c>
      <c r="H395" s="1">
        <v>61</v>
      </c>
      <c r="I395" s="1">
        <v>7</v>
      </c>
      <c r="J395" t="s">
        <v>61</v>
      </c>
      <c r="K395" t="str">
        <f>VLOOKUP(Table1[[#This Row],[Loser]],Ranking!C:D,2,FALSE)</f>
        <v>ACC</v>
      </c>
      <c r="L395" s="1">
        <v>48</v>
      </c>
      <c r="N395" s="1">
        <f>Table1[[#This Row],[Winning Score]]-Table1[[#This Row],[Losing Score]]</f>
        <v>13</v>
      </c>
      <c r="O395" s="1">
        <f>Table1[[#This Row],[Losing Seed]]-Table1[[#This Row],[Winning Seed]]</f>
        <v>-3</v>
      </c>
      <c r="P395" s="1" t="str">
        <f>IF(Table1[[#This Row],[SeD]]&lt;-2,Table1[[#This Row],[Winning Seed]]&amp; " over " &amp;Table1[[#This Row],[Losing Seed]],"")</f>
        <v>10 over 7</v>
      </c>
      <c r="Q395">
        <f>VLOOKUP(Table1[[#This Row],[Losing Seed]],'Seed History'!$N$4:$O$19,2)</f>
        <v>0.90277777777777779</v>
      </c>
      <c r="R395" s="1">
        <f>IF(Table1[[#This Row],[Round]]="PI",0,Table1[[#This Row],[Round]]-1)</f>
        <v>0</v>
      </c>
      <c r="S395">
        <f>Table1[[#This Row],[LAW]]-Table1[[#This Row],[LEW]]</f>
        <v>-0.90277777777777779</v>
      </c>
    </row>
    <row r="396" spans="1:19" x14ac:dyDescent="0.25">
      <c r="A396" s="66">
        <v>33312</v>
      </c>
      <c r="B396" s="51">
        <f>YEAR(Table1[[#This Row],[Date]])</f>
        <v>1991</v>
      </c>
      <c r="C396" s="1">
        <v>1</v>
      </c>
      <c r="D396" t="s">
        <v>49</v>
      </c>
      <c r="E396" s="1">
        <v>13</v>
      </c>
      <c r="F396" t="s">
        <v>322</v>
      </c>
      <c r="G396" t="str">
        <f>VLOOKUP(Table1[[#This Row],[Winner]],Ranking!C:D,2,FALSE)</f>
        <v>B10</v>
      </c>
      <c r="H396" s="1">
        <v>74</v>
      </c>
      <c r="I396" s="1">
        <v>4</v>
      </c>
      <c r="J396" t="s">
        <v>67</v>
      </c>
      <c r="K396" t="str">
        <f>VLOOKUP(Table1[[#This Row],[Loser]],Ranking!C:D,2,FALSE)</f>
        <v>P12</v>
      </c>
      <c r="L396" s="1">
        <v>69</v>
      </c>
      <c r="N396" s="1">
        <f>Table1[[#This Row],[Winning Score]]-Table1[[#This Row],[Losing Score]]</f>
        <v>5</v>
      </c>
      <c r="O396" s="1">
        <f>Table1[[#This Row],[Losing Seed]]-Table1[[#This Row],[Winning Seed]]</f>
        <v>-9</v>
      </c>
      <c r="P396" s="1" t="str">
        <f>IF(Table1[[#This Row],[SeD]]&lt;-2,Table1[[#This Row],[Winning Seed]]&amp; " over " &amp;Table1[[#This Row],[Losing Seed]],"")</f>
        <v>13 over 4</v>
      </c>
      <c r="Q396">
        <f>VLOOKUP(Table1[[#This Row],[Losing Seed]],'Seed History'!$N$4:$O$19,2)</f>
        <v>1.5208333333333333</v>
      </c>
      <c r="R396" s="1">
        <f>IF(Table1[[#This Row],[Round]]="PI",0,Table1[[#This Row],[Round]]-1)</f>
        <v>0</v>
      </c>
      <c r="S396">
        <f>Table1[[#This Row],[LAW]]-Table1[[#This Row],[LEW]]</f>
        <v>-1.5208333333333333</v>
      </c>
    </row>
    <row r="397" spans="1:19" x14ac:dyDescent="0.25">
      <c r="A397" s="66">
        <v>33312</v>
      </c>
      <c r="B397" s="51">
        <f>YEAR(Table1[[#This Row],[Date]])</f>
        <v>1991</v>
      </c>
      <c r="C397" s="1">
        <v>1</v>
      </c>
      <c r="D397" t="s">
        <v>49</v>
      </c>
      <c r="E397" s="1">
        <v>1</v>
      </c>
      <c r="F397" t="s">
        <v>298</v>
      </c>
      <c r="G397" t="str">
        <f>VLOOKUP(Table1[[#This Row],[Winner]],Ranking!C:D,2,FALSE)</f>
        <v>ACC</v>
      </c>
      <c r="H397" s="1">
        <v>101</v>
      </c>
      <c r="I397" s="1">
        <v>16</v>
      </c>
      <c r="J397" t="s">
        <v>306</v>
      </c>
      <c r="K397" t="str">
        <f>VLOOKUP(Table1[[#This Row],[Loser]],Ranking!C:D,2,FALSE)</f>
        <v>CAA</v>
      </c>
      <c r="L397" s="1">
        <v>66</v>
      </c>
      <c r="N397" s="1">
        <f>Table1[[#This Row],[Winning Score]]-Table1[[#This Row],[Losing Score]]</f>
        <v>35</v>
      </c>
      <c r="O397" s="1">
        <f>Table1[[#This Row],[Losing Seed]]-Table1[[#This Row],[Winning Seed]]</f>
        <v>15</v>
      </c>
      <c r="P397" s="1" t="str">
        <f>IF(Table1[[#This Row],[SeD]]&lt;-2,Table1[[#This Row],[Winning Seed]]&amp; " over " &amp;Table1[[#This Row],[Losing Seed]],"")</f>
        <v/>
      </c>
      <c r="Q397">
        <f>VLOOKUP(Table1[[#This Row],[Losing Seed]],'Seed History'!$N$4:$O$19,2)</f>
        <v>6.9444444444444441E-3</v>
      </c>
      <c r="R397" s="1">
        <f>IF(Table1[[#This Row],[Round]]="PI",0,Table1[[#This Row],[Round]]-1)</f>
        <v>0</v>
      </c>
      <c r="S397">
        <f>Table1[[#This Row],[LAW]]-Table1[[#This Row],[LEW]]</f>
        <v>-6.9444444444444441E-3</v>
      </c>
    </row>
    <row r="398" spans="1:19" x14ac:dyDescent="0.25">
      <c r="A398" s="66">
        <v>33312</v>
      </c>
      <c r="B398" s="51">
        <f>YEAR(Table1[[#This Row],[Date]])</f>
        <v>1991</v>
      </c>
      <c r="C398" s="1">
        <v>1</v>
      </c>
      <c r="D398" t="s">
        <v>439</v>
      </c>
      <c r="E398" s="1">
        <v>1</v>
      </c>
      <c r="F398" t="s">
        <v>315</v>
      </c>
      <c r="G398" t="str">
        <f>VLOOKUP(Table1[[#This Row],[Winner]],Ranking!C:D,2,FALSE)</f>
        <v>B10</v>
      </c>
      <c r="H398" s="1">
        <v>97</v>
      </c>
      <c r="I398" s="1">
        <v>16</v>
      </c>
      <c r="J398" t="s">
        <v>383</v>
      </c>
      <c r="K398" t="str">
        <f>VLOOKUP(Table1[[#This Row],[Loser]],Ranking!C:D,2,FALSE)</f>
        <v>CAA</v>
      </c>
      <c r="L398" s="1">
        <v>86</v>
      </c>
      <c r="N398" s="1">
        <f>Table1[[#This Row],[Winning Score]]-Table1[[#This Row],[Losing Score]]</f>
        <v>11</v>
      </c>
      <c r="O398" s="1">
        <f>Table1[[#This Row],[Losing Seed]]-Table1[[#This Row],[Winning Seed]]</f>
        <v>15</v>
      </c>
      <c r="P398" s="1" t="str">
        <f>IF(Table1[[#This Row],[SeD]]&lt;-2,Table1[[#This Row],[Winning Seed]]&amp; " over " &amp;Table1[[#This Row],[Losing Seed]],"")</f>
        <v/>
      </c>
      <c r="Q398">
        <f>VLOOKUP(Table1[[#This Row],[Losing Seed]],'Seed History'!$N$4:$O$19,2)</f>
        <v>6.9444444444444441E-3</v>
      </c>
      <c r="R398" s="1">
        <f>IF(Table1[[#This Row],[Round]]="PI",0,Table1[[#This Row],[Round]]-1)</f>
        <v>0</v>
      </c>
      <c r="S398">
        <f>Table1[[#This Row],[LAW]]-Table1[[#This Row],[LEW]]</f>
        <v>-6.9444444444444441E-3</v>
      </c>
    </row>
    <row r="399" spans="1:19" x14ac:dyDescent="0.25">
      <c r="A399" s="66">
        <v>33312</v>
      </c>
      <c r="B399" s="51">
        <f>YEAR(Table1[[#This Row],[Date]])</f>
        <v>1991</v>
      </c>
      <c r="C399" s="1">
        <v>1</v>
      </c>
      <c r="D399" t="s">
        <v>439</v>
      </c>
      <c r="E399" s="1">
        <v>4</v>
      </c>
      <c r="F399" t="s">
        <v>368</v>
      </c>
      <c r="G399" t="str">
        <f>VLOOKUP(Table1[[#This Row],[Winner]],Ranking!C:D,2,FALSE)</f>
        <v>BE</v>
      </c>
      <c r="H399" s="1">
        <v>75</v>
      </c>
      <c r="I399" s="1">
        <v>13</v>
      </c>
      <c r="J399" t="s">
        <v>309</v>
      </c>
      <c r="K399" t="str">
        <f>VLOOKUP(Table1[[#This Row],[Loser]],Ranking!C:D,2,FALSE)</f>
        <v>MAC</v>
      </c>
      <c r="L399" s="1">
        <v>68</v>
      </c>
      <c r="N399" s="1">
        <f>Table1[[#This Row],[Winning Score]]-Table1[[#This Row],[Losing Score]]</f>
        <v>7</v>
      </c>
      <c r="O399" s="1">
        <f>Table1[[#This Row],[Losing Seed]]-Table1[[#This Row],[Winning Seed]]</f>
        <v>9</v>
      </c>
      <c r="P399" s="1" t="str">
        <f>IF(Table1[[#This Row],[SeD]]&lt;-2,Table1[[#This Row],[Winning Seed]]&amp; " over " &amp;Table1[[#This Row],[Losing Seed]],"")</f>
        <v/>
      </c>
      <c r="Q399">
        <f>VLOOKUP(Table1[[#This Row],[Losing Seed]],'Seed History'!$N$4:$O$19,2)</f>
        <v>0.25694444444444442</v>
      </c>
      <c r="R399" s="1">
        <f>IF(Table1[[#This Row],[Round]]="PI",0,Table1[[#This Row],[Round]]-1)</f>
        <v>0</v>
      </c>
      <c r="S399">
        <f>Table1[[#This Row],[LAW]]-Table1[[#This Row],[LEW]]</f>
        <v>-0.25694444444444442</v>
      </c>
    </row>
    <row r="400" spans="1:19" x14ac:dyDescent="0.25">
      <c r="A400" s="66">
        <v>33312</v>
      </c>
      <c r="B400" s="51">
        <f>YEAR(Table1[[#This Row],[Date]])</f>
        <v>1991</v>
      </c>
      <c r="C400" s="1">
        <v>1</v>
      </c>
      <c r="D400" t="s">
        <v>439</v>
      </c>
      <c r="E400" s="1">
        <v>5</v>
      </c>
      <c r="F400" t="s">
        <v>34</v>
      </c>
      <c r="G400" t="str">
        <f>VLOOKUP(Table1[[#This Row],[Winner]],Ranking!C:D,2,FALSE)</f>
        <v>B12</v>
      </c>
      <c r="H400" s="1">
        <v>73</v>
      </c>
      <c r="I400" s="1">
        <v>12</v>
      </c>
      <c r="J400" t="s">
        <v>340</v>
      </c>
      <c r="K400" t="str">
        <f>VLOOKUP(Table1[[#This Row],[Loser]],Ranking!C:D,2,FALSE)</f>
        <v>MAAC</v>
      </c>
      <c r="L400" s="1">
        <v>65</v>
      </c>
      <c r="N400" s="1">
        <f>Table1[[#This Row],[Winning Score]]-Table1[[#This Row],[Losing Score]]</f>
        <v>8</v>
      </c>
      <c r="O400" s="1">
        <f>Table1[[#This Row],[Losing Seed]]-Table1[[#This Row],[Winning Seed]]</f>
        <v>7</v>
      </c>
      <c r="P400" s="1" t="str">
        <f>IF(Table1[[#This Row],[SeD]]&lt;-2,Table1[[#This Row],[Winning Seed]]&amp; " over " &amp;Table1[[#This Row],[Losing Seed]],"")</f>
        <v/>
      </c>
      <c r="Q400">
        <f>VLOOKUP(Table1[[#This Row],[Losing Seed]],'Seed History'!$N$4:$O$19,2)</f>
        <v>0.52083333333333337</v>
      </c>
      <c r="R400" s="1">
        <f>IF(Table1[[#This Row],[Round]]="PI",0,Table1[[#This Row],[Round]]-1)</f>
        <v>0</v>
      </c>
      <c r="S400">
        <f>Table1[[#This Row],[LAW]]-Table1[[#This Row],[LEW]]</f>
        <v>-0.52083333333333337</v>
      </c>
    </row>
    <row r="401" spans="1:19" x14ac:dyDescent="0.25">
      <c r="A401" s="66">
        <v>33312</v>
      </c>
      <c r="B401" s="51">
        <f>YEAR(Table1[[#This Row],[Date]])</f>
        <v>1991</v>
      </c>
      <c r="C401" s="1">
        <v>1</v>
      </c>
      <c r="D401" t="s">
        <v>439</v>
      </c>
      <c r="E401" s="1">
        <v>8</v>
      </c>
      <c r="F401" t="s">
        <v>216</v>
      </c>
      <c r="G401" t="str">
        <f>VLOOKUP(Table1[[#This Row],[Winner]],Ranking!C:D,2,FALSE)</f>
        <v>ACC</v>
      </c>
      <c r="H401" s="1">
        <v>87</v>
      </c>
      <c r="I401" s="1">
        <v>9</v>
      </c>
      <c r="J401" t="s">
        <v>186</v>
      </c>
      <c r="K401" t="str">
        <f>VLOOKUP(Table1[[#This Row],[Loser]],Ranking!C:D,2,FALSE)</f>
        <v>BE</v>
      </c>
      <c r="L401" s="1">
        <v>70</v>
      </c>
      <c r="N401" s="1">
        <f>Table1[[#This Row],[Winning Score]]-Table1[[#This Row],[Losing Score]]</f>
        <v>17</v>
      </c>
      <c r="O401" s="1">
        <f>Table1[[#This Row],[Losing Seed]]-Table1[[#This Row],[Winning Seed]]</f>
        <v>1</v>
      </c>
      <c r="P401" s="1" t="str">
        <f>IF(Table1[[#This Row],[SeD]]&lt;-2,Table1[[#This Row],[Winning Seed]]&amp; " over " &amp;Table1[[#This Row],[Losing Seed]],"")</f>
        <v/>
      </c>
      <c r="Q401">
        <f>VLOOKUP(Table1[[#This Row],[Losing Seed]],'Seed History'!$N$4:$O$19,2)</f>
        <v>0.59027777777777779</v>
      </c>
      <c r="R401" s="1">
        <f>IF(Table1[[#This Row],[Round]]="PI",0,Table1[[#This Row],[Round]]-1)</f>
        <v>0</v>
      </c>
      <c r="S401">
        <f>Table1[[#This Row],[LAW]]-Table1[[#This Row],[LEW]]</f>
        <v>-0.59027777777777779</v>
      </c>
    </row>
    <row r="402" spans="1:19" x14ac:dyDescent="0.25">
      <c r="A402" s="66">
        <v>33312</v>
      </c>
      <c r="B402" s="51">
        <f>YEAR(Table1[[#This Row],[Date]])</f>
        <v>1991</v>
      </c>
      <c r="C402" s="1">
        <v>1</v>
      </c>
      <c r="D402" t="s">
        <v>461</v>
      </c>
      <c r="E402" s="1">
        <v>1</v>
      </c>
      <c r="F402" t="s">
        <v>41</v>
      </c>
      <c r="G402" t="str">
        <f>VLOOKUP(Table1[[#This Row],[Winner]],Ranking!C:D,2,FALSE)</f>
        <v>SEC</v>
      </c>
      <c r="H402" s="1">
        <v>117</v>
      </c>
      <c r="I402" s="1">
        <v>16</v>
      </c>
      <c r="J402" t="s">
        <v>215</v>
      </c>
      <c r="K402" t="str">
        <f>VLOOKUP(Table1[[#This Row],[Loser]],Ranking!C:D,2,FALSE)</f>
        <v>SB</v>
      </c>
      <c r="L402" s="1">
        <v>76</v>
      </c>
      <c r="N402" s="1">
        <f>Table1[[#This Row],[Winning Score]]-Table1[[#This Row],[Losing Score]]</f>
        <v>41</v>
      </c>
      <c r="O402" s="1">
        <f>Table1[[#This Row],[Losing Seed]]-Table1[[#This Row],[Winning Seed]]</f>
        <v>15</v>
      </c>
      <c r="P402" s="1" t="str">
        <f>IF(Table1[[#This Row],[SeD]]&lt;-2,Table1[[#This Row],[Winning Seed]]&amp; " over " &amp;Table1[[#This Row],[Losing Seed]],"")</f>
        <v/>
      </c>
      <c r="Q402">
        <f>VLOOKUP(Table1[[#This Row],[Losing Seed]],'Seed History'!$N$4:$O$19,2)</f>
        <v>6.9444444444444441E-3</v>
      </c>
      <c r="R402" s="1">
        <f>IF(Table1[[#This Row],[Round]]="PI",0,Table1[[#This Row],[Round]]-1)</f>
        <v>0</v>
      </c>
      <c r="S402">
        <f>Table1[[#This Row],[LAW]]-Table1[[#This Row],[LEW]]</f>
        <v>-6.9444444444444441E-3</v>
      </c>
    </row>
    <row r="403" spans="1:19" x14ac:dyDescent="0.25">
      <c r="A403" s="66">
        <v>33312</v>
      </c>
      <c r="B403" s="51">
        <f>YEAR(Table1[[#This Row],[Date]])</f>
        <v>1991</v>
      </c>
      <c r="C403" s="1">
        <v>1</v>
      </c>
      <c r="D403" t="s">
        <v>461</v>
      </c>
      <c r="E403" s="1">
        <v>4</v>
      </c>
      <c r="F403" t="s">
        <v>113</v>
      </c>
      <c r="G403" t="str">
        <f>VLOOKUP(Table1[[#This Row],[Winner]],Ranking!C:D,2,FALSE)</f>
        <v>SEC</v>
      </c>
      <c r="H403" s="1">
        <v>89</v>
      </c>
      <c r="I403" s="1">
        <v>13</v>
      </c>
      <c r="J403" t="s">
        <v>285</v>
      </c>
      <c r="K403" t="str">
        <f>VLOOKUP(Table1[[#This Row],[Loser]],Ranking!C:D,2,FALSE)</f>
        <v>OVC</v>
      </c>
      <c r="L403" s="1">
        <v>79</v>
      </c>
      <c r="N403" s="1">
        <f>Table1[[#This Row],[Winning Score]]-Table1[[#This Row],[Losing Score]]</f>
        <v>10</v>
      </c>
      <c r="O403" s="1">
        <f>Table1[[#This Row],[Losing Seed]]-Table1[[#This Row],[Winning Seed]]</f>
        <v>9</v>
      </c>
      <c r="P403" s="1" t="str">
        <f>IF(Table1[[#This Row],[SeD]]&lt;-2,Table1[[#This Row],[Winning Seed]]&amp; " over " &amp;Table1[[#This Row],[Losing Seed]],"")</f>
        <v/>
      </c>
      <c r="Q403">
        <f>VLOOKUP(Table1[[#This Row],[Losing Seed]],'Seed History'!$N$4:$O$19,2)</f>
        <v>0.25694444444444442</v>
      </c>
      <c r="R403" s="1">
        <f>IF(Table1[[#This Row],[Round]]="PI",0,Table1[[#This Row],[Round]]-1)</f>
        <v>0</v>
      </c>
      <c r="S403">
        <f>Table1[[#This Row],[LAW]]-Table1[[#This Row],[LEW]]</f>
        <v>-0.25694444444444442</v>
      </c>
    </row>
    <row r="404" spans="1:19" x14ac:dyDescent="0.25">
      <c r="A404" s="66">
        <v>33312</v>
      </c>
      <c r="B404" s="51">
        <f>YEAR(Table1[[#This Row],[Date]])</f>
        <v>1991</v>
      </c>
      <c r="C404" s="1">
        <v>1</v>
      </c>
      <c r="D404" t="s">
        <v>461</v>
      </c>
      <c r="E404" s="1">
        <v>5</v>
      </c>
      <c r="F404" t="s">
        <v>408</v>
      </c>
      <c r="G404" t="str">
        <f>VLOOKUP(Table1[[#This Row],[Winner]],Ranking!C:D,2,FALSE)</f>
        <v>ACC</v>
      </c>
      <c r="H404" s="1">
        <v>71</v>
      </c>
      <c r="I404" s="1">
        <v>12</v>
      </c>
      <c r="J404" t="s">
        <v>256</v>
      </c>
      <c r="K404" t="str">
        <f>VLOOKUP(Table1[[#This Row],[Loser]],Ranking!C:D,2,FALSE)</f>
        <v>CUSA</v>
      </c>
      <c r="L404" s="1">
        <v>65</v>
      </c>
      <c r="N404" s="1">
        <f>Table1[[#This Row],[Winning Score]]-Table1[[#This Row],[Losing Score]]</f>
        <v>6</v>
      </c>
      <c r="O404" s="1">
        <f>Table1[[#This Row],[Losing Seed]]-Table1[[#This Row],[Winning Seed]]</f>
        <v>7</v>
      </c>
      <c r="P404" s="1" t="str">
        <f>IF(Table1[[#This Row],[SeD]]&lt;-2,Table1[[#This Row],[Winning Seed]]&amp; " over " &amp;Table1[[#This Row],[Losing Seed]],"")</f>
        <v/>
      </c>
      <c r="Q404">
        <f>VLOOKUP(Table1[[#This Row],[Losing Seed]],'Seed History'!$N$4:$O$19,2)</f>
        <v>0.52083333333333337</v>
      </c>
      <c r="R404" s="1">
        <f>IF(Table1[[#This Row],[Round]]="PI",0,Table1[[#This Row],[Round]]-1)</f>
        <v>0</v>
      </c>
      <c r="S404">
        <f>Table1[[#This Row],[LAW]]-Table1[[#This Row],[LEW]]</f>
        <v>-0.52083333333333337</v>
      </c>
    </row>
    <row r="405" spans="1:19" x14ac:dyDescent="0.25">
      <c r="A405" s="66">
        <v>33312</v>
      </c>
      <c r="B405" s="51">
        <f>YEAR(Table1[[#This Row],[Date]])</f>
        <v>1991</v>
      </c>
      <c r="C405" s="1">
        <v>1</v>
      </c>
      <c r="D405" t="s">
        <v>461</v>
      </c>
      <c r="E405" s="1">
        <v>8</v>
      </c>
      <c r="F405" t="s">
        <v>125</v>
      </c>
      <c r="G405" t="str">
        <f>VLOOKUP(Table1[[#This Row],[Winner]],Ranking!C:D,2,FALSE)</f>
        <v>P12</v>
      </c>
      <c r="H405" s="1">
        <v>79</v>
      </c>
      <c r="I405" s="1">
        <v>9</v>
      </c>
      <c r="J405" t="s">
        <v>334</v>
      </c>
      <c r="K405" t="str">
        <f>VLOOKUP(Table1[[#This Row],[Loser]],Ranking!C:D,2,FALSE)</f>
        <v>B10</v>
      </c>
      <c r="L405" s="1">
        <v>76</v>
      </c>
      <c r="N405" s="1">
        <f>Table1[[#This Row],[Winning Score]]-Table1[[#This Row],[Losing Score]]</f>
        <v>3</v>
      </c>
      <c r="O405" s="1">
        <f>Table1[[#This Row],[Losing Seed]]-Table1[[#This Row],[Winning Seed]]</f>
        <v>1</v>
      </c>
      <c r="P405" s="1" t="str">
        <f>IF(Table1[[#This Row],[SeD]]&lt;-2,Table1[[#This Row],[Winning Seed]]&amp; " over " &amp;Table1[[#This Row],[Losing Seed]],"")</f>
        <v/>
      </c>
      <c r="Q405">
        <f>VLOOKUP(Table1[[#This Row],[Losing Seed]],'Seed History'!$N$4:$O$19,2)</f>
        <v>0.59027777777777779</v>
      </c>
      <c r="R405" s="1">
        <f>IF(Table1[[#This Row],[Round]]="PI",0,Table1[[#This Row],[Round]]-1)</f>
        <v>0</v>
      </c>
      <c r="S405">
        <f>Table1[[#This Row],[LAW]]-Table1[[#This Row],[LEW]]</f>
        <v>-0.59027777777777779</v>
      </c>
    </row>
    <row r="406" spans="1:19" x14ac:dyDescent="0.25">
      <c r="A406" s="66">
        <v>33312</v>
      </c>
      <c r="B406" s="51">
        <f>YEAR(Table1[[#This Row],[Date]])</f>
        <v>1991</v>
      </c>
      <c r="C406" s="1">
        <v>1</v>
      </c>
      <c r="D406" t="s">
        <v>38</v>
      </c>
      <c r="E406" s="1">
        <v>1</v>
      </c>
      <c r="F406" t="s">
        <v>396</v>
      </c>
      <c r="G406" t="str">
        <f>VLOOKUP(Table1[[#This Row],[Winner]],Ranking!C:D,2,FALSE)</f>
        <v>MWC</v>
      </c>
      <c r="H406" s="1">
        <v>99</v>
      </c>
      <c r="I406" s="1">
        <v>16</v>
      </c>
      <c r="J406" t="s">
        <v>280</v>
      </c>
      <c r="K406" t="str">
        <f>VLOOKUP(Table1[[#This Row],[Loser]],Ranking!C:D,2,FALSE)</f>
        <v>BSky</v>
      </c>
      <c r="L406" s="1">
        <v>65</v>
      </c>
      <c r="N406" s="1">
        <f>Table1[[#This Row],[Winning Score]]-Table1[[#This Row],[Losing Score]]</f>
        <v>34</v>
      </c>
      <c r="O406" s="1">
        <f>Table1[[#This Row],[Losing Seed]]-Table1[[#This Row],[Winning Seed]]</f>
        <v>15</v>
      </c>
      <c r="P406" s="1" t="str">
        <f>IF(Table1[[#This Row],[SeD]]&lt;-2,Table1[[#This Row],[Winning Seed]]&amp; " over " &amp;Table1[[#This Row],[Losing Seed]],"")</f>
        <v/>
      </c>
      <c r="Q406">
        <f>VLOOKUP(Table1[[#This Row],[Losing Seed]],'Seed History'!$N$4:$O$19,2)</f>
        <v>6.9444444444444441E-3</v>
      </c>
      <c r="R406" s="1">
        <f>IF(Table1[[#This Row],[Round]]="PI",0,Table1[[#This Row],[Round]]-1)</f>
        <v>0</v>
      </c>
      <c r="S406">
        <f>Table1[[#This Row],[LAW]]-Table1[[#This Row],[LEW]]</f>
        <v>-6.9444444444444441E-3</v>
      </c>
    </row>
    <row r="407" spans="1:19" x14ac:dyDescent="0.25">
      <c r="A407" s="66">
        <v>33312</v>
      </c>
      <c r="B407" s="51">
        <f>YEAR(Table1[[#This Row],[Date]])</f>
        <v>1991</v>
      </c>
      <c r="C407" s="1">
        <v>1</v>
      </c>
      <c r="D407" t="s">
        <v>38</v>
      </c>
      <c r="E407" s="1">
        <v>4</v>
      </c>
      <c r="F407" t="s">
        <v>65</v>
      </c>
      <c r="G407" t="str">
        <f>VLOOKUP(Table1[[#This Row],[Winner]],Ranking!C:D,2,FALSE)</f>
        <v>P12</v>
      </c>
      <c r="H407" s="1">
        <v>82</v>
      </c>
      <c r="I407" s="1">
        <v>13</v>
      </c>
      <c r="J407" t="s">
        <v>353</v>
      </c>
      <c r="K407" t="str">
        <f>VLOOKUP(Table1[[#This Row],[Loser]],Ranking!C:D,2,FALSE)</f>
        <v>SB</v>
      </c>
      <c r="L407" s="1">
        <v>72</v>
      </c>
      <c r="N407" s="1">
        <f>Table1[[#This Row],[Winning Score]]-Table1[[#This Row],[Losing Score]]</f>
        <v>10</v>
      </c>
      <c r="O407" s="1">
        <f>Table1[[#This Row],[Losing Seed]]-Table1[[#This Row],[Winning Seed]]</f>
        <v>9</v>
      </c>
      <c r="P407" s="1" t="str">
        <f>IF(Table1[[#This Row],[SeD]]&lt;-2,Table1[[#This Row],[Winning Seed]]&amp; " over " &amp;Table1[[#This Row],[Losing Seed]],"")</f>
        <v/>
      </c>
      <c r="Q407">
        <f>VLOOKUP(Table1[[#This Row],[Losing Seed]],'Seed History'!$N$4:$O$19,2)</f>
        <v>0.25694444444444442</v>
      </c>
      <c r="R407" s="1">
        <f>IF(Table1[[#This Row],[Round]]="PI",0,Table1[[#This Row],[Round]]-1)</f>
        <v>0</v>
      </c>
      <c r="S407">
        <f>Table1[[#This Row],[LAW]]-Table1[[#This Row],[LEW]]</f>
        <v>-0.25694444444444442</v>
      </c>
    </row>
    <row r="408" spans="1:19" x14ac:dyDescent="0.25">
      <c r="A408" s="66">
        <v>33312</v>
      </c>
      <c r="B408" s="51">
        <f>YEAR(Table1[[#This Row],[Date]])</f>
        <v>1991</v>
      </c>
      <c r="C408" s="1">
        <v>1</v>
      </c>
      <c r="D408" t="s">
        <v>38</v>
      </c>
      <c r="E408" s="1">
        <v>5</v>
      </c>
      <c r="F408" t="s">
        <v>271</v>
      </c>
      <c r="G408" t="str">
        <f>VLOOKUP(Table1[[#This Row],[Winner]],Ranking!C:D,2,FALSE)</f>
        <v>B10</v>
      </c>
      <c r="H408" s="1">
        <v>60</v>
      </c>
      <c r="I408" s="1">
        <v>12</v>
      </c>
      <c r="J408" t="s">
        <v>219</v>
      </c>
      <c r="K408" t="str">
        <f>VLOOKUP(Table1[[#This Row],[Loser]],Ranking!C:D,2,FALSE)</f>
        <v>Horz</v>
      </c>
      <c r="L408" s="1">
        <v>58</v>
      </c>
      <c r="N408" s="1">
        <f>Table1[[#This Row],[Winning Score]]-Table1[[#This Row],[Losing Score]]</f>
        <v>2</v>
      </c>
      <c r="O408" s="1">
        <f>Table1[[#This Row],[Losing Seed]]-Table1[[#This Row],[Winning Seed]]</f>
        <v>7</v>
      </c>
      <c r="P408" s="1" t="str">
        <f>IF(Table1[[#This Row],[SeD]]&lt;-2,Table1[[#This Row],[Winning Seed]]&amp; " over " &amp;Table1[[#This Row],[Losing Seed]],"")</f>
        <v/>
      </c>
      <c r="Q408">
        <f>VLOOKUP(Table1[[#This Row],[Losing Seed]],'Seed History'!$N$4:$O$19,2)</f>
        <v>0.52083333333333337</v>
      </c>
      <c r="R408" s="1">
        <f>IF(Table1[[#This Row],[Round]]="PI",0,Table1[[#This Row],[Round]]-1)</f>
        <v>0</v>
      </c>
      <c r="S408">
        <f>Table1[[#This Row],[LAW]]-Table1[[#This Row],[LEW]]</f>
        <v>-0.52083333333333337</v>
      </c>
    </row>
    <row r="409" spans="1:19" x14ac:dyDescent="0.25">
      <c r="A409" s="66">
        <v>33312</v>
      </c>
      <c r="B409" s="51">
        <f>YEAR(Table1[[#This Row],[Date]])</f>
        <v>1991</v>
      </c>
      <c r="C409" s="1">
        <v>1</v>
      </c>
      <c r="D409" t="s">
        <v>38</v>
      </c>
      <c r="E409" s="1">
        <v>8</v>
      </c>
      <c r="F409" t="s">
        <v>66</v>
      </c>
      <c r="G409" t="str">
        <f>VLOOKUP(Table1[[#This Row],[Winner]],Ranking!C:D,2,FALSE)</f>
        <v>BE</v>
      </c>
      <c r="H409" s="1">
        <v>70</v>
      </c>
      <c r="I409" s="1">
        <v>9</v>
      </c>
      <c r="J409" t="s">
        <v>78</v>
      </c>
      <c r="K409" t="str">
        <f>VLOOKUP(Table1[[#This Row],[Loser]],Ranking!C:D,2,FALSE)</f>
        <v>SEC</v>
      </c>
      <c r="L409" s="1">
        <v>60</v>
      </c>
      <c r="N409" s="1">
        <f>Table1[[#This Row],[Winning Score]]-Table1[[#This Row],[Losing Score]]</f>
        <v>10</v>
      </c>
      <c r="O409" s="1">
        <f>Table1[[#This Row],[Losing Seed]]-Table1[[#This Row],[Winning Seed]]</f>
        <v>1</v>
      </c>
      <c r="P409" s="1" t="str">
        <f>IF(Table1[[#This Row],[SeD]]&lt;-2,Table1[[#This Row],[Winning Seed]]&amp; " over " &amp;Table1[[#This Row],[Losing Seed]],"")</f>
        <v/>
      </c>
      <c r="Q409">
        <f>VLOOKUP(Table1[[#This Row],[Losing Seed]],'Seed History'!$N$4:$O$19,2)</f>
        <v>0.59027777777777779</v>
      </c>
      <c r="R409" s="1">
        <f>IF(Table1[[#This Row],[Round]]="PI",0,Table1[[#This Row],[Round]]-1)</f>
        <v>0</v>
      </c>
      <c r="S409">
        <f>Table1[[#This Row],[LAW]]-Table1[[#This Row],[LEW]]</f>
        <v>-0.59027777777777779</v>
      </c>
    </row>
    <row r="410" spans="1:19" x14ac:dyDescent="0.25">
      <c r="A410" s="66">
        <v>33312</v>
      </c>
      <c r="B410" s="51">
        <f>YEAR(Table1[[#This Row],[Date]])</f>
        <v>1991</v>
      </c>
      <c r="C410" s="1">
        <v>1</v>
      </c>
      <c r="D410" t="s">
        <v>49</v>
      </c>
      <c r="E410" s="1">
        <v>12</v>
      </c>
      <c r="F410" t="s">
        <v>195</v>
      </c>
      <c r="G410" t="str">
        <f>VLOOKUP(Table1[[#This Row],[Winner]],Ranking!C:D,2,FALSE)</f>
        <v>MAC</v>
      </c>
      <c r="H410" s="1">
        <v>76</v>
      </c>
      <c r="I410" s="1">
        <v>5</v>
      </c>
      <c r="J410" t="s">
        <v>275</v>
      </c>
      <c r="K410" t="str">
        <f>VLOOKUP(Table1[[#This Row],[Loser]],Ranking!C:D,2,FALSE)</f>
        <v>SEC</v>
      </c>
      <c r="L410" s="1">
        <v>56</v>
      </c>
      <c r="N410" s="1">
        <f>Table1[[#This Row],[Winning Score]]-Table1[[#This Row],[Losing Score]]</f>
        <v>20</v>
      </c>
      <c r="O410" s="1">
        <f>Table1[[#This Row],[Losing Seed]]-Table1[[#This Row],[Winning Seed]]</f>
        <v>-7</v>
      </c>
      <c r="P410" s="1" t="str">
        <f>IF(Table1[[#This Row],[SeD]]&lt;-2,Table1[[#This Row],[Winning Seed]]&amp; " over " &amp;Table1[[#This Row],[Losing Seed]],"")</f>
        <v>12 over 5</v>
      </c>
      <c r="Q410">
        <f>VLOOKUP(Table1[[#This Row],[Losing Seed]],'Seed History'!$N$4:$O$19,2)</f>
        <v>1.1180555555555556</v>
      </c>
      <c r="R410" s="1">
        <f>IF(Table1[[#This Row],[Round]]="PI",0,Table1[[#This Row],[Round]]-1)</f>
        <v>0</v>
      </c>
      <c r="S410">
        <f>Table1[[#This Row],[LAW]]-Table1[[#This Row],[LEW]]</f>
        <v>-1.1180555555555556</v>
      </c>
    </row>
    <row r="411" spans="1:19" x14ac:dyDescent="0.25">
      <c r="A411" s="66">
        <v>33312</v>
      </c>
      <c r="B411" s="51">
        <f>YEAR(Table1[[#This Row],[Date]])</f>
        <v>1991</v>
      </c>
      <c r="C411" s="1">
        <v>1</v>
      </c>
      <c r="D411" t="s">
        <v>49</v>
      </c>
      <c r="E411" s="1">
        <v>9</v>
      </c>
      <c r="F411" t="s">
        <v>50</v>
      </c>
      <c r="G411" t="str">
        <f>VLOOKUP(Table1[[#This Row],[Winner]],Ranking!C:D,2,FALSE)</f>
        <v>BE</v>
      </c>
      <c r="H411" s="1">
        <v>50</v>
      </c>
      <c r="I411" s="1">
        <v>8</v>
      </c>
      <c r="J411" t="s">
        <v>91</v>
      </c>
      <c r="K411" t="str">
        <f>VLOOKUP(Table1[[#This Row],[Loser]],Ranking!C:D,2,FALSE)</f>
        <v>Ivy</v>
      </c>
      <c r="L411" s="1">
        <v>48</v>
      </c>
      <c r="N411" s="1">
        <f>Table1[[#This Row],[Winning Score]]-Table1[[#This Row],[Losing Score]]</f>
        <v>2</v>
      </c>
      <c r="O411" s="1">
        <f>Table1[[#This Row],[Losing Seed]]-Table1[[#This Row],[Winning Seed]]</f>
        <v>-1</v>
      </c>
      <c r="P411" s="1" t="str">
        <f>IF(Table1[[#This Row],[SeD]]&lt;-2,Table1[[#This Row],[Winning Seed]]&amp; " over " &amp;Table1[[#This Row],[Losing Seed]],"")</f>
        <v/>
      </c>
      <c r="Q411">
        <f>VLOOKUP(Table1[[#This Row],[Losing Seed]],'Seed History'!$N$4:$O$19,2)</f>
        <v>0.70833333333333337</v>
      </c>
      <c r="R411" s="1">
        <f>IF(Table1[[#This Row],[Round]]="PI",0,Table1[[#This Row],[Round]]-1)</f>
        <v>0</v>
      </c>
      <c r="S411">
        <f>Table1[[#This Row],[LAW]]-Table1[[#This Row],[LEW]]</f>
        <v>-0.70833333333333337</v>
      </c>
    </row>
    <row r="412" spans="1:19" x14ac:dyDescent="0.25">
      <c r="A412" s="66">
        <v>33313</v>
      </c>
      <c r="B412" s="51">
        <f>YEAR(Table1[[#This Row],[Date]])</f>
        <v>1991</v>
      </c>
      <c r="C412" s="1">
        <v>2</v>
      </c>
      <c r="D412" t="s">
        <v>49</v>
      </c>
      <c r="E412" s="1">
        <v>3</v>
      </c>
      <c r="F412" t="s">
        <v>316</v>
      </c>
      <c r="G412" t="str">
        <f>VLOOKUP(Table1[[#This Row],[Winner]],Ranking!C:D,2,FALSE)</f>
        <v>B12</v>
      </c>
      <c r="H412" s="1">
        <v>73</v>
      </c>
      <c r="I412" s="1">
        <v>6</v>
      </c>
      <c r="J412" t="s">
        <v>301</v>
      </c>
      <c r="K412" t="e">
        <f>VLOOKUP(Table1[[#This Row],[Loser]],Ranking!C:D,2,FALSE)</f>
        <v>#N/A</v>
      </c>
      <c r="L412" s="1">
        <v>64</v>
      </c>
      <c r="N412" s="1">
        <f>Table1[[#This Row],[Winning Score]]-Table1[[#This Row],[Losing Score]]</f>
        <v>9</v>
      </c>
      <c r="O412" s="1">
        <f>Table1[[#This Row],[Losing Seed]]-Table1[[#This Row],[Winning Seed]]</f>
        <v>3</v>
      </c>
      <c r="P412" s="1" t="str">
        <f>IF(Table1[[#This Row],[SeD]]&lt;-2,Table1[[#This Row],[Winning Seed]]&amp; " over " &amp;Table1[[#This Row],[Losing Seed]],"")</f>
        <v/>
      </c>
      <c r="Q412">
        <f>VLOOKUP(Table1[[#This Row],[Losing Seed]],'Seed History'!$N$4:$O$19,2)</f>
        <v>1.0625</v>
      </c>
      <c r="R412" s="1">
        <f>IF(Table1[[#This Row],[Round]]="PI",0,Table1[[#This Row],[Round]]-1)</f>
        <v>1</v>
      </c>
      <c r="S412">
        <f>Table1[[#This Row],[LAW]]-Table1[[#This Row],[LEW]]</f>
        <v>-6.25E-2</v>
      </c>
    </row>
    <row r="413" spans="1:19" x14ac:dyDescent="0.25">
      <c r="A413" s="66">
        <v>33313</v>
      </c>
      <c r="B413" s="51">
        <f>YEAR(Table1[[#This Row],[Date]])</f>
        <v>1991</v>
      </c>
      <c r="C413" s="1">
        <v>2</v>
      </c>
      <c r="D413" t="s">
        <v>49</v>
      </c>
      <c r="E413" s="1">
        <v>10</v>
      </c>
      <c r="F413" t="s">
        <v>373</v>
      </c>
      <c r="G413" t="str">
        <f>VLOOKUP(Table1[[#This Row],[Winner]],Ranking!C:D,2,FALSE)</f>
        <v>Amer</v>
      </c>
      <c r="H413" s="1">
        <v>77</v>
      </c>
      <c r="I413" s="1">
        <v>15</v>
      </c>
      <c r="J413" t="s">
        <v>331</v>
      </c>
      <c r="K413" t="str">
        <f>VLOOKUP(Table1[[#This Row],[Loser]],Ranking!C:D,2,FALSE)</f>
        <v>A10</v>
      </c>
      <c r="L413" s="1">
        <v>64</v>
      </c>
      <c r="N413" s="1">
        <f>Table1[[#This Row],[Winning Score]]-Table1[[#This Row],[Losing Score]]</f>
        <v>13</v>
      </c>
      <c r="O413" s="1">
        <f>Table1[[#This Row],[Losing Seed]]-Table1[[#This Row],[Winning Seed]]</f>
        <v>5</v>
      </c>
      <c r="P413" s="1" t="str">
        <f>IF(Table1[[#This Row],[SeD]]&lt;-2,Table1[[#This Row],[Winning Seed]]&amp; " over " &amp;Table1[[#This Row],[Losing Seed]],"")</f>
        <v/>
      </c>
      <c r="Q413">
        <f>VLOOKUP(Table1[[#This Row],[Losing Seed]],'Seed History'!$N$4:$O$19,2)</f>
        <v>7.6388888888888895E-2</v>
      </c>
      <c r="R413" s="1">
        <f>IF(Table1[[#This Row],[Round]]="PI",0,Table1[[#This Row],[Round]]-1)</f>
        <v>1</v>
      </c>
      <c r="S413">
        <f>Table1[[#This Row],[LAW]]-Table1[[#This Row],[LEW]]</f>
        <v>0.92361111111111116</v>
      </c>
    </row>
    <row r="414" spans="1:19" x14ac:dyDescent="0.25">
      <c r="A414" s="66">
        <v>33313</v>
      </c>
      <c r="B414" s="51">
        <f>YEAR(Table1[[#This Row],[Date]])</f>
        <v>1991</v>
      </c>
      <c r="C414" s="1">
        <v>2</v>
      </c>
      <c r="D414" t="s">
        <v>439</v>
      </c>
      <c r="E414" s="1">
        <v>2</v>
      </c>
      <c r="F414" t="s">
        <v>64</v>
      </c>
      <c r="G414" t="str">
        <f>VLOOKUP(Table1[[#This Row],[Winner]],Ranking!C:D,2,FALSE)</f>
        <v>ACC</v>
      </c>
      <c r="H414" s="1">
        <v>85</v>
      </c>
      <c r="I414" s="1">
        <v>7</v>
      </c>
      <c r="J414" t="s">
        <v>69</v>
      </c>
      <c r="K414" t="str">
        <f>VLOOKUP(Table1[[#This Row],[Loser]],Ranking!C:D,2,FALSE)</f>
        <v>B10</v>
      </c>
      <c r="L414" s="1">
        <v>70</v>
      </c>
      <c r="N414" s="1">
        <f>Table1[[#This Row],[Winning Score]]-Table1[[#This Row],[Losing Score]]</f>
        <v>15</v>
      </c>
      <c r="O414" s="1">
        <f>Table1[[#This Row],[Losing Seed]]-Table1[[#This Row],[Winning Seed]]</f>
        <v>5</v>
      </c>
      <c r="P414" s="1" t="str">
        <f>IF(Table1[[#This Row],[SeD]]&lt;-2,Table1[[#This Row],[Winning Seed]]&amp; " over " &amp;Table1[[#This Row],[Losing Seed]],"")</f>
        <v/>
      </c>
      <c r="Q414">
        <f>VLOOKUP(Table1[[#This Row],[Losing Seed]],'Seed History'!$N$4:$O$19,2)</f>
        <v>0.90277777777777779</v>
      </c>
      <c r="R414" s="1">
        <f>IF(Table1[[#This Row],[Round]]="PI",0,Table1[[#This Row],[Round]]-1)</f>
        <v>1</v>
      </c>
      <c r="S414">
        <f>Table1[[#This Row],[LAW]]-Table1[[#This Row],[LEW]]</f>
        <v>9.722222222222221E-2</v>
      </c>
    </row>
    <row r="415" spans="1:19" x14ac:dyDescent="0.25">
      <c r="A415" s="66">
        <v>33313</v>
      </c>
      <c r="B415" s="51">
        <f>YEAR(Table1[[#This Row],[Date]])</f>
        <v>1991</v>
      </c>
      <c r="C415" s="1">
        <v>2</v>
      </c>
      <c r="D415" t="s">
        <v>439</v>
      </c>
      <c r="E415" s="1">
        <v>11</v>
      </c>
      <c r="F415" t="s">
        <v>80</v>
      </c>
      <c r="G415" t="str">
        <f>VLOOKUP(Table1[[#This Row],[Winner]],Ranking!C:D,2,FALSE)</f>
        <v>BE</v>
      </c>
      <c r="H415" s="1">
        <v>66</v>
      </c>
      <c r="I415" s="1">
        <v>14</v>
      </c>
      <c r="J415" t="s">
        <v>44</v>
      </c>
      <c r="K415" t="str">
        <f>VLOOKUP(Table1[[#This Row],[Loser]],Ranking!C:D,2,FALSE)</f>
        <v>BE</v>
      </c>
      <c r="L415" s="1">
        <v>50</v>
      </c>
      <c r="N415" s="1">
        <f>Table1[[#This Row],[Winning Score]]-Table1[[#This Row],[Losing Score]]</f>
        <v>16</v>
      </c>
      <c r="O415" s="1">
        <f>Table1[[#This Row],[Losing Seed]]-Table1[[#This Row],[Winning Seed]]</f>
        <v>3</v>
      </c>
      <c r="P415" s="1" t="str">
        <f>IF(Table1[[#This Row],[SeD]]&lt;-2,Table1[[#This Row],[Winning Seed]]&amp; " over " &amp;Table1[[#This Row],[Losing Seed]],"")</f>
        <v/>
      </c>
      <c r="Q415">
        <f>VLOOKUP(Table1[[#This Row],[Losing Seed]],'Seed History'!$N$4:$O$19,2)</f>
        <v>0.16666666666666666</v>
      </c>
      <c r="R415" s="1">
        <f>IF(Table1[[#This Row],[Round]]="PI",0,Table1[[#This Row],[Round]]-1)</f>
        <v>1</v>
      </c>
      <c r="S415">
        <f>Table1[[#This Row],[LAW]]-Table1[[#This Row],[LEW]]</f>
        <v>0.83333333333333337</v>
      </c>
    </row>
    <row r="416" spans="1:19" x14ac:dyDescent="0.25">
      <c r="A416" s="66">
        <v>33313</v>
      </c>
      <c r="B416" s="51">
        <f>YEAR(Table1[[#This Row],[Date]])</f>
        <v>1991</v>
      </c>
      <c r="C416" s="1">
        <v>2</v>
      </c>
      <c r="D416" t="s">
        <v>461</v>
      </c>
      <c r="E416" s="1">
        <v>2</v>
      </c>
      <c r="F416" t="s">
        <v>36</v>
      </c>
      <c r="G416" t="str">
        <f>VLOOKUP(Table1[[#This Row],[Winner]],Ranking!C:D,2,FALSE)</f>
        <v>B10</v>
      </c>
      <c r="H416" s="1">
        <v>82</v>
      </c>
      <c r="I416" s="1">
        <v>7</v>
      </c>
      <c r="J416" t="s">
        <v>207</v>
      </c>
      <c r="K416" t="str">
        <f>VLOOKUP(Table1[[#This Row],[Loser]],Ranking!C:D,2,FALSE)</f>
        <v>ACC</v>
      </c>
      <c r="L416" s="1">
        <v>60</v>
      </c>
      <c r="N416" s="1">
        <f>Table1[[#This Row],[Winning Score]]-Table1[[#This Row],[Losing Score]]</f>
        <v>22</v>
      </c>
      <c r="O416" s="1">
        <f>Table1[[#This Row],[Losing Seed]]-Table1[[#This Row],[Winning Seed]]</f>
        <v>5</v>
      </c>
      <c r="P416" s="1" t="str">
        <f>IF(Table1[[#This Row],[SeD]]&lt;-2,Table1[[#This Row],[Winning Seed]]&amp; " over " &amp;Table1[[#This Row],[Losing Seed]],"")</f>
        <v/>
      </c>
      <c r="Q416">
        <f>VLOOKUP(Table1[[#This Row],[Losing Seed]],'Seed History'!$N$4:$O$19,2)</f>
        <v>0.90277777777777779</v>
      </c>
      <c r="R416" s="1">
        <f>IF(Table1[[#This Row],[Round]]="PI",0,Table1[[#This Row],[Round]]-1)</f>
        <v>1</v>
      </c>
      <c r="S416">
        <f>Table1[[#This Row],[LAW]]-Table1[[#This Row],[LEW]]</f>
        <v>9.722222222222221E-2</v>
      </c>
    </row>
    <row r="417" spans="1:19" x14ac:dyDescent="0.25">
      <c r="A417" s="66">
        <v>33313</v>
      </c>
      <c r="B417" s="51">
        <f>YEAR(Table1[[#This Row],[Date]])</f>
        <v>1991</v>
      </c>
      <c r="C417" s="1">
        <v>2</v>
      </c>
      <c r="D417" t="s">
        <v>461</v>
      </c>
      <c r="E417" s="1">
        <v>3</v>
      </c>
      <c r="F417" t="s">
        <v>37</v>
      </c>
      <c r="G417" t="str">
        <f>VLOOKUP(Table1[[#This Row],[Winner]],Ranking!C:D,2,FALSE)</f>
        <v>B12</v>
      </c>
      <c r="H417" s="1">
        <v>77</v>
      </c>
      <c r="I417" s="1">
        <v>6</v>
      </c>
      <c r="J417" t="s">
        <v>83</v>
      </c>
      <c r="K417" t="str">
        <f>VLOOKUP(Table1[[#This Row],[Loser]],Ranking!C:D,2,FALSE)</f>
        <v>ACC</v>
      </c>
      <c r="L417" s="1">
        <v>66</v>
      </c>
      <c r="N417" s="1">
        <f>Table1[[#This Row],[Winning Score]]-Table1[[#This Row],[Losing Score]]</f>
        <v>11</v>
      </c>
      <c r="O417" s="1">
        <f>Table1[[#This Row],[Losing Seed]]-Table1[[#This Row],[Winning Seed]]</f>
        <v>3</v>
      </c>
      <c r="P417" s="1" t="str">
        <f>IF(Table1[[#This Row],[SeD]]&lt;-2,Table1[[#This Row],[Winning Seed]]&amp; " over " &amp;Table1[[#This Row],[Losing Seed]],"")</f>
        <v/>
      </c>
      <c r="Q417">
        <f>VLOOKUP(Table1[[#This Row],[Losing Seed]],'Seed History'!$N$4:$O$19,2)</f>
        <v>1.0625</v>
      </c>
      <c r="R417" s="1">
        <f>IF(Table1[[#This Row],[Round]]="PI",0,Table1[[#This Row],[Round]]-1)</f>
        <v>1</v>
      </c>
      <c r="S417">
        <f>Table1[[#This Row],[LAW]]-Table1[[#This Row],[LEW]]</f>
        <v>-6.25E-2</v>
      </c>
    </row>
    <row r="418" spans="1:19" x14ac:dyDescent="0.25">
      <c r="A418" s="66">
        <v>33313</v>
      </c>
      <c r="B418" s="51">
        <f>YEAR(Table1[[#This Row],[Date]])</f>
        <v>1991</v>
      </c>
      <c r="C418" s="1">
        <v>2</v>
      </c>
      <c r="D418" t="s">
        <v>38</v>
      </c>
      <c r="E418" s="1">
        <v>2</v>
      </c>
      <c r="F418" t="s">
        <v>48</v>
      </c>
      <c r="G418" t="str">
        <f>VLOOKUP(Table1[[#This Row],[Winner]],Ranking!C:D,2,FALSE)</f>
        <v>P12</v>
      </c>
      <c r="H418" s="1">
        <v>76</v>
      </c>
      <c r="I418" s="1">
        <v>10</v>
      </c>
      <c r="J418" t="s">
        <v>72</v>
      </c>
      <c r="K418" t="str">
        <f>VLOOKUP(Table1[[#This Row],[Loser]],Ranking!C:D,2,FALSE)</f>
        <v>WCC</v>
      </c>
      <c r="L418" s="1">
        <v>61</v>
      </c>
      <c r="N418" s="1">
        <f>Table1[[#This Row],[Winning Score]]-Table1[[#This Row],[Losing Score]]</f>
        <v>15</v>
      </c>
      <c r="O418" s="1">
        <f>Table1[[#This Row],[Losing Seed]]-Table1[[#This Row],[Winning Seed]]</f>
        <v>8</v>
      </c>
      <c r="P418" s="1" t="str">
        <f>IF(Table1[[#This Row],[SeD]]&lt;-2,Table1[[#This Row],[Winning Seed]]&amp; " over " &amp;Table1[[#This Row],[Losing Seed]],"")</f>
        <v/>
      </c>
      <c r="Q418">
        <f>VLOOKUP(Table1[[#This Row],[Losing Seed]],'Seed History'!$N$4:$O$19,2)</f>
        <v>0.61805555555555558</v>
      </c>
      <c r="R418" s="1">
        <f>IF(Table1[[#This Row],[Round]]="PI",0,Table1[[#This Row],[Round]]-1)</f>
        <v>1</v>
      </c>
      <c r="S418">
        <f>Table1[[#This Row],[LAW]]-Table1[[#This Row],[LEW]]</f>
        <v>0.38194444444444442</v>
      </c>
    </row>
    <row r="419" spans="1:19" x14ac:dyDescent="0.25">
      <c r="A419" s="66">
        <v>33313</v>
      </c>
      <c r="B419" s="51">
        <f>YEAR(Table1[[#This Row],[Date]])</f>
        <v>1991</v>
      </c>
      <c r="C419" s="1">
        <v>2</v>
      </c>
      <c r="D419" t="s">
        <v>38</v>
      </c>
      <c r="E419" s="1">
        <v>3</v>
      </c>
      <c r="F419" t="s">
        <v>87</v>
      </c>
      <c r="G419" t="str">
        <f>VLOOKUP(Table1[[#This Row],[Winner]],Ranking!C:D,2,FALSE)</f>
        <v>BE</v>
      </c>
      <c r="H419" s="1">
        <v>81</v>
      </c>
      <c r="I419" s="1">
        <v>11</v>
      </c>
      <c r="J419" t="s">
        <v>88</v>
      </c>
      <c r="K419" t="str">
        <f>VLOOKUP(Table1[[#This Row],[Loser]],Ranking!C:D,2,FALSE)</f>
        <v>BE</v>
      </c>
      <c r="L419" s="1">
        <v>69</v>
      </c>
      <c r="N419" s="1">
        <f>Table1[[#This Row],[Winning Score]]-Table1[[#This Row],[Losing Score]]</f>
        <v>12</v>
      </c>
      <c r="O419" s="1">
        <f>Table1[[#This Row],[Losing Seed]]-Table1[[#This Row],[Winning Seed]]</f>
        <v>8</v>
      </c>
      <c r="P419" s="1" t="str">
        <f>IF(Table1[[#This Row],[SeD]]&lt;-2,Table1[[#This Row],[Winning Seed]]&amp; " over " &amp;Table1[[#This Row],[Losing Seed]],"")</f>
        <v/>
      </c>
      <c r="Q419">
        <f>VLOOKUP(Table1[[#This Row],[Losing Seed]],'Seed History'!$N$4:$O$19,2)</f>
        <v>0.63194444444444442</v>
      </c>
      <c r="R419" s="1">
        <f>IF(Table1[[#This Row],[Round]]="PI",0,Table1[[#This Row],[Round]]-1)</f>
        <v>1</v>
      </c>
      <c r="S419">
        <f>Table1[[#This Row],[LAW]]-Table1[[#This Row],[LEW]]</f>
        <v>0.36805555555555558</v>
      </c>
    </row>
    <row r="420" spans="1:19" x14ac:dyDescent="0.25">
      <c r="A420" s="66">
        <v>33314</v>
      </c>
      <c r="B420" s="51">
        <f>YEAR(Table1[[#This Row],[Date]])</f>
        <v>1991</v>
      </c>
      <c r="C420" s="1">
        <v>2</v>
      </c>
      <c r="D420" t="s">
        <v>49</v>
      </c>
      <c r="E420" s="1">
        <v>1</v>
      </c>
      <c r="F420" t="s">
        <v>298</v>
      </c>
      <c r="G420" t="str">
        <f>VLOOKUP(Table1[[#This Row],[Winner]],Ranking!C:D,2,FALSE)</f>
        <v>ACC</v>
      </c>
      <c r="H420" s="1">
        <v>84</v>
      </c>
      <c r="I420" s="1">
        <v>9</v>
      </c>
      <c r="J420" t="s">
        <v>50</v>
      </c>
      <c r="K420" t="str">
        <f>VLOOKUP(Table1[[#This Row],[Loser]],Ranking!C:D,2,FALSE)</f>
        <v>BE</v>
      </c>
      <c r="L420" s="1">
        <v>69</v>
      </c>
      <c r="N420" s="1">
        <f>Table1[[#This Row],[Winning Score]]-Table1[[#This Row],[Losing Score]]</f>
        <v>15</v>
      </c>
      <c r="O420" s="1">
        <f>Table1[[#This Row],[Losing Seed]]-Table1[[#This Row],[Winning Seed]]</f>
        <v>8</v>
      </c>
      <c r="P420" s="1" t="str">
        <f>IF(Table1[[#This Row],[SeD]]&lt;-2,Table1[[#This Row],[Winning Seed]]&amp; " over " &amp;Table1[[#This Row],[Losing Seed]],"")</f>
        <v/>
      </c>
      <c r="Q420">
        <f>VLOOKUP(Table1[[#This Row],[Losing Seed]],'Seed History'!$N$4:$O$19,2)</f>
        <v>0.59027777777777779</v>
      </c>
      <c r="R420" s="1">
        <f>IF(Table1[[#This Row],[Round]]="PI",0,Table1[[#This Row],[Round]]-1)</f>
        <v>1</v>
      </c>
      <c r="S420">
        <f>Table1[[#This Row],[LAW]]-Table1[[#This Row],[LEW]]</f>
        <v>0.40972222222222221</v>
      </c>
    </row>
    <row r="421" spans="1:19" x14ac:dyDescent="0.25">
      <c r="A421" s="66">
        <v>33314</v>
      </c>
      <c r="B421" s="51">
        <f>YEAR(Table1[[#This Row],[Date]])</f>
        <v>1991</v>
      </c>
      <c r="C421" s="1">
        <v>2</v>
      </c>
      <c r="D421" t="s">
        <v>49</v>
      </c>
      <c r="E421" s="1">
        <v>12</v>
      </c>
      <c r="F421" t="s">
        <v>195</v>
      </c>
      <c r="G421" t="str">
        <f>VLOOKUP(Table1[[#This Row],[Winner]],Ranking!C:D,2,FALSE)</f>
        <v>MAC</v>
      </c>
      <c r="H421" s="1">
        <v>71</v>
      </c>
      <c r="I421" s="1">
        <v>13</v>
      </c>
      <c r="J421" t="s">
        <v>322</v>
      </c>
      <c r="K421" t="str">
        <f>VLOOKUP(Table1[[#This Row],[Loser]],Ranking!C:D,2,FALSE)</f>
        <v>B10</v>
      </c>
      <c r="L421" s="1">
        <v>68</v>
      </c>
      <c r="M421" s="1" t="s">
        <v>462</v>
      </c>
      <c r="N421" s="1">
        <f>Table1[[#This Row],[Winning Score]]-Table1[[#This Row],[Losing Score]]</f>
        <v>3</v>
      </c>
      <c r="O421" s="1">
        <f>Table1[[#This Row],[Losing Seed]]-Table1[[#This Row],[Winning Seed]]</f>
        <v>1</v>
      </c>
      <c r="P421" s="1" t="str">
        <f>IF(Table1[[#This Row],[SeD]]&lt;-2,Table1[[#This Row],[Winning Seed]]&amp; " over " &amp;Table1[[#This Row],[Losing Seed]],"")</f>
        <v/>
      </c>
      <c r="Q421">
        <f>VLOOKUP(Table1[[#This Row],[Losing Seed]],'Seed History'!$N$4:$O$19,2)</f>
        <v>0.25694444444444442</v>
      </c>
      <c r="R421" s="1">
        <f>IF(Table1[[#This Row],[Round]]="PI",0,Table1[[#This Row],[Round]]-1)</f>
        <v>1</v>
      </c>
      <c r="S421">
        <f>Table1[[#This Row],[LAW]]-Table1[[#This Row],[LEW]]</f>
        <v>0.74305555555555558</v>
      </c>
    </row>
    <row r="422" spans="1:19" x14ac:dyDescent="0.25">
      <c r="A422" s="66">
        <v>33314</v>
      </c>
      <c r="B422" s="51">
        <f>YEAR(Table1[[#This Row],[Date]])</f>
        <v>1991</v>
      </c>
      <c r="C422" s="1">
        <v>2</v>
      </c>
      <c r="D422" t="s">
        <v>439</v>
      </c>
      <c r="E422" s="1">
        <v>1</v>
      </c>
      <c r="F422" t="s">
        <v>315</v>
      </c>
      <c r="G422" t="str">
        <f>VLOOKUP(Table1[[#This Row],[Winner]],Ranking!C:D,2,FALSE)</f>
        <v>B10</v>
      </c>
      <c r="H422" s="1">
        <v>65</v>
      </c>
      <c r="I422" s="1">
        <v>8</v>
      </c>
      <c r="J422" t="s">
        <v>216</v>
      </c>
      <c r="K422" t="str">
        <f>VLOOKUP(Table1[[#This Row],[Loser]],Ranking!C:D,2,FALSE)</f>
        <v>ACC</v>
      </c>
      <c r="L422" s="1">
        <v>61</v>
      </c>
      <c r="N422" s="1">
        <f>Table1[[#This Row],[Winning Score]]-Table1[[#This Row],[Losing Score]]</f>
        <v>4</v>
      </c>
      <c r="O422" s="1">
        <f>Table1[[#This Row],[Losing Seed]]-Table1[[#This Row],[Winning Seed]]</f>
        <v>7</v>
      </c>
      <c r="P422" s="1" t="str">
        <f>IF(Table1[[#This Row],[SeD]]&lt;-2,Table1[[#This Row],[Winning Seed]]&amp; " over " &amp;Table1[[#This Row],[Losing Seed]],"")</f>
        <v/>
      </c>
      <c r="Q422">
        <f>VLOOKUP(Table1[[#This Row],[Losing Seed]],'Seed History'!$N$4:$O$19,2)</f>
        <v>0.70833333333333337</v>
      </c>
      <c r="R422" s="1">
        <f>IF(Table1[[#This Row],[Round]]="PI",0,Table1[[#This Row],[Round]]-1)</f>
        <v>1</v>
      </c>
      <c r="S422">
        <f>Table1[[#This Row],[LAW]]-Table1[[#This Row],[LEW]]</f>
        <v>0.29166666666666663</v>
      </c>
    </row>
    <row r="423" spans="1:19" x14ac:dyDescent="0.25">
      <c r="A423" s="66">
        <v>33314</v>
      </c>
      <c r="B423" s="51">
        <f>YEAR(Table1[[#This Row],[Date]])</f>
        <v>1991</v>
      </c>
      <c r="C423" s="1">
        <v>2</v>
      </c>
      <c r="D423" t="s">
        <v>439</v>
      </c>
      <c r="E423" s="1">
        <v>4</v>
      </c>
      <c r="F423" t="s">
        <v>368</v>
      </c>
      <c r="G423" t="str">
        <f>VLOOKUP(Table1[[#This Row],[Winner]],Ranking!C:D,2,FALSE)</f>
        <v>BE</v>
      </c>
      <c r="H423" s="1">
        <v>84</v>
      </c>
      <c r="I423" s="1">
        <v>5</v>
      </c>
      <c r="J423" t="s">
        <v>34</v>
      </c>
      <c r="K423" t="str">
        <f>VLOOKUP(Table1[[#This Row],[Loser]],Ranking!C:D,2,FALSE)</f>
        <v>B12</v>
      </c>
      <c r="L423" s="1">
        <v>76</v>
      </c>
      <c r="N423" s="1">
        <f>Table1[[#This Row],[Winning Score]]-Table1[[#This Row],[Losing Score]]</f>
        <v>8</v>
      </c>
      <c r="O423" s="1">
        <f>Table1[[#This Row],[Losing Seed]]-Table1[[#This Row],[Winning Seed]]</f>
        <v>1</v>
      </c>
      <c r="P423" s="1" t="str">
        <f>IF(Table1[[#This Row],[SeD]]&lt;-2,Table1[[#This Row],[Winning Seed]]&amp; " over " &amp;Table1[[#This Row],[Losing Seed]],"")</f>
        <v/>
      </c>
      <c r="Q423">
        <f>VLOOKUP(Table1[[#This Row],[Losing Seed]],'Seed History'!$N$4:$O$19,2)</f>
        <v>1.1180555555555556</v>
      </c>
      <c r="R423" s="1">
        <f>IF(Table1[[#This Row],[Round]]="PI",0,Table1[[#This Row],[Round]]-1)</f>
        <v>1</v>
      </c>
      <c r="S423">
        <f>Table1[[#This Row],[LAW]]-Table1[[#This Row],[LEW]]</f>
        <v>-0.11805555555555558</v>
      </c>
    </row>
    <row r="424" spans="1:19" x14ac:dyDescent="0.25">
      <c r="A424" s="66">
        <v>33314</v>
      </c>
      <c r="B424" s="51">
        <f>YEAR(Table1[[#This Row],[Date]])</f>
        <v>1991</v>
      </c>
      <c r="C424" s="1">
        <v>2</v>
      </c>
      <c r="D424" t="s">
        <v>461</v>
      </c>
      <c r="E424" s="1">
        <v>1</v>
      </c>
      <c r="F424" t="s">
        <v>41</v>
      </c>
      <c r="G424" t="str">
        <f>VLOOKUP(Table1[[#This Row],[Winner]],Ranking!C:D,2,FALSE)</f>
        <v>SEC</v>
      </c>
      <c r="H424" s="1">
        <v>97</v>
      </c>
      <c r="I424" s="1">
        <v>8</v>
      </c>
      <c r="J424" t="s">
        <v>125</v>
      </c>
      <c r="K424" t="str">
        <f>VLOOKUP(Table1[[#This Row],[Loser]],Ranking!C:D,2,FALSE)</f>
        <v>P12</v>
      </c>
      <c r="L424" s="1">
        <v>90</v>
      </c>
      <c r="N424" s="1">
        <f>Table1[[#This Row],[Winning Score]]-Table1[[#This Row],[Losing Score]]</f>
        <v>7</v>
      </c>
      <c r="O424" s="1">
        <f>Table1[[#This Row],[Losing Seed]]-Table1[[#This Row],[Winning Seed]]</f>
        <v>7</v>
      </c>
      <c r="P424" s="1" t="str">
        <f>IF(Table1[[#This Row],[SeD]]&lt;-2,Table1[[#This Row],[Winning Seed]]&amp; " over " &amp;Table1[[#This Row],[Losing Seed]],"")</f>
        <v/>
      </c>
      <c r="Q424">
        <f>VLOOKUP(Table1[[#This Row],[Losing Seed]],'Seed History'!$N$4:$O$19,2)</f>
        <v>0.70833333333333337</v>
      </c>
      <c r="R424" s="1">
        <f>IF(Table1[[#This Row],[Round]]="PI",0,Table1[[#This Row],[Round]]-1)</f>
        <v>1</v>
      </c>
      <c r="S424">
        <f>Table1[[#This Row],[LAW]]-Table1[[#This Row],[LEW]]</f>
        <v>0.29166666666666663</v>
      </c>
    </row>
    <row r="425" spans="1:19" x14ac:dyDescent="0.25">
      <c r="A425" s="66">
        <v>33314</v>
      </c>
      <c r="B425" s="51">
        <f>YEAR(Table1[[#This Row],[Date]])</f>
        <v>1991</v>
      </c>
      <c r="C425" s="1">
        <v>2</v>
      </c>
      <c r="D425" t="s">
        <v>461</v>
      </c>
      <c r="E425" s="1">
        <v>4</v>
      </c>
      <c r="F425" t="s">
        <v>113</v>
      </c>
      <c r="G425" t="str">
        <f>VLOOKUP(Table1[[#This Row],[Winner]],Ranking!C:D,2,FALSE)</f>
        <v>SEC</v>
      </c>
      <c r="H425" s="1">
        <v>96</v>
      </c>
      <c r="I425" s="1">
        <v>5</v>
      </c>
      <c r="J425" t="s">
        <v>408</v>
      </c>
      <c r="K425" t="str">
        <f>VLOOKUP(Table1[[#This Row],[Loser]],Ranking!C:D,2,FALSE)</f>
        <v>ACC</v>
      </c>
      <c r="L425" s="1">
        <v>88</v>
      </c>
      <c r="N425" s="1">
        <f>Table1[[#This Row],[Winning Score]]-Table1[[#This Row],[Losing Score]]</f>
        <v>8</v>
      </c>
      <c r="O425" s="1">
        <f>Table1[[#This Row],[Losing Seed]]-Table1[[#This Row],[Winning Seed]]</f>
        <v>1</v>
      </c>
      <c r="P425" s="1" t="str">
        <f>IF(Table1[[#This Row],[SeD]]&lt;-2,Table1[[#This Row],[Winning Seed]]&amp; " over " &amp;Table1[[#This Row],[Losing Seed]],"")</f>
        <v/>
      </c>
      <c r="Q425">
        <f>VLOOKUP(Table1[[#This Row],[Losing Seed]],'Seed History'!$N$4:$O$19,2)</f>
        <v>1.1180555555555556</v>
      </c>
      <c r="R425" s="1">
        <f>IF(Table1[[#This Row],[Round]]="PI",0,Table1[[#This Row],[Round]]-1)</f>
        <v>1</v>
      </c>
      <c r="S425">
        <f>Table1[[#This Row],[LAW]]-Table1[[#This Row],[LEW]]</f>
        <v>-0.11805555555555558</v>
      </c>
    </row>
    <row r="426" spans="1:19" x14ac:dyDescent="0.25">
      <c r="A426" s="66">
        <v>33314</v>
      </c>
      <c r="B426" s="51">
        <f>YEAR(Table1[[#This Row],[Date]])</f>
        <v>1991</v>
      </c>
      <c r="C426" s="1">
        <v>2</v>
      </c>
      <c r="D426" t="s">
        <v>38</v>
      </c>
      <c r="E426" s="1">
        <v>1</v>
      </c>
      <c r="F426" t="s">
        <v>396</v>
      </c>
      <c r="G426" t="str">
        <f>VLOOKUP(Table1[[#This Row],[Winner]],Ranking!C:D,2,FALSE)</f>
        <v>MWC</v>
      </c>
      <c r="H426" s="1">
        <v>62</v>
      </c>
      <c r="I426" s="1">
        <v>8</v>
      </c>
      <c r="J426" t="s">
        <v>66</v>
      </c>
      <c r="K426" t="str">
        <f>VLOOKUP(Table1[[#This Row],[Loser]],Ranking!C:D,2,FALSE)</f>
        <v>BE</v>
      </c>
      <c r="L426" s="1">
        <v>54</v>
      </c>
      <c r="N426" s="1">
        <f>Table1[[#This Row],[Winning Score]]-Table1[[#This Row],[Losing Score]]</f>
        <v>8</v>
      </c>
      <c r="O426" s="1">
        <f>Table1[[#This Row],[Losing Seed]]-Table1[[#This Row],[Winning Seed]]</f>
        <v>7</v>
      </c>
      <c r="P426" s="1" t="str">
        <f>IF(Table1[[#This Row],[SeD]]&lt;-2,Table1[[#This Row],[Winning Seed]]&amp; " over " &amp;Table1[[#This Row],[Losing Seed]],"")</f>
        <v/>
      </c>
      <c r="Q426">
        <f>VLOOKUP(Table1[[#This Row],[Losing Seed]],'Seed History'!$N$4:$O$19,2)</f>
        <v>0.70833333333333337</v>
      </c>
      <c r="R426" s="1">
        <f>IF(Table1[[#This Row],[Round]]="PI",0,Table1[[#This Row],[Round]]-1)</f>
        <v>1</v>
      </c>
      <c r="S426">
        <f>Table1[[#This Row],[LAW]]-Table1[[#This Row],[LEW]]</f>
        <v>0.29166666666666663</v>
      </c>
    </row>
    <row r="427" spans="1:19" x14ac:dyDescent="0.25">
      <c r="A427" s="66">
        <v>33314</v>
      </c>
      <c r="B427" s="51">
        <f>YEAR(Table1[[#This Row],[Date]])</f>
        <v>1991</v>
      </c>
      <c r="C427" s="1">
        <v>2</v>
      </c>
      <c r="D427" t="s">
        <v>38</v>
      </c>
      <c r="E427" s="1">
        <v>4</v>
      </c>
      <c r="F427" t="s">
        <v>65</v>
      </c>
      <c r="G427" t="str">
        <f>VLOOKUP(Table1[[#This Row],[Winner]],Ranking!C:D,2,FALSE)</f>
        <v>P12</v>
      </c>
      <c r="H427" s="1">
        <v>85</v>
      </c>
      <c r="I427" s="1">
        <v>5</v>
      </c>
      <c r="J427" t="s">
        <v>271</v>
      </c>
      <c r="K427" t="str">
        <f>VLOOKUP(Table1[[#This Row],[Loser]],Ranking!C:D,2,FALSE)</f>
        <v>B10</v>
      </c>
      <c r="L427" s="1">
        <v>84</v>
      </c>
      <c r="M427" s="1" t="s">
        <v>463</v>
      </c>
      <c r="N427" s="1">
        <f>Table1[[#This Row],[Winning Score]]-Table1[[#This Row],[Losing Score]]</f>
        <v>1</v>
      </c>
      <c r="O427" s="1">
        <f>Table1[[#This Row],[Losing Seed]]-Table1[[#This Row],[Winning Seed]]</f>
        <v>1</v>
      </c>
      <c r="P427" s="1" t="str">
        <f>IF(Table1[[#This Row],[SeD]]&lt;-2,Table1[[#This Row],[Winning Seed]]&amp; " over " &amp;Table1[[#This Row],[Losing Seed]],"")</f>
        <v/>
      </c>
      <c r="Q427">
        <f>VLOOKUP(Table1[[#This Row],[Losing Seed]],'Seed History'!$N$4:$O$19,2)</f>
        <v>1.1180555555555556</v>
      </c>
      <c r="R427" s="1">
        <f>IF(Table1[[#This Row],[Round]]="PI",0,Table1[[#This Row],[Round]]-1)</f>
        <v>1</v>
      </c>
      <c r="S427">
        <f>Table1[[#This Row],[LAW]]-Table1[[#This Row],[LEW]]</f>
        <v>-0.11805555555555558</v>
      </c>
    </row>
    <row r="428" spans="1:19" x14ac:dyDescent="0.25">
      <c r="A428" s="66">
        <v>33318</v>
      </c>
      <c r="B428" s="51">
        <f>YEAR(Table1[[#This Row],[Date]])</f>
        <v>1991</v>
      </c>
      <c r="C428" s="1">
        <v>3</v>
      </c>
      <c r="D428" t="s">
        <v>461</v>
      </c>
      <c r="E428" s="1">
        <v>1</v>
      </c>
      <c r="F428" t="s">
        <v>41</v>
      </c>
      <c r="G428" t="str">
        <f>VLOOKUP(Table1[[#This Row],[Winner]],Ranking!C:D,2,FALSE)</f>
        <v>SEC</v>
      </c>
      <c r="H428" s="1">
        <v>93</v>
      </c>
      <c r="I428" s="1">
        <v>4</v>
      </c>
      <c r="J428" t="s">
        <v>113</v>
      </c>
      <c r="K428" t="str">
        <f>VLOOKUP(Table1[[#This Row],[Loser]],Ranking!C:D,2,FALSE)</f>
        <v>SEC</v>
      </c>
      <c r="L428" s="1">
        <v>70</v>
      </c>
      <c r="N428" s="1">
        <f>Table1[[#This Row],[Winning Score]]-Table1[[#This Row],[Losing Score]]</f>
        <v>23</v>
      </c>
      <c r="O428" s="1">
        <f>Table1[[#This Row],[Losing Seed]]-Table1[[#This Row],[Winning Seed]]</f>
        <v>3</v>
      </c>
      <c r="P428" s="1" t="str">
        <f>IF(Table1[[#This Row],[SeD]]&lt;-2,Table1[[#This Row],[Winning Seed]]&amp; " over " &amp;Table1[[#This Row],[Losing Seed]],"")</f>
        <v/>
      </c>
      <c r="Q428">
        <f>VLOOKUP(Table1[[#This Row],[Losing Seed]],'Seed History'!$N$4:$O$19,2)</f>
        <v>1.5208333333333333</v>
      </c>
      <c r="R428" s="1">
        <f>IF(Table1[[#This Row],[Round]]="PI",0,Table1[[#This Row],[Round]]-1)</f>
        <v>2</v>
      </c>
      <c r="S428">
        <f>Table1[[#This Row],[LAW]]-Table1[[#This Row],[LEW]]</f>
        <v>0.47916666666666674</v>
      </c>
    </row>
    <row r="429" spans="1:19" x14ac:dyDescent="0.25">
      <c r="A429" s="66">
        <v>33318</v>
      </c>
      <c r="B429" s="51">
        <f>YEAR(Table1[[#This Row],[Date]])</f>
        <v>1991</v>
      </c>
      <c r="C429" s="1">
        <v>3</v>
      </c>
      <c r="D429" t="s">
        <v>38</v>
      </c>
      <c r="E429" s="1">
        <v>1</v>
      </c>
      <c r="F429" t="s">
        <v>396</v>
      </c>
      <c r="G429" t="str">
        <f>VLOOKUP(Table1[[#This Row],[Winner]],Ranking!C:D,2,FALSE)</f>
        <v>MWC</v>
      </c>
      <c r="H429" s="1">
        <v>83</v>
      </c>
      <c r="I429" s="1">
        <v>4</v>
      </c>
      <c r="J429" t="s">
        <v>65</v>
      </c>
      <c r="K429" t="str">
        <f>VLOOKUP(Table1[[#This Row],[Loser]],Ranking!C:D,2,FALSE)</f>
        <v>P12</v>
      </c>
      <c r="L429" s="1">
        <v>66</v>
      </c>
      <c r="N429" s="1">
        <f>Table1[[#This Row],[Winning Score]]-Table1[[#This Row],[Losing Score]]</f>
        <v>17</v>
      </c>
      <c r="O429" s="1">
        <f>Table1[[#This Row],[Losing Seed]]-Table1[[#This Row],[Winning Seed]]</f>
        <v>3</v>
      </c>
      <c r="P429" s="1" t="str">
        <f>IF(Table1[[#This Row],[SeD]]&lt;-2,Table1[[#This Row],[Winning Seed]]&amp; " over " &amp;Table1[[#This Row],[Losing Seed]],"")</f>
        <v/>
      </c>
      <c r="Q429">
        <f>VLOOKUP(Table1[[#This Row],[Losing Seed]],'Seed History'!$N$4:$O$19,2)</f>
        <v>1.5208333333333333</v>
      </c>
      <c r="R429" s="1">
        <f>IF(Table1[[#This Row],[Round]]="PI",0,Table1[[#This Row],[Round]]-1)</f>
        <v>2</v>
      </c>
      <c r="S429">
        <f>Table1[[#This Row],[LAW]]-Table1[[#This Row],[LEW]]</f>
        <v>0.47916666666666674</v>
      </c>
    </row>
    <row r="430" spans="1:19" x14ac:dyDescent="0.25">
      <c r="A430" s="66">
        <v>33318</v>
      </c>
      <c r="B430" s="51">
        <f>YEAR(Table1[[#This Row],[Date]])</f>
        <v>1991</v>
      </c>
      <c r="C430" s="1">
        <v>3</v>
      </c>
      <c r="D430" t="s">
        <v>461</v>
      </c>
      <c r="E430" s="1">
        <v>3</v>
      </c>
      <c r="F430" t="s">
        <v>37</v>
      </c>
      <c r="G430" t="str">
        <f>VLOOKUP(Table1[[#This Row],[Winner]],Ranking!C:D,2,FALSE)</f>
        <v>B12</v>
      </c>
      <c r="H430" s="1">
        <v>83</v>
      </c>
      <c r="I430" s="1">
        <v>2</v>
      </c>
      <c r="J430" t="s">
        <v>36</v>
      </c>
      <c r="K430" t="str">
        <f>VLOOKUP(Table1[[#This Row],[Loser]],Ranking!C:D,2,FALSE)</f>
        <v>B10</v>
      </c>
      <c r="L430" s="1">
        <v>65</v>
      </c>
      <c r="N430" s="1">
        <f>Table1[[#This Row],[Winning Score]]-Table1[[#This Row],[Losing Score]]</f>
        <v>18</v>
      </c>
      <c r="O430" s="1">
        <f>Table1[[#This Row],[Losing Seed]]-Table1[[#This Row],[Winning Seed]]</f>
        <v>-1</v>
      </c>
      <c r="P430" s="1" t="str">
        <f>IF(Table1[[#This Row],[SeD]]&lt;-2,Table1[[#This Row],[Winning Seed]]&amp; " over " &amp;Table1[[#This Row],[Losing Seed]],"")</f>
        <v/>
      </c>
      <c r="Q430">
        <f>VLOOKUP(Table1[[#This Row],[Losing Seed]],'Seed History'!$N$4:$O$19,2)</f>
        <v>2.3472222222222223</v>
      </c>
      <c r="R430" s="1">
        <f>IF(Table1[[#This Row],[Round]]="PI",0,Table1[[#This Row],[Round]]-1)</f>
        <v>2</v>
      </c>
      <c r="S430">
        <f>Table1[[#This Row],[LAW]]-Table1[[#This Row],[LEW]]</f>
        <v>-0.34722222222222232</v>
      </c>
    </row>
    <row r="431" spans="1:19" x14ac:dyDescent="0.25">
      <c r="A431" s="66">
        <v>33318</v>
      </c>
      <c r="B431" s="51">
        <f>YEAR(Table1[[#This Row],[Date]])</f>
        <v>1991</v>
      </c>
      <c r="C431" s="1">
        <v>3</v>
      </c>
      <c r="D431" t="s">
        <v>38</v>
      </c>
      <c r="E431" s="1">
        <v>3</v>
      </c>
      <c r="F431" t="s">
        <v>87</v>
      </c>
      <c r="G431" t="str">
        <f>VLOOKUP(Table1[[#This Row],[Winner]],Ranking!C:D,2,FALSE)</f>
        <v>BE</v>
      </c>
      <c r="H431" s="1">
        <v>81</v>
      </c>
      <c r="I431" s="1">
        <v>2</v>
      </c>
      <c r="J431" t="s">
        <v>48</v>
      </c>
      <c r="K431" t="str">
        <f>VLOOKUP(Table1[[#This Row],[Loser]],Ranking!C:D,2,FALSE)</f>
        <v>P12</v>
      </c>
      <c r="L431" s="1">
        <v>77</v>
      </c>
      <c r="N431" s="1">
        <f>Table1[[#This Row],[Winning Score]]-Table1[[#This Row],[Losing Score]]</f>
        <v>4</v>
      </c>
      <c r="O431" s="1">
        <f>Table1[[#This Row],[Losing Seed]]-Table1[[#This Row],[Winning Seed]]</f>
        <v>-1</v>
      </c>
      <c r="P431" s="1" t="str">
        <f>IF(Table1[[#This Row],[SeD]]&lt;-2,Table1[[#This Row],[Winning Seed]]&amp; " over " &amp;Table1[[#This Row],[Losing Seed]],"")</f>
        <v/>
      </c>
      <c r="Q431">
        <f>VLOOKUP(Table1[[#This Row],[Losing Seed]],'Seed History'!$N$4:$O$19,2)</f>
        <v>2.3472222222222223</v>
      </c>
      <c r="R431" s="1">
        <f>IF(Table1[[#This Row],[Round]]="PI",0,Table1[[#This Row],[Round]]-1)</f>
        <v>2</v>
      </c>
      <c r="S431">
        <f>Table1[[#This Row],[LAW]]-Table1[[#This Row],[LEW]]</f>
        <v>-0.34722222222222232</v>
      </c>
    </row>
    <row r="432" spans="1:19" x14ac:dyDescent="0.25">
      <c r="A432" s="66">
        <v>33319</v>
      </c>
      <c r="B432" s="51">
        <f>YEAR(Table1[[#This Row],[Date]])</f>
        <v>1991</v>
      </c>
      <c r="C432" s="1">
        <v>3</v>
      </c>
      <c r="D432" t="s">
        <v>49</v>
      </c>
      <c r="E432" s="1">
        <v>1</v>
      </c>
      <c r="F432" t="s">
        <v>298</v>
      </c>
      <c r="G432" t="str">
        <f>VLOOKUP(Table1[[#This Row],[Winner]],Ranking!C:D,2,FALSE)</f>
        <v>ACC</v>
      </c>
      <c r="H432" s="1">
        <v>93</v>
      </c>
      <c r="I432" s="1">
        <v>12</v>
      </c>
      <c r="J432" t="s">
        <v>195</v>
      </c>
      <c r="K432" t="str">
        <f>VLOOKUP(Table1[[#This Row],[Loser]],Ranking!C:D,2,FALSE)</f>
        <v>MAC</v>
      </c>
      <c r="L432" s="1">
        <v>67</v>
      </c>
      <c r="N432" s="1">
        <f>Table1[[#This Row],[Winning Score]]-Table1[[#This Row],[Losing Score]]</f>
        <v>26</v>
      </c>
      <c r="O432" s="1">
        <f>Table1[[#This Row],[Losing Seed]]-Table1[[#This Row],[Winning Seed]]</f>
        <v>11</v>
      </c>
      <c r="P432" s="1" t="str">
        <f>IF(Table1[[#This Row],[SeD]]&lt;-2,Table1[[#This Row],[Winning Seed]]&amp; " over " &amp;Table1[[#This Row],[Losing Seed]],"")</f>
        <v/>
      </c>
      <c r="Q432">
        <f>VLOOKUP(Table1[[#This Row],[Losing Seed]],'Seed History'!$N$4:$O$19,2)</f>
        <v>0.52083333333333337</v>
      </c>
      <c r="R432" s="1">
        <f>IF(Table1[[#This Row],[Round]]="PI",0,Table1[[#This Row],[Round]]-1)</f>
        <v>2</v>
      </c>
      <c r="S432">
        <f>Table1[[#This Row],[LAW]]-Table1[[#This Row],[LEW]]</f>
        <v>1.4791666666666665</v>
      </c>
    </row>
    <row r="433" spans="1:19" x14ac:dyDescent="0.25">
      <c r="A433" s="66">
        <v>33319</v>
      </c>
      <c r="B433" s="51">
        <f>YEAR(Table1[[#This Row],[Date]])</f>
        <v>1991</v>
      </c>
      <c r="C433" s="1">
        <v>3</v>
      </c>
      <c r="D433" t="s">
        <v>439</v>
      </c>
      <c r="E433" s="1">
        <v>2</v>
      </c>
      <c r="F433" t="s">
        <v>64</v>
      </c>
      <c r="G433" t="str">
        <f>VLOOKUP(Table1[[#This Row],[Winner]],Ranking!C:D,2,FALSE)</f>
        <v>ACC</v>
      </c>
      <c r="H433" s="1">
        <v>81</v>
      </c>
      <c r="I433" s="1">
        <v>11</v>
      </c>
      <c r="J433" t="s">
        <v>80</v>
      </c>
      <c r="K433" t="str">
        <f>VLOOKUP(Table1[[#This Row],[Loser]],Ranking!C:D,2,FALSE)</f>
        <v>BE</v>
      </c>
      <c r="L433" s="1">
        <v>67</v>
      </c>
      <c r="N433" s="1">
        <f>Table1[[#This Row],[Winning Score]]-Table1[[#This Row],[Losing Score]]</f>
        <v>14</v>
      </c>
      <c r="O433" s="1">
        <f>Table1[[#This Row],[Losing Seed]]-Table1[[#This Row],[Winning Seed]]</f>
        <v>9</v>
      </c>
      <c r="P433" s="1" t="str">
        <f>IF(Table1[[#This Row],[SeD]]&lt;-2,Table1[[#This Row],[Winning Seed]]&amp; " over " &amp;Table1[[#This Row],[Losing Seed]],"")</f>
        <v/>
      </c>
      <c r="Q433">
        <f>VLOOKUP(Table1[[#This Row],[Losing Seed]],'Seed History'!$N$4:$O$19,2)</f>
        <v>0.63194444444444442</v>
      </c>
      <c r="R433" s="1">
        <f>IF(Table1[[#This Row],[Round]]="PI",0,Table1[[#This Row],[Round]]-1)</f>
        <v>2</v>
      </c>
      <c r="S433">
        <f>Table1[[#This Row],[LAW]]-Table1[[#This Row],[LEW]]</f>
        <v>1.3680555555555556</v>
      </c>
    </row>
    <row r="434" spans="1:19" x14ac:dyDescent="0.25">
      <c r="A434" s="66">
        <v>33319</v>
      </c>
      <c r="B434" s="51">
        <f>YEAR(Table1[[#This Row],[Date]])</f>
        <v>1991</v>
      </c>
      <c r="C434" s="1">
        <v>3</v>
      </c>
      <c r="D434" t="s">
        <v>49</v>
      </c>
      <c r="E434" s="1">
        <v>10</v>
      </c>
      <c r="F434" t="s">
        <v>373</v>
      </c>
      <c r="G434" t="str">
        <f>VLOOKUP(Table1[[#This Row],[Winner]],Ranking!C:D,2,FALSE)</f>
        <v>Amer</v>
      </c>
      <c r="H434" s="1">
        <v>72</v>
      </c>
      <c r="I434" s="1">
        <v>3</v>
      </c>
      <c r="J434" t="s">
        <v>316</v>
      </c>
      <c r="K434" t="str">
        <f>VLOOKUP(Table1[[#This Row],[Loser]],Ranking!C:D,2,FALSE)</f>
        <v>B12</v>
      </c>
      <c r="L434" s="1">
        <v>63</v>
      </c>
      <c r="M434" s="1" t="s">
        <v>462</v>
      </c>
      <c r="N434" s="1">
        <f>Table1[[#This Row],[Winning Score]]-Table1[[#This Row],[Losing Score]]</f>
        <v>9</v>
      </c>
      <c r="O434" s="1">
        <f>Table1[[#This Row],[Losing Seed]]-Table1[[#This Row],[Winning Seed]]</f>
        <v>-7</v>
      </c>
      <c r="P434" s="1" t="str">
        <f>IF(Table1[[#This Row],[SeD]]&lt;-2,Table1[[#This Row],[Winning Seed]]&amp; " over " &amp;Table1[[#This Row],[Losing Seed]],"")</f>
        <v>10 over 3</v>
      </c>
      <c r="Q434">
        <f>VLOOKUP(Table1[[#This Row],[Losing Seed]],'Seed History'!$N$4:$O$19,2)</f>
        <v>1.8472222222222223</v>
      </c>
      <c r="R434" s="1">
        <f>IF(Table1[[#This Row],[Round]]="PI",0,Table1[[#This Row],[Round]]-1)</f>
        <v>2</v>
      </c>
      <c r="S434">
        <f>Table1[[#This Row],[LAW]]-Table1[[#This Row],[LEW]]</f>
        <v>0.15277777777777768</v>
      </c>
    </row>
    <row r="435" spans="1:19" x14ac:dyDescent="0.25">
      <c r="A435" s="66">
        <v>33319</v>
      </c>
      <c r="B435" s="51">
        <f>YEAR(Table1[[#This Row],[Date]])</f>
        <v>1991</v>
      </c>
      <c r="C435" s="1">
        <v>3</v>
      </c>
      <c r="D435" t="s">
        <v>439</v>
      </c>
      <c r="E435" s="1">
        <v>4</v>
      </c>
      <c r="F435" t="s">
        <v>368</v>
      </c>
      <c r="G435" t="str">
        <f>VLOOKUP(Table1[[#This Row],[Winner]],Ranking!C:D,2,FALSE)</f>
        <v>BE</v>
      </c>
      <c r="H435" s="1">
        <v>91</v>
      </c>
      <c r="I435" s="1">
        <v>1</v>
      </c>
      <c r="J435" t="s">
        <v>315</v>
      </c>
      <c r="K435" t="str">
        <f>VLOOKUP(Table1[[#This Row],[Loser]],Ranking!C:D,2,FALSE)</f>
        <v>B10</v>
      </c>
      <c r="L435" s="1">
        <v>74</v>
      </c>
      <c r="N435" s="1">
        <f>Table1[[#This Row],[Winning Score]]-Table1[[#This Row],[Losing Score]]</f>
        <v>17</v>
      </c>
      <c r="O435" s="1">
        <f>Table1[[#This Row],[Losing Seed]]-Table1[[#This Row],[Winning Seed]]</f>
        <v>-3</v>
      </c>
      <c r="P435" s="1" t="str">
        <f>IF(Table1[[#This Row],[SeD]]&lt;-2,Table1[[#This Row],[Winning Seed]]&amp; " over " &amp;Table1[[#This Row],[Losing Seed]],"")</f>
        <v>4 over 1</v>
      </c>
      <c r="Q435">
        <f>VLOOKUP(Table1[[#This Row],[Losing Seed]],'Seed History'!$N$4:$O$19,2)</f>
        <v>3.3263888888888888</v>
      </c>
      <c r="R435" s="1">
        <f>IF(Table1[[#This Row],[Round]]="PI",0,Table1[[#This Row],[Round]]-1)</f>
        <v>2</v>
      </c>
      <c r="S435">
        <f>Table1[[#This Row],[LAW]]-Table1[[#This Row],[LEW]]</f>
        <v>-1.3263888888888888</v>
      </c>
    </row>
    <row r="436" spans="1:19" x14ac:dyDescent="0.25">
      <c r="A436" s="66">
        <v>33320</v>
      </c>
      <c r="B436" s="51">
        <f>YEAR(Table1[[#This Row],[Date]])</f>
        <v>1991</v>
      </c>
      <c r="C436" s="1">
        <v>4</v>
      </c>
      <c r="D436" t="s">
        <v>38</v>
      </c>
      <c r="E436" s="1">
        <v>1</v>
      </c>
      <c r="F436" t="s">
        <v>396</v>
      </c>
      <c r="G436" t="str">
        <f>VLOOKUP(Table1[[#This Row],[Winner]],Ranking!C:D,2,FALSE)</f>
        <v>MWC</v>
      </c>
      <c r="H436" s="1">
        <v>77</v>
      </c>
      <c r="I436" s="1">
        <v>3</v>
      </c>
      <c r="J436" t="s">
        <v>87</v>
      </c>
      <c r="K436" t="str">
        <f>VLOOKUP(Table1[[#This Row],[Loser]],Ranking!C:D,2,FALSE)</f>
        <v>BE</v>
      </c>
      <c r="L436" s="1">
        <v>65</v>
      </c>
      <c r="N436" s="1">
        <f>Table1[[#This Row],[Winning Score]]-Table1[[#This Row],[Losing Score]]</f>
        <v>12</v>
      </c>
      <c r="O436" s="1">
        <f>Table1[[#This Row],[Losing Seed]]-Table1[[#This Row],[Winning Seed]]</f>
        <v>2</v>
      </c>
      <c r="P436" s="1" t="str">
        <f>IF(Table1[[#This Row],[SeD]]&lt;-2,Table1[[#This Row],[Winning Seed]]&amp; " over " &amp;Table1[[#This Row],[Losing Seed]],"")</f>
        <v/>
      </c>
      <c r="Q436">
        <f>VLOOKUP(Table1[[#This Row],[Losing Seed]],'Seed History'!$N$4:$O$19,2)</f>
        <v>1.8472222222222223</v>
      </c>
      <c r="R436" s="1">
        <f>IF(Table1[[#This Row],[Round]]="PI",0,Table1[[#This Row],[Round]]-1)</f>
        <v>3</v>
      </c>
      <c r="S436">
        <f>Table1[[#This Row],[LAW]]-Table1[[#This Row],[LEW]]</f>
        <v>1.1527777777777777</v>
      </c>
    </row>
    <row r="437" spans="1:19" x14ac:dyDescent="0.25">
      <c r="A437" s="66">
        <v>33320</v>
      </c>
      <c r="B437" s="51">
        <f>YEAR(Table1[[#This Row],[Date]])</f>
        <v>1991</v>
      </c>
      <c r="C437" s="1">
        <v>4</v>
      </c>
      <c r="D437" t="s">
        <v>461</v>
      </c>
      <c r="E437" s="1">
        <v>3</v>
      </c>
      <c r="F437" t="s">
        <v>37</v>
      </c>
      <c r="G437" t="str">
        <f>VLOOKUP(Table1[[#This Row],[Winner]],Ranking!C:D,2,FALSE)</f>
        <v>B12</v>
      </c>
      <c r="H437" s="1">
        <v>93</v>
      </c>
      <c r="I437" s="1">
        <v>1</v>
      </c>
      <c r="J437" t="s">
        <v>41</v>
      </c>
      <c r="K437" t="str">
        <f>VLOOKUP(Table1[[#This Row],[Loser]],Ranking!C:D,2,FALSE)</f>
        <v>SEC</v>
      </c>
      <c r="L437" s="1">
        <v>81</v>
      </c>
      <c r="N437" s="1">
        <f>Table1[[#This Row],[Winning Score]]-Table1[[#This Row],[Losing Score]]</f>
        <v>12</v>
      </c>
      <c r="O437" s="1">
        <f>Table1[[#This Row],[Losing Seed]]-Table1[[#This Row],[Winning Seed]]</f>
        <v>-2</v>
      </c>
      <c r="P437" s="1" t="str">
        <f>IF(Table1[[#This Row],[SeD]]&lt;-2,Table1[[#This Row],[Winning Seed]]&amp; " over " &amp;Table1[[#This Row],[Losing Seed]],"")</f>
        <v/>
      </c>
      <c r="Q437">
        <f>VLOOKUP(Table1[[#This Row],[Losing Seed]],'Seed History'!$N$4:$O$19,2)</f>
        <v>3.3263888888888888</v>
      </c>
      <c r="R437" s="1">
        <f>IF(Table1[[#This Row],[Round]]="PI",0,Table1[[#This Row],[Round]]-1)</f>
        <v>3</v>
      </c>
      <c r="S437">
        <f>Table1[[#This Row],[LAW]]-Table1[[#This Row],[LEW]]</f>
        <v>-0.32638888888888884</v>
      </c>
    </row>
    <row r="438" spans="1:19" x14ac:dyDescent="0.25">
      <c r="A438" s="66">
        <v>33321</v>
      </c>
      <c r="B438" s="51">
        <f>YEAR(Table1[[#This Row],[Date]])</f>
        <v>1991</v>
      </c>
      <c r="C438" s="1">
        <v>4</v>
      </c>
      <c r="D438" t="s">
        <v>49</v>
      </c>
      <c r="E438" s="1">
        <v>1</v>
      </c>
      <c r="F438" t="s">
        <v>298</v>
      </c>
      <c r="G438" t="str">
        <f>VLOOKUP(Table1[[#This Row],[Winner]],Ranking!C:D,2,FALSE)</f>
        <v>ACC</v>
      </c>
      <c r="H438" s="1">
        <v>75</v>
      </c>
      <c r="I438" s="1">
        <v>10</v>
      </c>
      <c r="J438" t="s">
        <v>373</v>
      </c>
      <c r="K438" t="str">
        <f>VLOOKUP(Table1[[#This Row],[Loser]],Ranking!C:D,2,FALSE)</f>
        <v>Amer</v>
      </c>
      <c r="L438" s="1">
        <v>72</v>
      </c>
      <c r="N438" s="1">
        <f>Table1[[#This Row],[Winning Score]]-Table1[[#This Row],[Losing Score]]</f>
        <v>3</v>
      </c>
      <c r="O438" s="1">
        <f>Table1[[#This Row],[Losing Seed]]-Table1[[#This Row],[Winning Seed]]</f>
        <v>9</v>
      </c>
      <c r="P438" s="1" t="str">
        <f>IF(Table1[[#This Row],[SeD]]&lt;-2,Table1[[#This Row],[Winning Seed]]&amp; " over " &amp;Table1[[#This Row],[Losing Seed]],"")</f>
        <v/>
      </c>
      <c r="Q438">
        <f>VLOOKUP(Table1[[#This Row],[Losing Seed]],'Seed History'!$N$4:$O$19,2)</f>
        <v>0.61805555555555558</v>
      </c>
      <c r="R438" s="1">
        <f>IF(Table1[[#This Row],[Round]]="PI",0,Table1[[#This Row],[Round]]-1)</f>
        <v>3</v>
      </c>
      <c r="S438">
        <f>Table1[[#This Row],[LAW]]-Table1[[#This Row],[LEW]]</f>
        <v>2.3819444444444446</v>
      </c>
    </row>
    <row r="439" spans="1:19" x14ac:dyDescent="0.25">
      <c r="A439" s="66">
        <v>33321</v>
      </c>
      <c r="B439" s="51">
        <f>YEAR(Table1[[#This Row],[Date]])</f>
        <v>1991</v>
      </c>
      <c r="C439" s="1">
        <v>4</v>
      </c>
      <c r="D439" t="s">
        <v>439</v>
      </c>
      <c r="E439" s="1">
        <v>2</v>
      </c>
      <c r="F439" t="s">
        <v>64</v>
      </c>
      <c r="G439" t="str">
        <f>VLOOKUP(Table1[[#This Row],[Winner]],Ranking!C:D,2,FALSE)</f>
        <v>ACC</v>
      </c>
      <c r="H439" s="1">
        <v>78</v>
      </c>
      <c r="I439" s="1">
        <v>4</v>
      </c>
      <c r="J439" t="s">
        <v>368</v>
      </c>
      <c r="K439" t="str">
        <f>VLOOKUP(Table1[[#This Row],[Loser]],Ranking!C:D,2,FALSE)</f>
        <v>BE</v>
      </c>
      <c r="L439" s="1">
        <v>61</v>
      </c>
      <c r="N439" s="1">
        <f>Table1[[#This Row],[Winning Score]]-Table1[[#This Row],[Losing Score]]</f>
        <v>17</v>
      </c>
      <c r="O439" s="1">
        <f>Table1[[#This Row],[Losing Seed]]-Table1[[#This Row],[Winning Seed]]</f>
        <v>2</v>
      </c>
      <c r="P439" s="1" t="str">
        <f>IF(Table1[[#This Row],[SeD]]&lt;-2,Table1[[#This Row],[Winning Seed]]&amp; " over " &amp;Table1[[#This Row],[Losing Seed]],"")</f>
        <v/>
      </c>
      <c r="Q439">
        <f>VLOOKUP(Table1[[#This Row],[Losing Seed]],'Seed History'!$N$4:$O$19,2)</f>
        <v>1.5208333333333333</v>
      </c>
      <c r="R439" s="1">
        <f>IF(Table1[[#This Row],[Round]]="PI",0,Table1[[#This Row],[Round]]-1)</f>
        <v>3</v>
      </c>
      <c r="S439">
        <f>Table1[[#This Row],[LAW]]-Table1[[#This Row],[LEW]]</f>
        <v>1.4791666666666667</v>
      </c>
    </row>
    <row r="440" spans="1:19" x14ac:dyDescent="0.25">
      <c r="A440" s="66">
        <v>33327</v>
      </c>
      <c r="B440" s="51">
        <f>YEAR(Table1[[#This Row],[Date]])</f>
        <v>1991</v>
      </c>
      <c r="C440" s="1">
        <v>5</v>
      </c>
      <c r="D440" t="s">
        <v>467</v>
      </c>
      <c r="E440" s="1">
        <v>3</v>
      </c>
      <c r="F440" t="s">
        <v>37</v>
      </c>
      <c r="G440" t="str">
        <f>VLOOKUP(Table1[[#This Row],[Winner]],Ranking!C:D,2,FALSE)</f>
        <v>B12</v>
      </c>
      <c r="H440" s="1">
        <v>79</v>
      </c>
      <c r="I440" s="1">
        <v>1</v>
      </c>
      <c r="J440" t="s">
        <v>298</v>
      </c>
      <c r="K440" t="str">
        <f>VLOOKUP(Table1[[#This Row],[Loser]],Ranking!C:D,2,FALSE)</f>
        <v>ACC</v>
      </c>
      <c r="L440" s="1">
        <v>73</v>
      </c>
      <c r="N440" s="1">
        <f>Table1[[#This Row],[Winning Score]]-Table1[[#This Row],[Losing Score]]</f>
        <v>6</v>
      </c>
      <c r="O440" s="1">
        <f>Table1[[#This Row],[Losing Seed]]-Table1[[#This Row],[Winning Seed]]</f>
        <v>-2</v>
      </c>
      <c r="P440" s="1" t="str">
        <f>IF(Table1[[#This Row],[SeD]]&lt;-2,Table1[[#This Row],[Winning Seed]]&amp; " over " &amp;Table1[[#This Row],[Losing Seed]],"")</f>
        <v/>
      </c>
      <c r="Q440">
        <f>VLOOKUP(Table1[[#This Row],[Losing Seed]],'Seed History'!$N$4:$O$19,2)</f>
        <v>3.3263888888888888</v>
      </c>
      <c r="R440" s="1">
        <f>IF(Table1[[#This Row],[Round]]="PI",0,Table1[[#This Row],[Round]]-1)</f>
        <v>4</v>
      </c>
      <c r="S440">
        <f>Table1[[#This Row],[LAW]]-Table1[[#This Row],[LEW]]</f>
        <v>0.67361111111111116</v>
      </c>
    </row>
    <row r="441" spans="1:19" x14ac:dyDescent="0.25">
      <c r="A441" s="66">
        <v>33327</v>
      </c>
      <c r="B441" s="51">
        <f>YEAR(Table1[[#This Row],[Date]])</f>
        <v>1991</v>
      </c>
      <c r="C441" s="1">
        <v>5</v>
      </c>
      <c r="D441" t="s">
        <v>467</v>
      </c>
      <c r="E441" s="1">
        <v>2</v>
      </c>
      <c r="F441" t="s">
        <v>64</v>
      </c>
      <c r="G441" t="str">
        <f>VLOOKUP(Table1[[#This Row],[Winner]],Ranking!C:D,2,FALSE)</f>
        <v>ACC</v>
      </c>
      <c r="H441" s="1">
        <v>79</v>
      </c>
      <c r="I441" s="1">
        <v>1</v>
      </c>
      <c r="J441" t="s">
        <v>396</v>
      </c>
      <c r="K441" t="str">
        <f>VLOOKUP(Table1[[#This Row],[Loser]],Ranking!C:D,2,FALSE)</f>
        <v>MWC</v>
      </c>
      <c r="L441" s="1">
        <v>77</v>
      </c>
      <c r="N441" s="1">
        <f>Table1[[#This Row],[Winning Score]]-Table1[[#This Row],[Losing Score]]</f>
        <v>2</v>
      </c>
      <c r="O441" s="1">
        <f>Table1[[#This Row],[Losing Seed]]-Table1[[#This Row],[Winning Seed]]</f>
        <v>-1</v>
      </c>
      <c r="P441" s="1" t="str">
        <f>IF(Table1[[#This Row],[SeD]]&lt;-2,Table1[[#This Row],[Winning Seed]]&amp; " over " &amp;Table1[[#This Row],[Losing Seed]],"")</f>
        <v/>
      </c>
      <c r="Q441">
        <f>VLOOKUP(Table1[[#This Row],[Losing Seed]],'Seed History'!$N$4:$O$19,2)</f>
        <v>3.3263888888888888</v>
      </c>
      <c r="R441" s="1">
        <f>IF(Table1[[#This Row],[Round]]="PI",0,Table1[[#This Row],[Round]]-1)</f>
        <v>4</v>
      </c>
      <c r="S441">
        <f>Table1[[#This Row],[LAW]]-Table1[[#This Row],[LEW]]</f>
        <v>0.67361111111111116</v>
      </c>
    </row>
    <row r="442" spans="1:19" x14ac:dyDescent="0.25">
      <c r="A442" s="66">
        <v>33329</v>
      </c>
      <c r="B442" s="51">
        <f>YEAR(Table1[[#This Row],[Date]])</f>
        <v>1991</v>
      </c>
      <c r="C442" s="1">
        <v>6</v>
      </c>
      <c r="D442" t="s">
        <v>468</v>
      </c>
      <c r="E442" s="1">
        <v>2</v>
      </c>
      <c r="F442" t="s">
        <v>64</v>
      </c>
      <c r="G442" t="str">
        <f>VLOOKUP(Table1[[#This Row],[Winner]],Ranking!C:D,2,FALSE)</f>
        <v>ACC</v>
      </c>
      <c r="H442" s="1">
        <v>72</v>
      </c>
      <c r="I442" s="1">
        <v>3</v>
      </c>
      <c r="J442" t="s">
        <v>37</v>
      </c>
      <c r="K442" t="str">
        <f>VLOOKUP(Table1[[#This Row],[Loser]],Ranking!C:D,2,FALSE)</f>
        <v>B12</v>
      </c>
      <c r="L442" s="1">
        <v>65</v>
      </c>
      <c r="N442" s="1">
        <f>Table1[[#This Row],[Winning Score]]-Table1[[#This Row],[Losing Score]]</f>
        <v>7</v>
      </c>
      <c r="O442" s="1">
        <f>Table1[[#This Row],[Losing Seed]]-Table1[[#This Row],[Winning Seed]]</f>
        <v>1</v>
      </c>
      <c r="P442" s="1" t="str">
        <f>IF(Table1[[#This Row],[SeD]]&lt;-2,Table1[[#This Row],[Winning Seed]]&amp; " over " &amp;Table1[[#This Row],[Losing Seed]],"")</f>
        <v/>
      </c>
      <c r="Q442">
        <f>VLOOKUP(Table1[[#This Row],[Losing Seed]],'Seed History'!$N$4:$O$19,2)</f>
        <v>1.8472222222222223</v>
      </c>
      <c r="R442" s="1">
        <f>IF(Table1[[#This Row],[Round]]="PI",0,Table1[[#This Row],[Round]]-1)</f>
        <v>5</v>
      </c>
      <c r="S442">
        <f>Table1[[#This Row],[LAW]]-Table1[[#This Row],[LEW]]</f>
        <v>3.1527777777777777</v>
      </c>
    </row>
    <row r="443" spans="1:19" x14ac:dyDescent="0.25">
      <c r="A443" s="66">
        <v>33682</v>
      </c>
      <c r="B443" s="51">
        <f>YEAR(Table1[[#This Row],[Date]])</f>
        <v>1992</v>
      </c>
      <c r="C443" s="1">
        <v>1</v>
      </c>
      <c r="D443" t="s">
        <v>49</v>
      </c>
      <c r="E443" s="1">
        <v>1</v>
      </c>
      <c r="F443" t="s">
        <v>64</v>
      </c>
      <c r="G443" t="str">
        <f>VLOOKUP(Table1[[#This Row],[Winner]],Ranking!C:D,2,FALSE)</f>
        <v>ACC</v>
      </c>
      <c r="H443" s="1">
        <v>82</v>
      </c>
      <c r="I443" s="1">
        <v>16</v>
      </c>
      <c r="J443" t="s">
        <v>157</v>
      </c>
      <c r="K443" t="str">
        <f>VLOOKUP(Table1[[#This Row],[Loser]],Ranking!C:D,2,FALSE)</f>
        <v>BSth</v>
      </c>
      <c r="L443" s="1">
        <v>56</v>
      </c>
      <c r="N443" s="1">
        <f>Table1[[#This Row],[Winning Score]]-Table1[[#This Row],[Losing Score]]</f>
        <v>26</v>
      </c>
      <c r="O443" s="1">
        <f>Table1[[#This Row],[Losing Seed]]-Table1[[#This Row],[Winning Seed]]</f>
        <v>15</v>
      </c>
      <c r="P443" s="1" t="str">
        <f>IF(Table1[[#This Row],[SeD]]&lt;-2,Table1[[#This Row],[Winning Seed]]&amp; " over " &amp;Table1[[#This Row],[Losing Seed]],"")</f>
        <v/>
      </c>
      <c r="Q443">
        <f>VLOOKUP(Table1[[#This Row],[Losing Seed]],'Seed History'!$N$4:$O$19,2)</f>
        <v>6.9444444444444441E-3</v>
      </c>
      <c r="R443" s="1">
        <f>IF(Table1[[#This Row],[Round]]="PI",0,Table1[[#This Row],[Round]]-1)</f>
        <v>0</v>
      </c>
      <c r="S443">
        <f>Table1[[#This Row],[LAW]]-Table1[[#This Row],[LEW]]</f>
        <v>-6.9444444444444441E-3</v>
      </c>
    </row>
    <row r="444" spans="1:19" x14ac:dyDescent="0.25">
      <c r="A444" s="66">
        <v>33682</v>
      </c>
      <c r="B444" s="51">
        <f>YEAR(Table1[[#This Row],[Date]])</f>
        <v>1992</v>
      </c>
      <c r="C444" s="1">
        <v>1</v>
      </c>
      <c r="D444" t="s">
        <v>49</v>
      </c>
      <c r="E444" s="1">
        <v>4</v>
      </c>
      <c r="F444" t="s">
        <v>87</v>
      </c>
      <c r="G444" t="str">
        <f>VLOOKUP(Table1[[#This Row],[Winner]],Ranking!C:D,2,FALSE)</f>
        <v>BE</v>
      </c>
      <c r="H444" s="1">
        <v>78</v>
      </c>
      <c r="I444" s="1">
        <v>13</v>
      </c>
      <c r="J444" t="s">
        <v>246</v>
      </c>
      <c r="K444" t="str">
        <f>VLOOKUP(Table1[[#This Row],[Loser]],Ranking!C:D,2,FALSE)</f>
        <v>A10</v>
      </c>
      <c r="L444" s="1">
        <v>76</v>
      </c>
      <c r="N444" s="1">
        <f>Table1[[#This Row],[Winning Score]]-Table1[[#This Row],[Losing Score]]</f>
        <v>2</v>
      </c>
      <c r="O444" s="1">
        <f>Table1[[#This Row],[Losing Seed]]-Table1[[#This Row],[Winning Seed]]</f>
        <v>9</v>
      </c>
      <c r="P444" s="1" t="str">
        <f>IF(Table1[[#This Row],[SeD]]&lt;-2,Table1[[#This Row],[Winning Seed]]&amp; " over " &amp;Table1[[#This Row],[Losing Seed]],"")</f>
        <v/>
      </c>
      <c r="Q444">
        <f>VLOOKUP(Table1[[#This Row],[Losing Seed]],'Seed History'!$N$4:$O$19,2)</f>
        <v>0.25694444444444442</v>
      </c>
      <c r="R444" s="1">
        <f>IF(Table1[[#This Row],[Round]]="PI",0,Table1[[#This Row],[Round]]-1)</f>
        <v>0</v>
      </c>
      <c r="S444">
        <f>Table1[[#This Row],[LAW]]-Table1[[#This Row],[LEW]]</f>
        <v>-0.25694444444444442</v>
      </c>
    </row>
    <row r="445" spans="1:19" x14ac:dyDescent="0.25">
      <c r="A445" s="66">
        <v>33682</v>
      </c>
      <c r="B445" s="51">
        <f>YEAR(Table1[[#This Row],[Date]])</f>
        <v>1992</v>
      </c>
      <c r="C445" s="1">
        <v>1</v>
      </c>
      <c r="D445" t="s">
        <v>49</v>
      </c>
      <c r="E445" s="1">
        <v>5</v>
      </c>
      <c r="F445" t="s">
        <v>277</v>
      </c>
      <c r="G445" t="str">
        <f>VLOOKUP(Table1[[#This Row],[Winner]],Ranking!C:D,2,FALSE)</f>
        <v>SEC</v>
      </c>
      <c r="H445" s="1">
        <v>89</v>
      </c>
      <c r="I445" s="1">
        <v>12</v>
      </c>
      <c r="J445" t="s">
        <v>412</v>
      </c>
      <c r="K445" t="str">
        <f>VLOOKUP(Table1[[#This Row],[Loser]],Ranking!C:D,2,FALSE)</f>
        <v>B12</v>
      </c>
      <c r="L445" s="1">
        <v>78</v>
      </c>
      <c r="N445" s="1">
        <f>Table1[[#This Row],[Winning Score]]-Table1[[#This Row],[Losing Score]]</f>
        <v>11</v>
      </c>
      <c r="O445" s="1">
        <f>Table1[[#This Row],[Losing Seed]]-Table1[[#This Row],[Winning Seed]]</f>
        <v>7</v>
      </c>
      <c r="P445" s="1" t="str">
        <f>IF(Table1[[#This Row],[SeD]]&lt;-2,Table1[[#This Row],[Winning Seed]]&amp; " over " &amp;Table1[[#This Row],[Losing Seed]],"")</f>
        <v/>
      </c>
      <c r="Q445">
        <f>VLOOKUP(Table1[[#This Row],[Losing Seed]],'Seed History'!$N$4:$O$19,2)</f>
        <v>0.52083333333333337</v>
      </c>
      <c r="R445" s="1">
        <f>IF(Table1[[#This Row],[Round]]="PI",0,Table1[[#This Row],[Round]]-1)</f>
        <v>0</v>
      </c>
      <c r="S445">
        <f>Table1[[#This Row],[LAW]]-Table1[[#This Row],[LEW]]</f>
        <v>-0.52083333333333337</v>
      </c>
    </row>
    <row r="446" spans="1:19" x14ac:dyDescent="0.25">
      <c r="A446" s="66">
        <v>33682</v>
      </c>
      <c r="B446" s="51">
        <f>YEAR(Table1[[#This Row],[Date]])</f>
        <v>1992</v>
      </c>
      <c r="C446" s="1">
        <v>1</v>
      </c>
      <c r="D446" t="s">
        <v>439</v>
      </c>
      <c r="E446" s="1">
        <v>2</v>
      </c>
      <c r="F446" t="s">
        <v>85</v>
      </c>
      <c r="G446" t="str">
        <f>VLOOKUP(Table1[[#This Row],[Winner]],Ranking!C:D,2,FALSE)</f>
        <v>P12</v>
      </c>
      <c r="H446" s="1">
        <v>84</v>
      </c>
      <c r="I446" s="1">
        <v>15</v>
      </c>
      <c r="J446" t="s">
        <v>255</v>
      </c>
      <c r="K446" t="str">
        <f>VLOOKUP(Table1[[#This Row],[Loser]],Ranking!C:D,2,FALSE)</f>
        <v>SB</v>
      </c>
      <c r="L446" s="1">
        <v>54</v>
      </c>
      <c r="N446" s="1">
        <f>Table1[[#This Row],[Winning Score]]-Table1[[#This Row],[Losing Score]]</f>
        <v>30</v>
      </c>
      <c r="O446" s="1">
        <f>Table1[[#This Row],[Losing Seed]]-Table1[[#This Row],[Winning Seed]]</f>
        <v>13</v>
      </c>
      <c r="P446" s="1" t="str">
        <f>IF(Table1[[#This Row],[SeD]]&lt;-2,Table1[[#This Row],[Winning Seed]]&amp; " over " &amp;Table1[[#This Row],[Losing Seed]],"")</f>
        <v/>
      </c>
      <c r="Q446">
        <f>VLOOKUP(Table1[[#This Row],[Losing Seed]],'Seed History'!$N$4:$O$19,2)</f>
        <v>7.6388888888888895E-2</v>
      </c>
      <c r="R446" s="1">
        <f>IF(Table1[[#This Row],[Round]]="PI",0,Table1[[#This Row],[Round]]-1)</f>
        <v>0</v>
      </c>
      <c r="S446">
        <f>Table1[[#This Row],[LAW]]-Table1[[#This Row],[LEW]]</f>
        <v>-7.6388888888888895E-2</v>
      </c>
    </row>
    <row r="447" spans="1:19" x14ac:dyDescent="0.25">
      <c r="A447" s="66">
        <v>33682</v>
      </c>
      <c r="B447" s="51">
        <f>YEAR(Table1[[#This Row],[Date]])</f>
        <v>1992</v>
      </c>
      <c r="C447" s="1">
        <v>1</v>
      </c>
      <c r="D447" t="s">
        <v>439</v>
      </c>
      <c r="E447" s="1">
        <v>3</v>
      </c>
      <c r="F447" t="s">
        <v>41</v>
      </c>
      <c r="G447" t="str">
        <f>VLOOKUP(Table1[[#This Row],[Winner]],Ranking!C:D,2,FALSE)</f>
        <v>SEC</v>
      </c>
      <c r="H447" s="1">
        <v>80</v>
      </c>
      <c r="I447" s="1">
        <v>14</v>
      </c>
      <c r="J447" t="s">
        <v>285</v>
      </c>
      <c r="K447" t="str">
        <f>VLOOKUP(Table1[[#This Row],[Loser]],Ranking!C:D,2,FALSE)</f>
        <v>OVC</v>
      </c>
      <c r="L447" s="1">
        <v>69</v>
      </c>
      <c r="N447" s="1">
        <f>Table1[[#This Row],[Winning Score]]-Table1[[#This Row],[Losing Score]]</f>
        <v>11</v>
      </c>
      <c r="O447" s="1">
        <f>Table1[[#This Row],[Losing Seed]]-Table1[[#This Row],[Winning Seed]]</f>
        <v>11</v>
      </c>
      <c r="P447" s="1" t="str">
        <f>IF(Table1[[#This Row],[SeD]]&lt;-2,Table1[[#This Row],[Winning Seed]]&amp; " over " &amp;Table1[[#This Row],[Losing Seed]],"")</f>
        <v/>
      </c>
      <c r="Q447">
        <f>VLOOKUP(Table1[[#This Row],[Losing Seed]],'Seed History'!$N$4:$O$19,2)</f>
        <v>0.16666666666666666</v>
      </c>
      <c r="R447" s="1">
        <f>IF(Table1[[#This Row],[Round]]="PI",0,Table1[[#This Row],[Round]]-1)</f>
        <v>0</v>
      </c>
      <c r="S447">
        <f>Table1[[#This Row],[LAW]]-Table1[[#This Row],[LEW]]</f>
        <v>-0.16666666666666666</v>
      </c>
    </row>
    <row r="448" spans="1:19" x14ac:dyDescent="0.25">
      <c r="A448" s="66">
        <v>33682</v>
      </c>
      <c r="B448" s="51">
        <f>YEAR(Table1[[#This Row],[Date]])</f>
        <v>1992</v>
      </c>
      <c r="C448" s="1">
        <v>1</v>
      </c>
      <c r="D448" t="s">
        <v>439</v>
      </c>
      <c r="E448" s="1">
        <v>6</v>
      </c>
      <c r="F448" t="s">
        <v>267</v>
      </c>
      <c r="G448" t="str">
        <f>VLOOKUP(Table1[[#This Row],[Winner]],Ranking!C:D,2,FALSE)</f>
        <v>Amer</v>
      </c>
      <c r="H448" s="1">
        <v>80</v>
      </c>
      <c r="I448" s="1">
        <v>11</v>
      </c>
      <c r="J448" t="s">
        <v>323</v>
      </c>
      <c r="K448" t="str">
        <f>VLOOKUP(Table1[[#This Row],[Loser]],Ranking!C:D,2,FALSE)</f>
        <v>WCC</v>
      </c>
      <c r="L448" s="1">
        <v>70</v>
      </c>
      <c r="N448" s="1">
        <f>Table1[[#This Row],[Winning Score]]-Table1[[#This Row],[Losing Score]]</f>
        <v>10</v>
      </c>
      <c r="O448" s="1">
        <f>Table1[[#This Row],[Losing Seed]]-Table1[[#This Row],[Winning Seed]]</f>
        <v>5</v>
      </c>
      <c r="P448" s="1" t="str">
        <f>IF(Table1[[#This Row],[SeD]]&lt;-2,Table1[[#This Row],[Winning Seed]]&amp; " over " &amp;Table1[[#This Row],[Losing Seed]],"")</f>
        <v/>
      </c>
      <c r="Q448">
        <f>VLOOKUP(Table1[[#This Row],[Losing Seed]],'Seed History'!$N$4:$O$19,2)</f>
        <v>0.63194444444444442</v>
      </c>
      <c r="R448" s="1">
        <f>IF(Table1[[#This Row],[Round]]="PI",0,Table1[[#This Row],[Round]]-1)</f>
        <v>0</v>
      </c>
      <c r="S448">
        <f>Table1[[#This Row],[LAW]]-Table1[[#This Row],[LEW]]</f>
        <v>-0.63194444444444442</v>
      </c>
    </row>
    <row r="449" spans="1:19" x14ac:dyDescent="0.25">
      <c r="A449" s="66">
        <v>33682</v>
      </c>
      <c r="B449" s="51">
        <f>YEAR(Table1[[#This Row],[Date]])</f>
        <v>1992</v>
      </c>
      <c r="C449" s="1">
        <v>1</v>
      </c>
      <c r="D449" t="s">
        <v>439</v>
      </c>
      <c r="E449" s="1">
        <v>7</v>
      </c>
      <c r="F449" t="s">
        <v>216</v>
      </c>
      <c r="G449" t="str">
        <f>VLOOKUP(Table1[[#This Row],[Winner]],Ranking!C:D,2,FALSE)</f>
        <v>ACC</v>
      </c>
      <c r="H449" s="1">
        <v>65</v>
      </c>
      <c r="I449" s="1">
        <v>10</v>
      </c>
      <c r="J449" t="s">
        <v>225</v>
      </c>
      <c r="K449" t="str">
        <f>VLOOKUP(Table1[[#This Row],[Loser]],Ranking!C:D,2,FALSE)</f>
        <v>Amer</v>
      </c>
      <c r="L449" s="1">
        <v>60</v>
      </c>
      <c r="N449" s="1">
        <f>Table1[[#This Row],[Winning Score]]-Table1[[#This Row],[Losing Score]]</f>
        <v>5</v>
      </c>
      <c r="O449" s="1">
        <f>Table1[[#This Row],[Losing Seed]]-Table1[[#This Row],[Winning Seed]]</f>
        <v>3</v>
      </c>
      <c r="P449" s="1" t="str">
        <f>IF(Table1[[#This Row],[SeD]]&lt;-2,Table1[[#This Row],[Winning Seed]]&amp; " over " &amp;Table1[[#This Row],[Losing Seed]],"")</f>
        <v/>
      </c>
      <c r="Q449">
        <f>VLOOKUP(Table1[[#This Row],[Losing Seed]],'Seed History'!$N$4:$O$19,2)</f>
        <v>0.61805555555555558</v>
      </c>
      <c r="R449" s="1">
        <f>IF(Table1[[#This Row],[Round]]="PI",0,Table1[[#This Row],[Round]]-1)</f>
        <v>0</v>
      </c>
      <c r="S449">
        <f>Table1[[#This Row],[LAW]]-Table1[[#This Row],[LEW]]</f>
        <v>-0.61805555555555558</v>
      </c>
    </row>
    <row r="450" spans="1:19" x14ac:dyDescent="0.25">
      <c r="A450" s="66">
        <v>33682</v>
      </c>
      <c r="B450" s="51">
        <f>YEAR(Table1[[#This Row],[Date]])</f>
        <v>1992</v>
      </c>
      <c r="C450" s="1">
        <v>1</v>
      </c>
      <c r="D450" t="s">
        <v>461</v>
      </c>
      <c r="E450" s="1">
        <v>1</v>
      </c>
      <c r="F450" t="s">
        <v>315</v>
      </c>
      <c r="G450" t="str">
        <f>VLOOKUP(Table1[[#This Row],[Winner]],Ranking!C:D,2,FALSE)</f>
        <v>B10</v>
      </c>
      <c r="H450" s="1">
        <v>83</v>
      </c>
      <c r="I450" s="1">
        <v>16</v>
      </c>
      <c r="J450" t="s">
        <v>276</v>
      </c>
      <c r="K450" t="str">
        <f>VLOOKUP(Table1[[#This Row],[Loser]],Ranking!C:D,2,FALSE)</f>
        <v>SWAC</v>
      </c>
      <c r="L450" s="1">
        <v>56</v>
      </c>
      <c r="N450" s="1">
        <f>Table1[[#This Row],[Winning Score]]-Table1[[#This Row],[Losing Score]]</f>
        <v>27</v>
      </c>
      <c r="O450" s="1">
        <f>Table1[[#This Row],[Losing Seed]]-Table1[[#This Row],[Winning Seed]]</f>
        <v>15</v>
      </c>
      <c r="P450" s="1" t="str">
        <f>IF(Table1[[#This Row],[SeD]]&lt;-2,Table1[[#This Row],[Winning Seed]]&amp; " over " &amp;Table1[[#This Row],[Losing Seed]],"")</f>
        <v/>
      </c>
      <c r="Q450">
        <f>VLOOKUP(Table1[[#This Row],[Losing Seed]],'Seed History'!$N$4:$O$19,2)</f>
        <v>6.9444444444444441E-3</v>
      </c>
      <c r="R450" s="1">
        <f>IF(Table1[[#This Row],[Round]]="PI",0,Table1[[#This Row],[Round]]-1)</f>
        <v>0</v>
      </c>
      <c r="S450">
        <f>Table1[[#This Row],[LAW]]-Table1[[#This Row],[LEW]]</f>
        <v>-6.9444444444444441E-3</v>
      </c>
    </row>
    <row r="451" spans="1:19" x14ac:dyDescent="0.25">
      <c r="A451" s="66">
        <v>33682</v>
      </c>
      <c r="B451" s="51">
        <f>YEAR(Table1[[#This Row],[Date]])</f>
        <v>1992</v>
      </c>
      <c r="C451" s="1">
        <v>1</v>
      </c>
      <c r="D451" t="s">
        <v>461</v>
      </c>
      <c r="E451" s="1">
        <v>4</v>
      </c>
      <c r="F451" t="s">
        <v>298</v>
      </c>
      <c r="G451" t="str">
        <f>VLOOKUP(Table1[[#This Row],[Winner]],Ranking!C:D,2,FALSE)</f>
        <v>ACC</v>
      </c>
      <c r="H451" s="1">
        <v>68</v>
      </c>
      <c r="I451" s="1">
        <v>13</v>
      </c>
      <c r="J451" t="s">
        <v>270</v>
      </c>
      <c r="K451" t="str">
        <f>VLOOKUP(Table1[[#This Row],[Loser]],Ranking!C:D,2,FALSE)</f>
        <v>MAC</v>
      </c>
      <c r="L451" s="1">
        <v>63</v>
      </c>
      <c r="N451" s="1">
        <f>Table1[[#This Row],[Winning Score]]-Table1[[#This Row],[Losing Score]]</f>
        <v>5</v>
      </c>
      <c r="O451" s="1">
        <f>Table1[[#This Row],[Losing Seed]]-Table1[[#This Row],[Winning Seed]]</f>
        <v>9</v>
      </c>
      <c r="P451" s="1" t="str">
        <f>IF(Table1[[#This Row],[SeD]]&lt;-2,Table1[[#This Row],[Winning Seed]]&amp; " over " &amp;Table1[[#This Row],[Losing Seed]],"")</f>
        <v/>
      </c>
      <c r="Q451">
        <f>VLOOKUP(Table1[[#This Row],[Losing Seed]],'Seed History'!$N$4:$O$19,2)</f>
        <v>0.25694444444444442</v>
      </c>
      <c r="R451" s="1">
        <f>IF(Table1[[#This Row],[Round]]="PI",0,Table1[[#This Row],[Round]]-1)</f>
        <v>0</v>
      </c>
      <c r="S451">
        <f>Table1[[#This Row],[LAW]]-Table1[[#This Row],[LEW]]</f>
        <v>-0.25694444444444442</v>
      </c>
    </row>
    <row r="452" spans="1:19" x14ac:dyDescent="0.25">
      <c r="A452" s="66">
        <v>33682</v>
      </c>
      <c r="B452" s="51">
        <f>YEAR(Table1[[#This Row],[Date]])</f>
        <v>1992</v>
      </c>
      <c r="C452" s="1">
        <v>1</v>
      </c>
      <c r="D452" t="s">
        <v>461</v>
      </c>
      <c r="E452" s="1">
        <v>5</v>
      </c>
      <c r="F452" t="s">
        <v>113</v>
      </c>
      <c r="G452" t="str">
        <f>VLOOKUP(Table1[[#This Row],[Winner]],Ranking!C:D,2,FALSE)</f>
        <v>SEC</v>
      </c>
      <c r="H452" s="1">
        <v>80</v>
      </c>
      <c r="I452" s="1">
        <v>12</v>
      </c>
      <c r="J452" t="s">
        <v>369</v>
      </c>
      <c r="K452" t="str">
        <f>VLOOKUP(Table1[[#This Row],[Loser]],Ranking!C:D,2,FALSE)</f>
        <v>P12</v>
      </c>
      <c r="L452" s="1">
        <v>75</v>
      </c>
      <c r="N452" s="1">
        <f>Table1[[#This Row],[Winning Score]]-Table1[[#This Row],[Losing Score]]</f>
        <v>5</v>
      </c>
      <c r="O452" s="1">
        <f>Table1[[#This Row],[Losing Seed]]-Table1[[#This Row],[Winning Seed]]</f>
        <v>7</v>
      </c>
      <c r="P452" s="1" t="str">
        <f>IF(Table1[[#This Row],[SeD]]&lt;-2,Table1[[#This Row],[Winning Seed]]&amp; " over " &amp;Table1[[#This Row],[Losing Seed]],"")</f>
        <v/>
      </c>
      <c r="Q452">
        <f>VLOOKUP(Table1[[#This Row],[Losing Seed]],'Seed History'!$N$4:$O$19,2)</f>
        <v>0.52083333333333337</v>
      </c>
      <c r="R452" s="1">
        <f>IF(Table1[[#This Row],[Round]]="PI",0,Table1[[#This Row],[Round]]-1)</f>
        <v>0</v>
      </c>
      <c r="S452">
        <f>Table1[[#This Row],[LAW]]-Table1[[#This Row],[LEW]]</f>
        <v>-0.52083333333333337</v>
      </c>
    </row>
    <row r="453" spans="1:19" x14ac:dyDescent="0.25">
      <c r="A453" s="66">
        <v>33682</v>
      </c>
      <c r="B453" s="51">
        <f>YEAR(Table1[[#This Row],[Date]])</f>
        <v>1992</v>
      </c>
      <c r="C453" s="1">
        <v>1</v>
      </c>
      <c r="D453" t="s">
        <v>38</v>
      </c>
      <c r="E453" s="1">
        <v>2</v>
      </c>
      <c r="F453" t="s">
        <v>36</v>
      </c>
      <c r="G453" t="str">
        <f>VLOOKUP(Table1[[#This Row],[Winner]],Ranking!C:D,2,FALSE)</f>
        <v>B10</v>
      </c>
      <c r="H453" s="1">
        <v>94</v>
      </c>
      <c r="I453" s="1">
        <v>15</v>
      </c>
      <c r="J453" t="s">
        <v>193</v>
      </c>
      <c r="K453" t="str">
        <f>VLOOKUP(Table1[[#This Row],[Loser]],Ranking!C:D,2,FALSE)</f>
        <v>OVC</v>
      </c>
      <c r="L453" s="1">
        <v>55</v>
      </c>
      <c r="N453" s="1">
        <f>Table1[[#This Row],[Winning Score]]-Table1[[#This Row],[Losing Score]]</f>
        <v>39</v>
      </c>
      <c r="O453" s="1">
        <f>Table1[[#This Row],[Losing Seed]]-Table1[[#This Row],[Winning Seed]]</f>
        <v>13</v>
      </c>
      <c r="P453" s="1" t="str">
        <f>IF(Table1[[#This Row],[SeD]]&lt;-2,Table1[[#This Row],[Winning Seed]]&amp; " over " &amp;Table1[[#This Row],[Losing Seed]],"")</f>
        <v/>
      </c>
      <c r="Q453">
        <f>VLOOKUP(Table1[[#This Row],[Losing Seed]],'Seed History'!$N$4:$O$19,2)</f>
        <v>7.6388888888888895E-2</v>
      </c>
      <c r="R453" s="1">
        <f>IF(Table1[[#This Row],[Round]]="PI",0,Table1[[#This Row],[Round]]-1)</f>
        <v>0</v>
      </c>
      <c r="S453">
        <f>Table1[[#This Row],[LAW]]-Table1[[#This Row],[LEW]]</f>
        <v>-7.6388888888888895E-2</v>
      </c>
    </row>
    <row r="454" spans="1:19" x14ac:dyDescent="0.25">
      <c r="A454" s="66">
        <v>33682</v>
      </c>
      <c r="B454" s="51">
        <f>YEAR(Table1[[#This Row],[Date]])</f>
        <v>1992</v>
      </c>
      <c r="C454" s="1">
        <v>1</v>
      </c>
      <c r="D454" t="s">
        <v>38</v>
      </c>
      <c r="E454" s="1">
        <v>3</v>
      </c>
      <c r="F454" t="s">
        <v>207</v>
      </c>
      <c r="G454" t="str">
        <f>VLOOKUP(Table1[[#This Row],[Winner]],Ranking!C:D,2,FALSE)</f>
        <v>ACC</v>
      </c>
      <c r="H454" s="1">
        <v>78</v>
      </c>
      <c r="I454" s="1">
        <v>14</v>
      </c>
      <c r="J454" t="s">
        <v>280</v>
      </c>
      <c r="K454" t="str">
        <f>VLOOKUP(Table1[[#This Row],[Loser]],Ranking!C:D,2,FALSE)</f>
        <v>BSky</v>
      </c>
      <c r="L454" s="1">
        <v>68</v>
      </c>
      <c r="N454" s="1">
        <f>Table1[[#This Row],[Winning Score]]-Table1[[#This Row],[Losing Score]]</f>
        <v>10</v>
      </c>
      <c r="O454" s="1">
        <f>Table1[[#This Row],[Losing Seed]]-Table1[[#This Row],[Winning Seed]]</f>
        <v>11</v>
      </c>
      <c r="P454" s="1" t="str">
        <f>IF(Table1[[#This Row],[SeD]]&lt;-2,Table1[[#This Row],[Winning Seed]]&amp; " over " &amp;Table1[[#This Row],[Losing Seed]],"")</f>
        <v/>
      </c>
      <c r="Q454">
        <f>VLOOKUP(Table1[[#This Row],[Losing Seed]],'Seed History'!$N$4:$O$19,2)</f>
        <v>0.16666666666666666</v>
      </c>
      <c r="R454" s="1">
        <f>IF(Table1[[#This Row],[Round]]="PI",0,Table1[[#This Row],[Round]]-1)</f>
        <v>0</v>
      </c>
      <c r="S454">
        <f>Table1[[#This Row],[LAW]]-Table1[[#This Row],[LEW]]</f>
        <v>-0.16666666666666666</v>
      </c>
    </row>
    <row r="455" spans="1:19" x14ac:dyDescent="0.25">
      <c r="A455" s="66">
        <v>33682</v>
      </c>
      <c r="B455" s="51">
        <f>YEAR(Table1[[#This Row],[Date]])</f>
        <v>1992</v>
      </c>
      <c r="C455" s="1">
        <v>1</v>
      </c>
      <c r="D455" t="s">
        <v>38</v>
      </c>
      <c r="E455" s="1">
        <v>6</v>
      </c>
      <c r="F455" t="s">
        <v>66</v>
      </c>
      <c r="G455" t="str">
        <f>VLOOKUP(Table1[[#This Row],[Winner]],Ranking!C:D,2,FALSE)</f>
        <v>BE</v>
      </c>
      <c r="H455" s="1">
        <v>75</v>
      </c>
      <c r="I455" s="1">
        <v>11</v>
      </c>
      <c r="J455" t="s">
        <v>358</v>
      </c>
      <c r="K455" t="str">
        <f>VLOOKUP(Table1[[#This Row],[Loser]],Ranking!C:D,2,FALSE)</f>
        <v>Amer</v>
      </c>
      <c r="L455" s="1">
        <v>60</v>
      </c>
      <c r="N455" s="1">
        <f>Table1[[#This Row],[Winning Score]]-Table1[[#This Row],[Losing Score]]</f>
        <v>15</v>
      </c>
      <c r="O455" s="1">
        <f>Table1[[#This Row],[Losing Seed]]-Table1[[#This Row],[Winning Seed]]</f>
        <v>5</v>
      </c>
      <c r="P455" s="1" t="str">
        <f>IF(Table1[[#This Row],[SeD]]&lt;-2,Table1[[#This Row],[Winning Seed]]&amp; " over " &amp;Table1[[#This Row],[Losing Seed]],"")</f>
        <v/>
      </c>
      <c r="Q455">
        <f>VLOOKUP(Table1[[#This Row],[Losing Seed]],'Seed History'!$N$4:$O$19,2)</f>
        <v>0.63194444444444442</v>
      </c>
      <c r="R455" s="1">
        <f>IF(Table1[[#This Row],[Round]]="PI",0,Table1[[#This Row],[Round]]-1)</f>
        <v>0</v>
      </c>
      <c r="S455">
        <f>Table1[[#This Row],[LAW]]-Table1[[#This Row],[LEW]]</f>
        <v>-0.63194444444444442</v>
      </c>
    </row>
    <row r="456" spans="1:19" x14ac:dyDescent="0.25">
      <c r="A456" s="66">
        <v>33682</v>
      </c>
      <c r="B456" s="51">
        <f>YEAR(Table1[[#This Row],[Date]])</f>
        <v>1992</v>
      </c>
      <c r="C456" s="1">
        <v>1</v>
      </c>
      <c r="D456" t="s">
        <v>38</v>
      </c>
      <c r="E456" s="1">
        <v>7</v>
      </c>
      <c r="F456" t="s">
        <v>52</v>
      </c>
      <c r="G456" t="str">
        <f>VLOOKUP(Table1[[#This Row],[Winner]],Ranking!C:D,2,FALSE)</f>
        <v>SEC</v>
      </c>
      <c r="H456" s="1">
        <v>94</v>
      </c>
      <c r="I456" s="1">
        <v>10</v>
      </c>
      <c r="J456" t="s">
        <v>72</v>
      </c>
      <c r="K456" t="str">
        <f>VLOOKUP(Table1[[#This Row],[Loser]],Ranking!C:D,2,FALSE)</f>
        <v>WCC</v>
      </c>
      <c r="L456" s="1">
        <v>83</v>
      </c>
      <c r="N456" s="1">
        <f>Table1[[#This Row],[Winning Score]]-Table1[[#This Row],[Losing Score]]</f>
        <v>11</v>
      </c>
      <c r="O456" s="1">
        <f>Table1[[#This Row],[Losing Seed]]-Table1[[#This Row],[Winning Seed]]</f>
        <v>3</v>
      </c>
      <c r="P456" s="1" t="str">
        <f>IF(Table1[[#This Row],[SeD]]&lt;-2,Table1[[#This Row],[Winning Seed]]&amp; " over " &amp;Table1[[#This Row],[Losing Seed]],"")</f>
        <v/>
      </c>
      <c r="Q456">
        <f>VLOOKUP(Table1[[#This Row],[Losing Seed]],'Seed History'!$N$4:$O$19,2)</f>
        <v>0.61805555555555558</v>
      </c>
      <c r="R456" s="1">
        <f>IF(Table1[[#This Row],[Round]]="PI",0,Table1[[#This Row],[Round]]-1)</f>
        <v>0</v>
      </c>
      <c r="S456">
        <f>Table1[[#This Row],[LAW]]-Table1[[#This Row],[LEW]]</f>
        <v>-0.61805555555555558</v>
      </c>
    </row>
    <row r="457" spans="1:19" x14ac:dyDescent="0.25">
      <c r="A457" s="66">
        <v>33682</v>
      </c>
      <c r="B457" s="51">
        <f>YEAR(Table1[[#This Row],[Date]])</f>
        <v>1992</v>
      </c>
      <c r="C457" s="1">
        <v>1</v>
      </c>
      <c r="D457" t="s">
        <v>49</v>
      </c>
      <c r="E457" s="1">
        <v>9</v>
      </c>
      <c r="F457" t="s">
        <v>69</v>
      </c>
      <c r="G457" t="str">
        <f>VLOOKUP(Table1[[#This Row],[Winner]],Ranking!C:D,2,FALSE)</f>
        <v>B10</v>
      </c>
      <c r="H457" s="1">
        <v>98</v>
      </c>
      <c r="I457" s="1">
        <v>8</v>
      </c>
      <c r="J457" t="s">
        <v>34</v>
      </c>
      <c r="K457" t="str">
        <f>VLOOKUP(Table1[[#This Row],[Loser]],Ranking!C:D,2,FALSE)</f>
        <v>B12</v>
      </c>
      <c r="L457" s="1">
        <v>92</v>
      </c>
      <c r="N457" s="1">
        <f>Table1[[#This Row],[Winning Score]]-Table1[[#This Row],[Losing Score]]</f>
        <v>6</v>
      </c>
      <c r="O457" s="1">
        <f>Table1[[#This Row],[Losing Seed]]-Table1[[#This Row],[Winning Seed]]</f>
        <v>-1</v>
      </c>
      <c r="P457" s="1" t="str">
        <f>IF(Table1[[#This Row],[SeD]]&lt;-2,Table1[[#This Row],[Winning Seed]]&amp; " over " &amp;Table1[[#This Row],[Losing Seed]],"")</f>
        <v/>
      </c>
      <c r="Q457">
        <f>VLOOKUP(Table1[[#This Row],[Losing Seed]],'Seed History'!$N$4:$O$19,2)</f>
        <v>0.70833333333333337</v>
      </c>
      <c r="R457" s="1">
        <f>IF(Table1[[#This Row],[Round]]="PI",0,Table1[[#This Row],[Round]]-1)</f>
        <v>0</v>
      </c>
      <c r="S457">
        <f>Table1[[#This Row],[LAW]]-Table1[[#This Row],[LEW]]</f>
        <v>-0.70833333333333337</v>
      </c>
    </row>
    <row r="458" spans="1:19" x14ac:dyDescent="0.25">
      <c r="A458" s="66">
        <v>33682</v>
      </c>
      <c r="B458" s="51">
        <f>YEAR(Table1[[#This Row],[Date]])</f>
        <v>1992</v>
      </c>
      <c r="C458" s="1">
        <v>1</v>
      </c>
      <c r="D458" t="s">
        <v>461</v>
      </c>
      <c r="E458" s="1">
        <v>9</v>
      </c>
      <c r="F458" t="s">
        <v>80</v>
      </c>
      <c r="G458" t="str">
        <f>VLOOKUP(Table1[[#This Row],[Winner]],Ranking!C:D,2,FALSE)</f>
        <v>BE</v>
      </c>
      <c r="H458" s="1">
        <v>86</v>
      </c>
      <c r="I458" s="1">
        <v>8</v>
      </c>
      <c r="J458" t="s">
        <v>287</v>
      </c>
      <c r="K458" t="str">
        <f>VLOOKUP(Table1[[#This Row],[Loser]],Ranking!C:D,2,FALSE)</f>
        <v>B10</v>
      </c>
      <c r="L458" s="1">
        <v>65</v>
      </c>
      <c r="N458" s="1">
        <f>Table1[[#This Row],[Winning Score]]-Table1[[#This Row],[Losing Score]]</f>
        <v>21</v>
      </c>
      <c r="O458" s="1">
        <f>Table1[[#This Row],[Losing Seed]]-Table1[[#This Row],[Winning Seed]]</f>
        <v>-1</v>
      </c>
      <c r="P458" s="1" t="str">
        <f>IF(Table1[[#This Row],[SeD]]&lt;-2,Table1[[#This Row],[Winning Seed]]&amp; " over " &amp;Table1[[#This Row],[Losing Seed]],"")</f>
        <v/>
      </c>
      <c r="Q458">
        <f>VLOOKUP(Table1[[#This Row],[Losing Seed]],'Seed History'!$N$4:$O$19,2)</f>
        <v>0.70833333333333337</v>
      </c>
      <c r="R458" s="1">
        <f>IF(Table1[[#This Row],[Round]]="PI",0,Table1[[#This Row],[Round]]-1)</f>
        <v>0</v>
      </c>
      <c r="S458">
        <f>Table1[[#This Row],[LAW]]-Table1[[#This Row],[LEW]]</f>
        <v>-0.70833333333333337</v>
      </c>
    </row>
    <row r="459" spans="1:19" x14ac:dyDescent="0.25">
      <c r="A459" s="66">
        <v>33683</v>
      </c>
      <c r="B459" s="51">
        <f>YEAR(Table1[[#This Row],[Date]])</f>
        <v>1992</v>
      </c>
      <c r="C459" s="1">
        <v>1</v>
      </c>
      <c r="D459" t="s">
        <v>461</v>
      </c>
      <c r="E459" s="1">
        <v>14</v>
      </c>
      <c r="F459" t="s">
        <v>192</v>
      </c>
      <c r="G459" t="str">
        <f>VLOOKUP(Table1[[#This Row],[Winner]],Ranking!C:D,2,FALSE)</f>
        <v>SC</v>
      </c>
      <c r="H459" s="1">
        <v>87</v>
      </c>
      <c r="I459" s="1">
        <v>3</v>
      </c>
      <c r="J459" t="s">
        <v>48</v>
      </c>
      <c r="K459" t="str">
        <f>VLOOKUP(Table1[[#This Row],[Loser]],Ranking!C:D,2,FALSE)</f>
        <v>P12</v>
      </c>
      <c r="L459" s="1">
        <v>80</v>
      </c>
      <c r="N459" s="1">
        <f>Table1[[#This Row],[Winning Score]]-Table1[[#This Row],[Losing Score]]</f>
        <v>7</v>
      </c>
      <c r="O459" s="1">
        <f>Table1[[#This Row],[Losing Seed]]-Table1[[#This Row],[Winning Seed]]</f>
        <v>-11</v>
      </c>
      <c r="P459" s="1" t="str">
        <f>IF(Table1[[#This Row],[SeD]]&lt;-2,Table1[[#This Row],[Winning Seed]]&amp; " over " &amp;Table1[[#This Row],[Losing Seed]],"")</f>
        <v>14 over 3</v>
      </c>
      <c r="Q459">
        <f>VLOOKUP(Table1[[#This Row],[Losing Seed]],'Seed History'!$N$4:$O$19,2)</f>
        <v>1.8472222222222223</v>
      </c>
      <c r="R459" s="1">
        <f>IF(Table1[[#This Row],[Round]]="PI",0,Table1[[#This Row],[Round]]-1)</f>
        <v>0</v>
      </c>
      <c r="S459">
        <f>Table1[[#This Row],[LAW]]-Table1[[#This Row],[LEW]]</f>
        <v>-1.8472222222222223</v>
      </c>
    </row>
    <row r="460" spans="1:19" x14ac:dyDescent="0.25">
      <c r="A460" s="66">
        <v>33683</v>
      </c>
      <c r="B460" s="51">
        <f>YEAR(Table1[[#This Row],[Date]])</f>
        <v>1992</v>
      </c>
      <c r="C460" s="1">
        <v>1</v>
      </c>
      <c r="D460" t="s">
        <v>38</v>
      </c>
      <c r="E460" s="1">
        <v>13</v>
      </c>
      <c r="F460" t="s">
        <v>254</v>
      </c>
      <c r="G460" t="e">
        <f>VLOOKUP(Table1[[#This Row],[Winner]],Ranking!C:D,2,FALSE)</f>
        <v>#N/A</v>
      </c>
      <c r="H460" s="1">
        <v>87</v>
      </c>
      <c r="I460" s="1">
        <v>4</v>
      </c>
      <c r="J460" t="s">
        <v>58</v>
      </c>
      <c r="K460" t="str">
        <f>VLOOKUP(Table1[[#This Row],[Loser]],Ranking!C:D,2,FALSE)</f>
        <v>B12</v>
      </c>
      <c r="L460" s="1">
        <v>83</v>
      </c>
      <c r="N460" s="1">
        <f>Table1[[#This Row],[Winning Score]]-Table1[[#This Row],[Losing Score]]</f>
        <v>4</v>
      </c>
      <c r="O460" s="1">
        <f>Table1[[#This Row],[Losing Seed]]-Table1[[#This Row],[Winning Seed]]</f>
        <v>-9</v>
      </c>
      <c r="P460" s="1" t="str">
        <f>IF(Table1[[#This Row],[SeD]]&lt;-2,Table1[[#This Row],[Winning Seed]]&amp; " over " &amp;Table1[[#This Row],[Losing Seed]],"")</f>
        <v>13 over 4</v>
      </c>
      <c r="Q460">
        <f>VLOOKUP(Table1[[#This Row],[Losing Seed]],'Seed History'!$N$4:$O$19,2)</f>
        <v>1.5208333333333333</v>
      </c>
      <c r="R460" s="1">
        <f>IF(Table1[[#This Row],[Round]]="PI",0,Table1[[#This Row],[Round]]-1)</f>
        <v>0</v>
      </c>
      <c r="S460">
        <f>Table1[[#This Row],[LAW]]-Table1[[#This Row],[LEW]]</f>
        <v>-1.5208333333333333</v>
      </c>
    </row>
    <row r="461" spans="1:19" x14ac:dyDescent="0.25">
      <c r="A461" s="66">
        <v>33683</v>
      </c>
      <c r="B461" s="51">
        <f>YEAR(Table1[[#This Row],[Date]])</f>
        <v>1992</v>
      </c>
      <c r="C461" s="1">
        <v>1</v>
      </c>
      <c r="D461" t="s">
        <v>49</v>
      </c>
      <c r="E461" s="1">
        <v>2</v>
      </c>
      <c r="F461" t="s">
        <v>26</v>
      </c>
      <c r="G461" t="str">
        <f>VLOOKUP(Table1[[#This Row],[Winner]],Ranking!C:D,2,FALSE)</f>
        <v>SEC</v>
      </c>
      <c r="H461" s="1">
        <v>88</v>
      </c>
      <c r="I461" s="1">
        <v>15</v>
      </c>
      <c r="J461" t="s">
        <v>317</v>
      </c>
      <c r="K461" t="str">
        <f>VLOOKUP(Table1[[#This Row],[Loser]],Ranking!C:D,2,FALSE)</f>
        <v>CUSA</v>
      </c>
      <c r="L461" s="1">
        <v>69</v>
      </c>
      <c r="N461" s="1">
        <f>Table1[[#This Row],[Winning Score]]-Table1[[#This Row],[Losing Score]]</f>
        <v>19</v>
      </c>
      <c r="O461" s="1">
        <f>Table1[[#This Row],[Losing Seed]]-Table1[[#This Row],[Winning Seed]]</f>
        <v>13</v>
      </c>
      <c r="P461" s="1" t="str">
        <f>IF(Table1[[#This Row],[SeD]]&lt;-2,Table1[[#This Row],[Winning Seed]]&amp; " over " &amp;Table1[[#This Row],[Losing Seed]],"")</f>
        <v/>
      </c>
      <c r="Q461">
        <f>VLOOKUP(Table1[[#This Row],[Losing Seed]],'Seed History'!$N$4:$O$19,2)</f>
        <v>7.6388888888888895E-2</v>
      </c>
      <c r="R461" s="1">
        <f>IF(Table1[[#This Row],[Round]]="PI",0,Table1[[#This Row],[Round]]-1)</f>
        <v>0</v>
      </c>
      <c r="S461">
        <f>Table1[[#This Row],[LAW]]-Table1[[#This Row],[LEW]]</f>
        <v>-7.6388888888888895E-2</v>
      </c>
    </row>
    <row r="462" spans="1:19" x14ac:dyDescent="0.25">
      <c r="A462" s="66">
        <v>33683</v>
      </c>
      <c r="B462" s="51">
        <f>YEAR(Table1[[#This Row],[Date]])</f>
        <v>1992</v>
      </c>
      <c r="C462" s="1">
        <v>1</v>
      </c>
      <c r="D462" t="s">
        <v>49</v>
      </c>
      <c r="E462" s="1">
        <v>3</v>
      </c>
      <c r="F462" t="s">
        <v>265</v>
      </c>
      <c r="G462" t="str">
        <f>VLOOKUP(Table1[[#This Row],[Winner]],Ranking!C:D,2,FALSE)</f>
        <v>A10</v>
      </c>
      <c r="H462" s="1">
        <v>85</v>
      </c>
      <c r="I462" s="1">
        <v>14</v>
      </c>
      <c r="J462" t="s">
        <v>208</v>
      </c>
      <c r="K462" t="str">
        <f>VLOOKUP(Table1[[#This Row],[Loser]],Ranking!C:D,2,FALSE)</f>
        <v>A10</v>
      </c>
      <c r="L462" s="1">
        <v>58</v>
      </c>
      <c r="N462" s="1">
        <f>Table1[[#This Row],[Winning Score]]-Table1[[#This Row],[Losing Score]]</f>
        <v>27</v>
      </c>
      <c r="O462" s="1">
        <f>Table1[[#This Row],[Losing Seed]]-Table1[[#This Row],[Winning Seed]]</f>
        <v>11</v>
      </c>
      <c r="P462" s="1" t="str">
        <f>IF(Table1[[#This Row],[SeD]]&lt;-2,Table1[[#This Row],[Winning Seed]]&amp; " over " &amp;Table1[[#This Row],[Losing Seed]],"")</f>
        <v/>
      </c>
      <c r="Q462">
        <f>VLOOKUP(Table1[[#This Row],[Losing Seed]],'Seed History'!$N$4:$O$19,2)</f>
        <v>0.16666666666666666</v>
      </c>
      <c r="R462" s="1">
        <f>IF(Table1[[#This Row],[Round]]="PI",0,Table1[[#This Row],[Round]]-1)</f>
        <v>0</v>
      </c>
      <c r="S462">
        <f>Table1[[#This Row],[LAW]]-Table1[[#This Row],[LEW]]</f>
        <v>-0.16666666666666666</v>
      </c>
    </row>
    <row r="463" spans="1:19" x14ac:dyDescent="0.25">
      <c r="A463" s="66">
        <v>33683</v>
      </c>
      <c r="B463" s="51">
        <f>YEAR(Table1[[#This Row],[Date]])</f>
        <v>1992</v>
      </c>
      <c r="C463" s="1">
        <v>1</v>
      </c>
      <c r="D463" t="s">
        <v>49</v>
      </c>
      <c r="E463" s="1">
        <v>6</v>
      </c>
      <c r="F463" t="s">
        <v>86</v>
      </c>
      <c r="G463" t="str">
        <f>VLOOKUP(Table1[[#This Row],[Winner]],Ranking!C:D,2,FALSE)</f>
        <v>ACC</v>
      </c>
      <c r="H463" s="1">
        <v>51</v>
      </c>
      <c r="I463" s="1">
        <v>11</v>
      </c>
      <c r="J463" t="s">
        <v>91</v>
      </c>
      <c r="K463" t="str">
        <f>VLOOKUP(Table1[[#This Row],[Loser]],Ranking!C:D,2,FALSE)</f>
        <v>Ivy</v>
      </c>
      <c r="L463" s="1">
        <v>43</v>
      </c>
      <c r="N463" s="1">
        <f>Table1[[#This Row],[Winning Score]]-Table1[[#This Row],[Losing Score]]</f>
        <v>8</v>
      </c>
      <c r="O463" s="1">
        <f>Table1[[#This Row],[Losing Seed]]-Table1[[#This Row],[Winning Seed]]</f>
        <v>5</v>
      </c>
      <c r="P463" s="1" t="str">
        <f>IF(Table1[[#This Row],[SeD]]&lt;-2,Table1[[#This Row],[Winning Seed]]&amp; " over " &amp;Table1[[#This Row],[Losing Seed]],"")</f>
        <v/>
      </c>
      <c r="Q463">
        <f>VLOOKUP(Table1[[#This Row],[Losing Seed]],'Seed History'!$N$4:$O$19,2)</f>
        <v>0.63194444444444442</v>
      </c>
      <c r="R463" s="1">
        <f>IF(Table1[[#This Row],[Round]]="PI",0,Table1[[#This Row],[Round]]-1)</f>
        <v>0</v>
      </c>
      <c r="S463">
        <f>Table1[[#This Row],[LAW]]-Table1[[#This Row],[LEW]]</f>
        <v>-0.63194444444444442</v>
      </c>
    </row>
    <row r="464" spans="1:19" x14ac:dyDescent="0.25">
      <c r="A464" s="66">
        <v>33683</v>
      </c>
      <c r="B464" s="51">
        <f>YEAR(Table1[[#This Row],[Date]])</f>
        <v>1992</v>
      </c>
      <c r="C464" s="1">
        <v>1</v>
      </c>
      <c r="D464" t="s">
        <v>439</v>
      </c>
      <c r="E464" s="1">
        <v>1</v>
      </c>
      <c r="F464" t="s">
        <v>37</v>
      </c>
      <c r="G464" t="str">
        <f>VLOOKUP(Table1[[#This Row],[Winner]],Ranking!C:D,2,FALSE)</f>
        <v>B12</v>
      </c>
      <c r="H464" s="1">
        <v>100</v>
      </c>
      <c r="I464" s="1">
        <v>16</v>
      </c>
      <c r="J464" t="s">
        <v>227</v>
      </c>
      <c r="K464" t="str">
        <f>VLOOKUP(Table1[[#This Row],[Loser]],Ranking!C:D,2,FALSE)</f>
        <v>MEAC</v>
      </c>
      <c r="L464" s="1">
        <v>67</v>
      </c>
      <c r="N464" s="1">
        <f>Table1[[#This Row],[Winning Score]]-Table1[[#This Row],[Losing Score]]</f>
        <v>33</v>
      </c>
      <c r="O464" s="1">
        <f>Table1[[#This Row],[Losing Seed]]-Table1[[#This Row],[Winning Seed]]</f>
        <v>15</v>
      </c>
      <c r="P464" s="1" t="str">
        <f>IF(Table1[[#This Row],[SeD]]&lt;-2,Table1[[#This Row],[Winning Seed]]&amp; " over " &amp;Table1[[#This Row],[Losing Seed]],"")</f>
        <v/>
      </c>
      <c r="Q464">
        <f>VLOOKUP(Table1[[#This Row],[Losing Seed]],'Seed History'!$N$4:$O$19,2)</f>
        <v>6.9444444444444441E-3</v>
      </c>
      <c r="R464" s="1">
        <f>IF(Table1[[#This Row],[Round]]="PI",0,Table1[[#This Row],[Round]]-1)</f>
        <v>0</v>
      </c>
      <c r="S464">
        <f>Table1[[#This Row],[LAW]]-Table1[[#This Row],[LEW]]</f>
        <v>-6.9444444444444441E-3</v>
      </c>
    </row>
    <row r="465" spans="1:19" x14ac:dyDescent="0.25">
      <c r="A465" s="66">
        <v>33683</v>
      </c>
      <c r="B465" s="51">
        <f>YEAR(Table1[[#This Row],[Date]])</f>
        <v>1992</v>
      </c>
      <c r="C465" s="1">
        <v>1</v>
      </c>
      <c r="D465" t="s">
        <v>439</v>
      </c>
      <c r="E465" s="1">
        <v>4</v>
      </c>
      <c r="F465" t="s">
        <v>28</v>
      </c>
      <c r="G465" t="str">
        <f>VLOOKUP(Table1[[#This Row],[Winner]],Ranking!C:D,2,FALSE)</f>
        <v>Amer</v>
      </c>
      <c r="H465" s="1">
        <v>85</v>
      </c>
      <c r="I465" s="1">
        <v>13</v>
      </c>
      <c r="J465" t="s">
        <v>182</v>
      </c>
      <c r="K465" t="str">
        <f>VLOOKUP(Table1[[#This Row],[Loser]],Ranking!C:D,2,FALSE)</f>
        <v>CAA</v>
      </c>
      <c r="L465" s="1">
        <v>47</v>
      </c>
      <c r="N465" s="1">
        <f>Table1[[#This Row],[Winning Score]]-Table1[[#This Row],[Losing Score]]</f>
        <v>38</v>
      </c>
      <c r="O465" s="1">
        <f>Table1[[#This Row],[Losing Seed]]-Table1[[#This Row],[Winning Seed]]</f>
        <v>9</v>
      </c>
      <c r="P465" s="1" t="str">
        <f>IF(Table1[[#This Row],[SeD]]&lt;-2,Table1[[#This Row],[Winning Seed]]&amp; " over " &amp;Table1[[#This Row],[Losing Seed]],"")</f>
        <v/>
      </c>
      <c r="Q465">
        <f>VLOOKUP(Table1[[#This Row],[Losing Seed]],'Seed History'!$N$4:$O$19,2)</f>
        <v>0.25694444444444442</v>
      </c>
      <c r="R465" s="1">
        <f>IF(Table1[[#This Row],[Round]]="PI",0,Table1[[#This Row],[Round]]-1)</f>
        <v>0</v>
      </c>
      <c r="S465">
        <f>Table1[[#This Row],[LAW]]-Table1[[#This Row],[LEW]]</f>
        <v>-0.25694444444444442</v>
      </c>
    </row>
    <row r="466" spans="1:19" x14ac:dyDescent="0.25">
      <c r="A466" s="66">
        <v>33683</v>
      </c>
      <c r="B466" s="51">
        <f>YEAR(Table1[[#This Row],[Date]])</f>
        <v>1992</v>
      </c>
      <c r="C466" s="1">
        <v>1</v>
      </c>
      <c r="D466" t="s">
        <v>439</v>
      </c>
      <c r="E466" s="1">
        <v>5</v>
      </c>
      <c r="F466" t="s">
        <v>271</v>
      </c>
      <c r="G466" t="str">
        <f>VLOOKUP(Table1[[#This Row],[Winner]],Ranking!C:D,2,FALSE)</f>
        <v>B10</v>
      </c>
      <c r="H466" s="1">
        <v>61</v>
      </c>
      <c r="I466" s="1">
        <v>12</v>
      </c>
      <c r="J466" t="s">
        <v>278</v>
      </c>
      <c r="K466" t="str">
        <f>VLOOKUP(Table1[[#This Row],[Loser]],Ranking!C:D,2,FALSE)</f>
        <v>MVC</v>
      </c>
      <c r="L466" s="1">
        <v>54</v>
      </c>
      <c r="N466" s="1">
        <f>Table1[[#This Row],[Winning Score]]-Table1[[#This Row],[Losing Score]]</f>
        <v>7</v>
      </c>
      <c r="O466" s="1">
        <f>Table1[[#This Row],[Losing Seed]]-Table1[[#This Row],[Winning Seed]]</f>
        <v>7</v>
      </c>
      <c r="P466" s="1" t="str">
        <f>IF(Table1[[#This Row],[SeD]]&lt;-2,Table1[[#This Row],[Winning Seed]]&amp; " over " &amp;Table1[[#This Row],[Losing Seed]],"")</f>
        <v/>
      </c>
      <c r="Q466">
        <f>VLOOKUP(Table1[[#This Row],[Losing Seed]],'Seed History'!$N$4:$O$19,2)</f>
        <v>0.52083333333333337</v>
      </c>
      <c r="R466" s="1">
        <f>IF(Table1[[#This Row],[Round]]="PI",0,Table1[[#This Row],[Round]]-1)</f>
        <v>0</v>
      </c>
      <c r="S466">
        <f>Table1[[#This Row],[LAW]]-Table1[[#This Row],[LEW]]</f>
        <v>-0.52083333333333337</v>
      </c>
    </row>
    <row r="467" spans="1:19" x14ac:dyDescent="0.25">
      <c r="A467" s="66">
        <v>33683</v>
      </c>
      <c r="B467" s="51">
        <f>YEAR(Table1[[#This Row],[Date]])</f>
        <v>1992</v>
      </c>
      <c r="C467" s="1">
        <v>1</v>
      </c>
      <c r="D467" t="s">
        <v>38</v>
      </c>
      <c r="E467" s="1">
        <v>12</v>
      </c>
      <c r="F467" t="s">
        <v>292</v>
      </c>
      <c r="G467" t="str">
        <f>VLOOKUP(Table1[[#This Row],[Winner]],Ranking!C:D,2,FALSE)</f>
        <v>WAC</v>
      </c>
      <c r="H467" s="1">
        <v>81</v>
      </c>
      <c r="I467" s="1">
        <v>5</v>
      </c>
      <c r="J467" t="s">
        <v>186</v>
      </c>
      <c r="K467" t="str">
        <f>VLOOKUP(Table1[[#This Row],[Loser]],Ranking!C:D,2,FALSE)</f>
        <v>BE</v>
      </c>
      <c r="L467" s="1">
        <v>73</v>
      </c>
      <c r="N467" s="1">
        <f>Table1[[#This Row],[Winning Score]]-Table1[[#This Row],[Losing Score]]</f>
        <v>8</v>
      </c>
      <c r="O467" s="1">
        <f>Table1[[#This Row],[Losing Seed]]-Table1[[#This Row],[Winning Seed]]</f>
        <v>-7</v>
      </c>
      <c r="P467" s="1" t="str">
        <f>IF(Table1[[#This Row],[SeD]]&lt;-2,Table1[[#This Row],[Winning Seed]]&amp; " over " &amp;Table1[[#This Row],[Losing Seed]],"")</f>
        <v>12 over 5</v>
      </c>
      <c r="Q467">
        <f>VLOOKUP(Table1[[#This Row],[Losing Seed]],'Seed History'!$N$4:$O$19,2)</f>
        <v>1.1180555555555556</v>
      </c>
      <c r="R467" s="1">
        <f>IF(Table1[[#This Row],[Round]]="PI",0,Table1[[#This Row],[Round]]-1)</f>
        <v>0</v>
      </c>
      <c r="S467">
        <f>Table1[[#This Row],[LAW]]-Table1[[#This Row],[LEW]]</f>
        <v>-1.1180555555555556</v>
      </c>
    </row>
    <row r="468" spans="1:19" x14ac:dyDescent="0.25">
      <c r="A468" s="66">
        <v>33683</v>
      </c>
      <c r="B468" s="51">
        <f>YEAR(Table1[[#This Row],[Date]])</f>
        <v>1992</v>
      </c>
      <c r="C468" s="1">
        <v>1</v>
      </c>
      <c r="D468" t="s">
        <v>461</v>
      </c>
      <c r="E468" s="1">
        <v>2</v>
      </c>
      <c r="F468" t="s">
        <v>316</v>
      </c>
      <c r="G468" t="str">
        <f>VLOOKUP(Table1[[#This Row],[Winner]],Ranking!C:D,2,FALSE)</f>
        <v>B12</v>
      </c>
      <c r="H468" s="1">
        <v>100</v>
      </c>
      <c r="I468" s="1">
        <v>15</v>
      </c>
      <c r="J468" t="s">
        <v>214</v>
      </c>
      <c r="K468" t="str">
        <f>VLOOKUP(Table1[[#This Row],[Loser]],Ranking!C:D,2,FALSE)</f>
        <v>SB</v>
      </c>
      <c r="L468" s="1">
        <v>73</v>
      </c>
      <c r="N468" s="1">
        <f>Table1[[#This Row],[Winning Score]]-Table1[[#This Row],[Losing Score]]</f>
        <v>27</v>
      </c>
      <c r="O468" s="1">
        <f>Table1[[#This Row],[Losing Seed]]-Table1[[#This Row],[Winning Seed]]</f>
        <v>13</v>
      </c>
      <c r="P468" s="1" t="str">
        <f>IF(Table1[[#This Row],[SeD]]&lt;-2,Table1[[#This Row],[Winning Seed]]&amp; " over " &amp;Table1[[#This Row],[Losing Seed]],"")</f>
        <v/>
      </c>
      <c r="Q468">
        <f>VLOOKUP(Table1[[#This Row],[Losing Seed]],'Seed History'!$N$4:$O$19,2)</f>
        <v>7.6388888888888895E-2</v>
      </c>
      <c r="R468" s="1">
        <f>IF(Table1[[#This Row],[Round]]="PI",0,Table1[[#This Row],[Round]]-1)</f>
        <v>0</v>
      </c>
      <c r="S468">
        <f>Table1[[#This Row],[LAW]]-Table1[[#This Row],[LEW]]</f>
        <v>-7.6388888888888895E-2</v>
      </c>
    </row>
    <row r="469" spans="1:19" x14ac:dyDescent="0.25">
      <c r="A469" s="66">
        <v>33683</v>
      </c>
      <c r="B469" s="51">
        <f>YEAR(Table1[[#This Row],[Date]])</f>
        <v>1992</v>
      </c>
      <c r="C469" s="1">
        <v>1</v>
      </c>
      <c r="D469" t="s">
        <v>461</v>
      </c>
      <c r="E469" s="1">
        <v>6</v>
      </c>
      <c r="F469" t="s">
        <v>82</v>
      </c>
      <c r="G469" t="str">
        <f>VLOOKUP(Table1[[#This Row],[Winner]],Ranking!C:D,2,FALSE)</f>
        <v>B10</v>
      </c>
      <c r="H469" s="1">
        <v>73</v>
      </c>
      <c r="I469" s="1">
        <v>11</v>
      </c>
      <c r="J469" t="s">
        <v>373</v>
      </c>
      <c r="K469" t="str">
        <f>VLOOKUP(Table1[[#This Row],[Loser]],Ranking!C:D,2,FALSE)</f>
        <v>Amer</v>
      </c>
      <c r="L469" s="1">
        <v>66</v>
      </c>
      <c r="N469" s="1">
        <f>Table1[[#This Row],[Winning Score]]-Table1[[#This Row],[Losing Score]]</f>
        <v>7</v>
      </c>
      <c r="O469" s="1">
        <f>Table1[[#This Row],[Losing Seed]]-Table1[[#This Row],[Winning Seed]]</f>
        <v>5</v>
      </c>
      <c r="P469" s="1" t="str">
        <f>IF(Table1[[#This Row],[SeD]]&lt;-2,Table1[[#This Row],[Winning Seed]]&amp; " over " &amp;Table1[[#This Row],[Losing Seed]],"")</f>
        <v/>
      </c>
      <c r="Q469">
        <f>VLOOKUP(Table1[[#This Row],[Losing Seed]],'Seed History'!$N$4:$O$19,2)</f>
        <v>0.63194444444444442</v>
      </c>
      <c r="R469" s="1">
        <f>IF(Table1[[#This Row],[Round]]="PI",0,Table1[[#This Row],[Round]]-1)</f>
        <v>0</v>
      </c>
      <c r="S469">
        <f>Table1[[#This Row],[LAW]]-Table1[[#This Row],[LEW]]</f>
        <v>-0.63194444444444442</v>
      </c>
    </row>
    <row r="470" spans="1:19" x14ac:dyDescent="0.25">
      <c r="A470" s="66">
        <v>33683</v>
      </c>
      <c r="B470" s="51">
        <f>YEAR(Table1[[#This Row],[Date]])</f>
        <v>1992</v>
      </c>
      <c r="C470" s="1">
        <v>1</v>
      </c>
      <c r="D470" t="s">
        <v>38</v>
      </c>
      <c r="E470" s="1">
        <v>1</v>
      </c>
      <c r="F470" t="s">
        <v>67</v>
      </c>
      <c r="G470" t="str">
        <f>VLOOKUP(Table1[[#This Row],[Winner]],Ranking!C:D,2,FALSE)</f>
        <v>P12</v>
      </c>
      <c r="H470" s="1">
        <v>73</v>
      </c>
      <c r="I470" s="1">
        <v>16</v>
      </c>
      <c r="J470" t="s">
        <v>333</v>
      </c>
      <c r="K470" t="str">
        <f>VLOOKUP(Table1[[#This Row],[Loser]],Ranking!C:D,2,FALSE)</f>
        <v>Horz</v>
      </c>
      <c r="L470" s="1">
        <v>53</v>
      </c>
      <c r="N470" s="1">
        <f>Table1[[#This Row],[Winning Score]]-Table1[[#This Row],[Losing Score]]</f>
        <v>20</v>
      </c>
      <c r="O470" s="1">
        <f>Table1[[#This Row],[Losing Seed]]-Table1[[#This Row],[Winning Seed]]</f>
        <v>15</v>
      </c>
      <c r="P470" s="1" t="str">
        <f>IF(Table1[[#This Row],[SeD]]&lt;-2,Table1[[#This Row],[Winning Seed]]&amp; " over " &amp;Table1[[#This Row],[Losing Seed]],"")</f>
        <v/>
      </c>
      <c r="Q470">
        <f>VLOOKUP(Table1[[#This Row],[Losing Seed]],'Seed History'!$N$4:$O$19,2)</f>
        <v>6.9444444444444441E-3</v>
      </c>
      <c r="R470" s="1">
        <f>IF(Table1[[#This Row],[Round]]="PI",0,Table1[[#This Row],[Round]]-1)</f>
        <v>0</v>
      </c>
      <c r="S470">
        <f>Table1[[#This Row],[LAW]]-Table1[[#This Row],[LEW]]</f>
        <v>-6.9444444444444441E-3</v>
      </c>
    </row>
    <row r="471" spans="1:19" x14ac:dyDescent="0.25">
      <c r="A471" s="66">
        <v>33683</v>
      </c>
      <c r="B471" s="51">
        <f>YEAR(Table1[[#This Row],[Date]])</f>
        <v>1992</v>
      </c>
      <c r="C471" s="1">
        <v>1</v>
      </c>
      <c r="D471" t="s">
        <v>38</v>
      </c>
      <c r="E471" s="1">
        <v>8</v>
      </c>
      <c r="F471" t="s">
        <v>54</v>
      </c>
      <c r="G471" t="str">
        <f>VLOOKUP(Table1[[#This Row],[Winner]],Ranking!C:D,2,FALSE)</f>
        <v>ACC</v>
      </c>
      <c r="H471" s="1">
        <v>81</v>
      </c>
      <c r="I471" s="1">
        <v>9</v>
      </c>
      <c r="J471" t="s">
        <v>408</v>
      </c>
      <c r="K471" t="str">
        <f>VLOOKUP(Table1[[#This Row],[Loser]],Ranking!C:D,2,FALSE)</f>
        <v>ACC</v>
      </c>
      <c r="L471" s="1">
        <v>58</v>
      </c>
      <c r="N471" s="1">
        <f>Table1[[#This Row],[Winning Score]]-Table1[[#This Row],[Losing Score]]</f>
        <v>23</v>
      </c>
      <c r="O471" s="1">
        <f>Table1[[#This Row],[Losing Seed]]-Table1[[#This Row],[Winning Seed]]</f>
        <v>1</v>
      </c>
      <c r="P471" s="1" t="str">
        <f>IF(Table1[[#This Row],[SeD]]&lt;-2,Table1[[#This Row],[Winning Seed]]&amp; " over " &amp;Table1[[#This Row],[Losing Seed]],"")</f>
        <v/>
      </c>
      <c r="Q471">
        <f>VLOOKUP(Table1[[#This Row],[Losing Seed]],'Seed History'!$N$4:$O$19,2)</f>
        <v>0.59027777777777779</v>
      </c>
      <c r="R471" s="1">
        <f>IF(Table1[[#This Row],[Round]]="PI",0,Table1[[#This Row],[Round]]-1)</f>
        <v>0</v>
      </c>
      <c r="S471">
        <f>Table1[[#This Row],[LAW]]-Table1[[#This Row],[LEW]]</f>
        <v>-0.59027777777777779</v>
      </c>
    </row>
    <row r="472" spans="1:19" x14ac:dyDescent="0.25">
      <c r="A472" s="66">
        <v>33683</v>
      </c>
      <c r="B472" s="51">
        <f>YEAR(Table1[[#This Row],[Date]])</f>
        <v>1992</v>
      </c>
      <c r="C472" s="1">
        <v>1</v>
      </c>
      <c r="D472" t="s">
        <v>49</v>
      </c>
      <c r="E472" s="1">
        <v>10</v>
      </c>
      <c r="F472" t="s">
        <v>237</v>
      </c>
      <c r="G472" t="str">
        <f>VLOOKUP(Table1[[#This Row],[Winner]],Ranking!C:D,2,FALSE)</f>
        <v>B12</v>
      </c>
      <c r="H472" s="1">
        <v>76</v>
      </c>
      <c r="I472" s="1">
        <v>7</v>
      </c>
      <c r="J472" t="s">
        <v>165</v>
      </c>
      <c r="K472" t="str">
        <f>VLOOKUP(Table1[[#This Row],[Loser]],Ranking!C:D,2,FALSE)</f>
        <v>CUSA</v>
      </c>
      <c r="L472" s="1">
        <v>74</v>
      </c>
      <c r="N472" s="1">
        <f>Table1[[#This Row],[Winning Score]]-Table1[[#This Row],[Losing Score]]</f>
        <v>2</v>
      </c>
      <c r="O472" s="1">
        <f>Table1[[#This Row],[Losing Seed]]-Table1[[#This Row],[Winning Seed]]</f>
        <v>-3</v>
      </c>
      <c r="P472" s="1" t="str">
        <f>IF(Table1[[#This Row],[SeD]]&lt;-2,Table1[[#This Row],[Winning Seed]]&amp; " over " &amp;Table1[[#This Row],[Losing Seed]],"")</f>
        <v>10 over 7</v>
      </c>
      <c r="Q472">
        <f>VLOOKUP(Table1[[#This Row],[Losing Seed]],'Seed History'!$N$4:$O$19,2)</f>
        <v>0.90277777777777779</v>
      </c>
      <c r="R472" s="1">
        <f>IF(Table1[[#This Row],[Round]]="PI",0,Table1[[#This Row],[Round]]-1)</f>
        <v>0</v>
      </c>
      <c r="S472">
        <f>Table1[[#This Row],[LAW]]-Table1[[#This Row],[LEW]]</f>
        <v>-0.90277777777777779</v>
      </c>
    </row>
    <row r="473" spans="1:19" x14ac:dyDescent="0.25">
      <c r="A473" s="66">
        <v>33683</v>
      </c>
      <c r="B473" s="51">
        <f>YEAR(Table1[[#This Row],[Date]])</f>
        <v>1992</v>
      </c>
      <c r="C473" s="1">
        <v>1</v>
      </c>
      <c r="D473" t="s">
        <v>461</v>
      </c>
      <c r="E473" s="1">
        <v>10</v>
      </c>
      <c r="F473" t="s">
        <v>385</v>
      </c>
      <c r="G473" t="str">
        <f>VLOOKUP(Table1[[#This Row],[Winner]],Ranking!C:D,2,FALSE)</f>
        <v>Amer</v>
      </c>
      <c r="H473" s="1">
        <v>61</v>
      </c>
      <c r="I473" s="1">
        <v>7</v>
      </c>
      <c r="J473" t="s">
        <v>368</v>
      </c>
      <c r="K473" t="str">
        <f>VLOOKUP(Table1[[#This Row],[Loser]],Ranking!C:D,2,FALSE)</f>
        <v>BE</v>
      </c>
      <c r="L473" s="1">
        <v>57</v>
      </c>
      <c r="N473" s="1">
        <f>Table1[[#This Row],[Winning Score]]-Table1[[#This Row],[Losing Score]]</f>
        <v>4</v>
      </c>
      <c r="O473" s="1">
        <f>Table1[[#This Row],[Losing Seed]]-Table1[[#This Row],[Winning Seed]]</f>
        <v>-3</v>
      </c>
      <c r="P473" s="1" t="str">
        <f>IF(Table1[[#This Row],[SeD]]&lt;-2,Table1[[#This Row],[Winning Seed]]&amp; " over " &amp;Table1[[#This Row],[Losing Seed]],"")</f>
        <v>10 over 7</v>
      </c>
      <c r="Q473">
        <f>VLOOKUP(Table1[[#This Row],[Losing Seed]],'Seed History'!$N$4:$O$19,2)</f>
        <v>0.90277777777777779</v>
      </c>
      <c r="R473" s="1">
        <f>IF(Table1[[#This Row],[Round]]="PI",0,Table1[[#This Row],[Round]]-1)</f>
        <v>0</v>
      </c>
      <c r="S473">
        <f>Table1[[#This Row],[LAW]]-Table1[[#This Row],[LEW]]</f>
        <v>-0.90277777777777779</v>
      </c>
    </row>
    <row r="474" spans="1:19" x14ac:dyDescent="0.25">
      <c r="A474" s="66">
        <v>33683</v>
      </c>
      <c r="B474" s="51">
        <f>YEAR(Table1[[#This Row],[Date]])</f>
        <v>1992</v>
      </c>
      <c r="C474" s="1">
        <v>1</v>
      </c>
      <c r="D474" t="s">
        <v>439</v>
      </c>
      <c r="E474" s="1">
        <v>9</v>
      </c>
      <c r="F474" t="s">
        <v>402</v>
      </c>
      <c r="G474" t="str">
        <f>VLOOKUP(Table1[[#This Row],[Winner]],Ranking!C:D,2,FALSE)</f>
        <v>CUSA</v>
      </c>
      <c r="H474" s="1">
        <v>55</v>
      </c>
      <c r="I474" s="1">
        <v>8</v>
      </c>
      <c r="J474" t="s">
        <v>199</v>
      </c>
      <c r="K474" t="str">
        <f>VLOOKUP(Table1[[#This Row],[Loser]],Ranking!C:D,2,FALSE)</f>
        <v>MVC</v>
      </c>
      <c r="L474" s="1">
        <v>50</v>
      </c>
      <c r="N474" s="1">
        <f>Table1[[#This Row],[Winning Score]]-Table1[[#This Row],[Losing Score]]</f>
        <v>5</v>
      </c>
      <c r="O474" s="1">
        <f>Table1[[#This Row],[Losing Seed]]-Table1[[#This Row],[Winning Seed]]</f>
        <v>-1</v>
      </c>
      <c r="P474" s="1" t="str">
        <f>IF(Table1[[#This Row],[SeD]]&lt;-2,Table1[[#This Row],[Winning Seed]]&amp; " over " &amp;Table1[[#This Row],[Losing Seed]],"")</f>
        <v/>
      </c>
      <c r="Q474">
        <f>VLOOKUP(Table1[[#This Row],[Losing Seed]],'Seed History'!$N$4:$O$19,2)</f>
        <v>0.70833333333333337</v>
      </c>
      <c r="R474" s="1">
        <f>IF(Table1[[#This Row],[Round]]="PI",0,Table1[[#This Row],[Round]]-1)</f>
        <v>0</v>
      </c>
      <c r="S474">
        <f>Table1[[#This Row],[LAW]]-Table1[[#This Row],[LEW]]</f>
        <v>-0.70833333333333337</v>
      </c>
    </row>
    <row r="475" spans="1:19" x14ac:dyDescent="0.25">
      <c r="A475" s="66">
        <v>33684</v>
      </c>
      <c r="B475" s="51">
        <f>YEAR(Table1[[#This Row],[Date]])</f>
        <v>1992</v>
      </c>
      <c r="C475" s="1">
        <v>2</v>
      </c>
      <c r="D475" t="s">
        <v>49</v>
      </c>
      <c r="E475" s="1">
        <v>1</v>
      </c>
      <c r="F475" t="s">
        <v>64</v>
      </c>
      <c r="G475" t="str">
        <f>VLOOKUP(Table1[[#This Row],[Winner]],Ranking!C:D,2,FALSE)</f>
        <v>ACC</v>
      </c>
      <c r="H475" s="1">
        <v>75</v>
      </c>
      <c r="I475" s="1">
        <v>9</v>
      </c>
      <c r="J475" t="s">
        <v>69</v>
      </c>
      <c r="K475" t="str">
        <f>VLOOKUP(Table1[[#This Row],[Loser]],Ranking!C:D,2,FALSE)</f>
        <v>B10</v>
      </c>
      <c r="L475" s="1">
        <v>62</v>
      </c>
      <c r="N475" s="1">
        <f>Table1[[#This Row],[Winning Score]]-Table1[[#This Row],[Losing Score]]</f>
        <v>13</v>
      </c>
      <c r="O475" s="1">
        <f>Table1[[#This Row],[Losing Seed]]-Table1[[#This Row],[Winning Seed]]</f>
        <v>8</v>
      </c>
      <c r="P475" s="1" t="str">
        <f>IF(Table1[[#This Row],[SeD]]&lt;-2,Table1[[#This Row],[Winning Seed]]&amp; " over " &amp;Table1[[#This Row],[Losing Seed]],"")</f>
        <v/>
      </c>
      <c r="Q475">
        <f>VLOOKUP(Table1[[#This Row],[Losing Seed]],'Seed History'!$N$4:$O$19,2)</f>
        <v>0.59027777777777779</v>
      </c>
      <c r="R475" s="1">
        <f>IF(Table1[[#This Row],[Round]]="PI",0,Table1[[#This Row],[Round]]-1)</f>
        <v>1</v>
      </c>
      <c r="S475">
        <f>Table1[[#This Row],[LAW]]-Table1[[#This Row],[LEW]]</f>
        <v>0.40972222222222221</v>
      </c>
    </row>
    <row r="476" spans="1:19" x14ac:dyDescent="0.25">
      <c r="A476" s="66">
        <v>33684</v>
      </c>
      <c r="B476" s="51">
        <f>YEAR(Table1[[#This Row],[Date]])</f>
        <v>1992</v>
      </c>
      <c r="C476" s="1">
        <v>2</v>
      </c>
      <c r="D476" t="s">
        <v>49</v>
      </c>
      <c r="E476" s="1">
        <v>4</v>
      </c>
      <c r="F476" t="s">
        <v>87</v>
      </c>
      <c r="G476" t="str">
        <f>VLOOKUP(Table1[[#This Row],[Winner]],Ranking!C:D,2,FALSE)</f>
        <v>BE</v>
      </c>
      <c r="H476" s="1">
        <v>88</v>
      </c>
      <c r="I476" s="1">
        <v>5</v>
      </c>
      <c r="J476" t="s">
        <v>277</v>
      </c>
      <c r="K476" t="str">
        <f>VLOOKUP(Table1[[#This Row],[Loser]],Ranking!C:D,2,FALSE)</f>
        <v>SEC</v>
      </c>
      <c r="L476" s="1">
        <v>71</v>
      </c>
      <c r="N476" s="1">
        <f>Table1[[#This Row],[Winning Score]]-Table1[[#This Row],[Losing Score]]</f>
        <v>17</v>
      </c>
      <c r="O476" s="1">
        <f>Table1[[#This Row],[Losing Seed]]-Table1[[#This Row],[Winning Seed]]</f>
        <v>1</v>
      </c>
      <c r="P476" s="1" t="str">
        <f>IF(Table1[[#This Row],[SeD]]&lt;-2,Table1[[#This Row],[Winning Seed]]&amp; " over " &amp;Table1[[#This Row],[Losing Seed]],"")</f>
        <v/>
      </c>
      <c r="Q476">
        <f>VLOOKUP(Table1[[#This Row],[Losing Seed]],'Seed History'!$N$4:$O$19,2)</f>
        <v>1.1180555555555556</v>
      </c>
      <c r="R476" s="1">
        <f>IF(Table1[[#This Row],[Round]]="PI",0,Table1[[#This Row],[Round]]-1)</f>
        <v>1</v>
      </c>
      <c r="S476">
        <f>Table1[[#This Row],[LAW]]-Table1[[#This Row],[LEW]]</f>
        <v>-0.11805555555555558</v>
      </c>
    </row>
    <row r="477" spans="1:19" x14ac:dyDescent="0.25">
      <c r="A477" s="66">
        <v>33684</v>
      </c>
      <c r="B477" s="51">
        <f>YEAR(Table1[[#This Row],[Date]])</f>
        <v>1992</v>
      </c>
      <c r="C477" s="1">
        <v>2</v>
      </c>
      <c r="D477" t="s">
        <v>461</v>
      </c>
      <c r="E477" s="1">
        <v>1</v>
      </c>
      <c r="F477" t="s">
        <v>315</v>
      </c>
      <c r="G477" t="str">
        <f>VLOOKUP(Table1[[#This Row],[Winner]],Ranking!C:D,2,FALSE)</f>
        <v>B10</v>
      </c>
      <c r="H477" s="1">
        <v>78</v>
      </c>
      <c r="I477" s="1">
        <v>9</v>
      </c>
      <c r="J477" t="s">
        <v>80</v>
      </c>
      <c r="K477" t="str">
        <f>VLOOKUP(Table1[[#This Row],[Loser]],Ranking!C:D,2,FALSE)</f>
        <v>BE</v>
      </c>
      <c r="L477" s="1">
        <v>55</v>
      </c>
      <c r="N477" s="1">
        <f>Table1[[#This Row],[Winning Score]]-Table1[[#This Row],[Losing Score]]</f>
        <v>23</v>
      </c>
      <c r="O477" s="1">
        <f>Table1[[#This Row],[Losing Seed]]-Table1[[#This Row],[Winning Seed]]</f>
        <v>8</v>
      </c>
      <c r="P477" s="1" t="str">
        <f>IF(Table1[[#This Row],[SeD]]&lt;-2,Table1[[#This Row],[Winning Seed]]&amp; " over " &amp;Table1[[#This Row],[Losing Seed]],"")</f>
        <v/>
      </c>
      <c r="Q477">
        <f>VLOOKUP(Table1[[#This Row],[Losing Seed]],'Seed History'!$N$4:$O$19,2)</f>
        <v>0.59027777777777779</v>
      </c>
      <c r="R477" s="1">
        <f>IF(Table1[[#This Row],[Round]]="PI",0,Table1[[#This Row],[Round]]-1)</f>
        <v>1</v>
      </c>
      <c r="S477">
        <f>Table1[[#This Row],[LAW]]-Table1[[#This Row],[LEW]]</f>
        <v>0.40972222222222221</v>
      </c>
    </row>
    <row r="478" spans="1:19" x14ac:dyDescent="0.25">
      <c r="A478" s="66">
        <v>33684</v>
      </c>
      <c r="B478" s="51">
        <f>YEAR(Table1[[#This Row],[Date]])</f>
        <v>1992</v>
      </c>
      <c r="C478" s="1">
        <v>2</v>
      </c>
      <c r="D478" t="s">
        <v>461</v>
      </c>
      <c r="E478" s="1">
        <v>4</v>
      </c>
      <c r="F478" t="s">
        <v>298</v>
      </c>
      <c r="G478" t="str">
        <f>VLOOKUP(Table1[[#This Row],[Winner]],Ranking!C:D,2,FALSE)</f>
        <v>ACC</v>
      </c>
      <c r="H478" s="1">
        <v>64</v>
      </c>
      <c r="I478" s="1">
        <v>5</v>
      </c>
      <c r="J478" t="s">
        <v>113</v>
      </c>
      <c r="K478" t="str">
        <f>VLOOKUP(Table1[[#This Row],[Loser]],Ranking!C:D,2,FALSE)</f>
        <v>SEC</v>
      </c>
      <c r="L478" s="1">
        <v>55</v>
      </c>
      <c r="N478" s="1">
        <f>Table1[[#This Row],[Winning Score]]-Table1[[#This Row],[Losing Score]]</f>
        <v>9</v>
      </c>
      <c r="O478" s="1">
        <f>Table1[[#This Row],[Losing Seed]]-Table1[[#This Row],[Winning Seed]]</f>
        <v>1</v>
      </c>
      <c r="P478" s="1" t="str">
        <f>IF(Table1[[#This Row],[SeD]]&lt;-2,Table1[[#This Row],[Winning Seed]]&amp; " over " &amp;Table1[[#This Row],[Losing Seed]],"")</f>
        <v/>
      </c>
      <c r="Q478">
        <f>VLOOKUP(Table1[[#This Row],[Losing Seed]],'Seed History'!$N$4:$O$19,2)</f>
        <v>1.1180555555555556</v>
      </c>
      <c r="R478" s="1">
        <f>IF(Table1[[#This Row],[Round]]="PI",0,Table1[[#This Row],[Round]]-1)</f>
        <v>1</v>
      </c>
      <c r="S478">
        <f>Table1[[#This Row],[LAW]]-Table1[[#This Row],[LEW]]</f>
        <v>-0.11805555555555558</v>
      </c>
    </row>
    <row r="479" spans="1:19" x14ac:dyDescent="0.25">
      <c r="A479" s="66">
        <v>33684</v>
      </c>
      <c r="B479" s="51">
        <f>YEAR(Table1[[#This Row],[Date]])</f>
        <v>1992</v>
      </c>
      <c r="C479" s="1">
        <v>2</v>
      </c>
      <c r="D479" t="s">
        <v>38</v>
      </c>
      <c r="E479" s="1">
        <v>2</v>
      </c>
      <c r="F479" t="s">
        <v>36</v>
      </c>
      <c r="G479" t="str">
        <f>VLOOKUP(Table1[[#This Row],[Winner]],Ranking!C:D,2,FALSE)</f>
        <v>B10</v>
      </c>
      <c r="H479" s="1">
        <v>89</v>
      </c>
      <c r="I479" s="1">
        <v>7</v>
      </c>
      <c r="J479" t="s">
        <v>52</v>
      </c>
      <c r="K479" t="str">
        <f>VLOOKUP(Table1[[#This Row],[Loser]],Ranking!C:D,2,FALSE)</f>
        <v>SEC</v>
      </c>
      <c r="L479" s="1">
        <v>79</v>
      </c>
      <c r="N479" s="1">
        <f>Table1[[#This Row],[Winning Score]]-Table1[[#This Row],[Losing Score]]</f>
        <v>10</v>
      </c>
      <c r="O479" s="1">
        <f>Table1[[#This Row],[Losing Seed]]-Table1[[#This Row],[Winning Seed]]</f>
        <v>5</v>
      </c>
      <c r="P479" s="1" t="str">
        <f>IF(Table1[[#This Row],[SeD]]&lt;-2,Table1[[#This Row],[Winning Seed]]&amp; " over " &amp;Table1[[#This Row],[Losing Seed]],"")</f>
        <v/>
      </c>
      <c r="Q479">
        <f>VLOOKUP(Table1[[#This Row],[Losing Seed]],'Seed History'!$N$4:$O$19,2)</f>
        <v>0.90277777777777779</v>
      </c>
      <c r="R479" s="1">
        <f>IF(Table1[[#This Row],[Round]]="PI",0,Table1[[#This Row],[Round]]-1)</f>
        <v>1</v>
      </c>
      <c r="S479">
        <f>Table1[[#This Row],[LAW]]-Table1[[#This Row],[LEW]]</f>
        <v>9.722222222222221E-2</v>
      </c>
    </row>
    <row r="480" spans="1:19" x14ac:dyDescent="0.25">
      <c r="A480" s="66">
        <v>33684</v>
      </c>
      <c r="B480" s="51">
        <f>YEAR(Table1[[#This Row],[Date]])</f>
        <v>1992</v>
      </c>
      <c r="C480" s="1">
        <v>2</v>
      </c>
      <c r="D480" t="s">
        <v>38</v>
      </c>
      <c r="E480" s="1">
        <v>3</v>
      </c>
      <c r="F480" t="s">
        <v>207</v>
      </c>
      <c r="G480" t="str">
        <f>VLOOKUP(Table1[[#This Row],[Winner]],Ranking!C:D,2,FALSE)</f>
        <v>ACC</v>
      </c>
      <c r="H480" s="1">
        <v>78</v>
      </c>
      <c r="I480" s="1">
        <v>6</v>
      </c>
      <c r="J480" t="s">
        <v>66</v>
      </c>
      <c r="K480" t="str">
        <f>VLOOKUP(Table1[[#This Row],[Loser]],Ranking!C:D,2,FALSE)</f>
        <v>BE</v>
      </c>
      <c r="L480" s="1">
        <v>68</v>
      </c>
      <c r="N480" s="1">
        <f>Table1[[#This Row],[Winning Score]]-Table1[[#This Row],[Losing Score]]</f>
        <v>10</v>
      </c>
      <c r="O480" s="1">
        <f>Table1[[#This Row],[Losing Seed]]-Table1[[#This Row],[Winning Seed]]</f>
        <v>3</v>
      </c>
      <c r="P480" s="1" t="str">
        <f>IF(Table1[[#This Row],[SeD]]&lt;-2,Table1[[#This Row],[Winning Seed]]&amp; " over " &amp;Table1[[#This Row],[Losing Seed]],"")</f>
        <v/>
      </c>
      <c r="Q480">
        <f>VLOOKUP(Table1[[#This Row],[Losing Seed]],'Seed History'!$N$4:$O$19,2)</f>
        <v>1.0625</v>
      </c>
      <c r="R480" s="1">
        <f>IF(Table1[[#This Row],[Round]]="PI",0,Table1[[#This Row],[Round]]-1)</f>
        <v>1</v>
      </c>
      <c r="S480">
        <f>Table1[[#This Row],[LAW]]-Table1[[#This Row],[LEW]]</f>
        <v>-6.25E-2</v>
      </c>
    </row>
    <row r="481" spans="1:19" x14ac:dyDescent="0.25">
      <c r="A481" s="66">
        <v>33684</v>
      </c>
      <c r="B481" s="51">
        <f>YEAR(Table1[[#This Row],[Date]])</f>
        <v>1992</v>
      </c>
      <c r="C481" s="1">
        <v>2</v>
      </c>
      <c r="D481" t="s">
        <v>439</v>
      </c>
      <c r="E481" s="1">
        <v>7</v>
      </c>
      <c r="F481" t="s">
        <v>216</v>
      </c>
      <c r="G481" t="str">
        <f>VLOOKUP(Table1[[#This Row],[Winner]],Ranking!C:D,2,FALSE)</f>
        <v>ACC</v>
      </c>
      <c r="H481" s="1">
        <v>79</v>
      </c>
      <c r="I481" s="1">
        <v>2</v>
      </c>
      <c r="J481" t="s">
        <v>85</v>
      </c>
      <c r="K481" t="str">
        <f>VLOOKUP(Table1[[#This Row],[Loser]],Ranking!C:D,2,FALSE)</f>
        <v>P12</v>
      </c>
      <c r="L481" s="1">
        <v>78</v>
      </c>
      <c r="N481" s="1">
        <f>Table1[[#This Row],[Winning Score]]-Table1[[#This Row],[Losing Score]]</f>
        <v>1</v>
      </c>
      <c r="O481" s="1">
        <f>Table1[[#This Row],[Losing Seed]]-Table1[[#This Row],[Winning Seed]]</f>
        <v>-5</v>
      </c>
      <c r="P481" s="1" t="str">
        <f>IF(Table1[[#This Row],[SeD]]&lt;-2,Table1[[#This Row],[Winning Seed]]&amp; " over " &amp;Table1[[#This Row],[Losing Seed]],"")</f>
        <v>7 over 2</v>
      </c>
      <c r="Q481">
        <f>VLOOKUP(Table1[[#This Row],[Losing Seed]],'Seed History'!$N$4:$O$19,2)</f>
        <v>2.3472222222222223</v>
      </c>
      <c r="R481" s="1">
        <f>IF(Table1[[#This Row],[Round]]="PI",0,Table1[[#This Row],[Round]]-1)</f>
        <v>1</v>
      </c>
      <c r="S481">
        <f>Table1[[#This Row],[LAW]]-Table1[[#This Row],[LEW]]</f>
        <v>-1.3472222222222223</v>
      </c>
    </row>
    <row r="482" spans="1:19" x14ac:dyDescent="0.25">
      <c r="A482" s="66">
        <v>33684</v>
      </c>
      <c r="B482" s="51">
        <f>YEAR(Table1[[#This Row],[Date]])</f>
        <v>1992</v>
      </c>
      <c r="C482" s="1">
        <v>2</v>
      </c>
      <c r="D482" t="s">
        <v>439</v>
      </c>
      <c r="E482" s="1">
        <v>6</v>
      </c>
      <c r="F482" t="s">
        <v>267</v>
      </c>
      <c r="G482" t="str">
        <f>VLOOKUP(Table1[[#This Row],[Winner]],Ranking!C:D,2,FALSE)</f>
        <v>Amer</v>
      </c>
      <c r="H482" s="1">
        <v>82</v>
      </c>
      <c r="I482" s="1">
        <v>3</v>
      </c>
      <c r="J482" t="s">
        <v>41</v>
      </c>
      <c r="K482" t="str">
        <f>VLOOKUP(Table1[[#This Row],[Loser]],Ranking!C:D,2,FALSE)</f>
        <v>SEC</v>
      </c>
      <c r="L482" s="1">
        <v>80</v>
      </c>
      <c r="N482" s="1">
        <f>Table1[[#This Row],[Winning Score]]-Table1[[#This Row],[Losing Score]]</f>
        <v>2</v>
      </c>
      <c r="O482" s="1">
        <f>Table1[[#This Row],[Losing Seed]]-Table1[[#This Row],[Winning Seed]]</f>
        <v>-3</v>
      </c>
      <c r="P482" s="1" t="str">
        <f>IF(Table1[[#This Row],[SeD]]&lt;-2,Table1[[#This Row],[Winning Seed]]&amp; " over " &amp;Table1[[#This Row],[Losing Seed]],"")</f>
        <v>6 over 3</v>
      </c>
      <c r="Q482">
        <f>VLOOKUP(Table1[[#This Row],[Losing Seed]],'Seed History'!$N$4:$O$19,2)</f>
        <v>1.8472222222222223</v>
      </c>
      <c r="R482" s="1">
        <f>IF(Table1[[#This Row],[Round]]="PI",0,Table1[[#This Row],[Round]]-1)</f>
        <v>1</v>
      </c>
      <c r="S482">
        <f>Table1[[#This Row],[LAW]]-Table1[[#This Row],[LEW]]</f>
        <v>-0.84722222222222232</v>
      </c>
    </row>
    <row r="483" spans="1:19" x14ac:dyDescent="0.25">
      <c r="A483" s="66">
        <v>33685</v>
      </c>
      <c r="B483" s="51">
        <f>YEAR(Table1[[#This Row],[Date]])</f>
        <v>1992</v>
      </c>
      <c r="C483" s="1">
        <v>2</v>
      </c>
      <c r="D483" t="s">
        <v>439</v>
      </c>
      <c r="E483" s="1">
        <v>9</v>
      </c>
      <c r="F483" t="s">
        <v>402</v>
      </c>
      <c r="G483" t="str">
        <f>VLOOKUP(Table1[[#This Row],[Winner]],Ranking!C:D,2,FALSE)</f>
        <v>CUSA</v>
      </c>
      <c r="H483" s="1">
        <v>66</v>
      </c>
      <c r="I483" s="1">
        <v>1</v>
      </c>
      <c r="J483" t="s">
        <v>37</v>
      </c>
      <c r="K483" t="str">
        <f>VLOOKUP(Table1[[#This Row],[Loser]],Ranking!C:D,2,FALSE)</f>
        <v>B12</v>
      </c>
      <c r="L483" s="1">
        <v>60</v>
      </c>
      <c r="N483" s="1">
        <f>Table1[[#This Row],[Winning Score]]-Table1[[#This Row],[Losing Score]]</f>
        <v>6</v>
      </c>
      <c r="O483" s="1">
        <f>Table1[[#This Row],[Losing Seed]]-Table1[[#This Row],[Winning Seed]]</f>
        <v>-8</v>
      </c>
      <c r="P483" s="1" t="str">
        <f>IF(Table1[[#This Row],[SeD]]&lt;-2,Table1[[#This Row],[Winning Seed]]&amp; " over " &amp;Table1[[#This Row],[Losing Seed]],"")</f>
        <v>9 over 1</v>
      </c>
      <c r="Q483">
        <f>VLOOKUP(Table1[[#This Row],[Losing Seed]],'Seed History'!$N$4:$O$19,2)</f>
        <v>3.3263888888888888</v>
      </c>
      <c r="R483" s="1">
        <f>IF(Table1[[#This Row],[Round]]="PI",0,Table1[[#This Row],[Round]]-1)</f>
        <v>1</v>
      </c>
      <c r="S483">
        <f>Table1[[#This Row],[LAW]]-Table1[[#This Row],[LEW]]</f>
        <v>-2.3263888888888888</v>
      </c>
    </row>
    <row r="484" spans="1:19" x14ac:dyDescent="0.25">
      <c r="A484" s="66">
        <v>33685</v>
      </c>
      <c r="B484" s="51">
        <f>YEAR(Table1[[#This Row],[Date]])</f>
        <v>1992</v>
      </c>
      <c r="C484" s="1">
        <v>2</v>
      </c>
      <c r="D484" t="s">
        <v>49</v>
      </c>
      <c r="E484" s="1">
        <v>2</v>
      </c>
      <c r="F484" t="s">
        <v>26</v>
      </c>
      <c r="G484" t="str">
        <f>VLOOKUP(Table1[[#This Row],[Winner]],Ranking!C:D,2,FALSE)</f>
        <v>SEC</v>
      </c>
      <c r="H484" s="1">
        <v>106</v>
      </c>
      <c r="I484" s="1">
        <v>10</v>
      </c>
      <c r="J484" t="s">
        <v>237</v>
      </c>
      <c r="K484" t="str">
        <f>VLOOKUP(Table1[[#This Row],[Loser]],Ranking!C:D,2,FALSE)</f>
        <v>B12</v>
      </c>
      <c r="L484" s="1">
        <v>98</v>
      </c>
      <c r="N484" s="1">
        <f>Table1[[#This Row],[Winning Score]]-Table1[[#This Row],[Losing Score]]</f>
        <v>8</v>
      </c>
      <c r="O484" s="1">
        <f>Table1[[#This Row],[Losing Seed]]-Table1[[#This Row],[Winning Seed]]</f>
        <v>8</v>
      </c>
      <c r="P484" s="1" t="str">
        <f>IF(Table1[[#This Row],[SeD]]&lt;-2,Table1[[#This Row],[Winning Seed]]&amp; " over " &amp;Table1[[#This Row],[Losing Seed]],"")</f>
        <v/>
      </c>
      <c r="Q484">
        <f>VLOOKUP(Table1[[#This Row],[Losing Seed]],'Seed History'!$N$4:$O$19,2)</f>
        <v>0.61805555555555558</v>
      </c>
      <c r="R484" s="1">
        <f>IF(Table1[[#This Row],[Round]]="PI",0,Table1[[#This Row],[Round]]-1)</f>
        <v>1</v>
      </c>
      <c r="S484">
        <f>Table1[[#This Row],[LAW]]-Table1[[#This Row],[LEW]]</f>
        <v>0.38194444444444442</v>
      </c>
    </row>
    <row r="485" spans="1:19" x14ac:dyDescent="0.25">
      <c r="A485" s="66">
        <v>33685</v>
      </c>
      <c r="B485" s="51">
        <f>YEAR(Table1[[#This Row],[Date]])</f>
        <v>1992</v>
      </c>
      <c r="C485" s="1">
        <v>2</v>
      </c>
      <c r="D485" t="s">
        <v>49</v>
      </c>
      <c r="E485" s="1">
        <v>3</v>
      </c>
      <c r="F485" t="s">
        <v>265</v>
      </c>
      <c r="G485" t="str">
        <f>VLOOKUP(Table1[[#This Row],[Winner]],Ranking!C:D,2,FALSE)</f>
        <v>A10</v>
      </c>
      <c r="H485" s="1">
        <v>77</v>
      </c>
      <c r="I485" s="1">
        <v>6</v>
      </c>
      <c r="J485" t="s">
        <v>86</v>
      </c>
      <c r="K485" t="str">
        <f>VLOOKUP(Table1[[#This Row],[Loser]],Ranking!C:D,2,FALSE)</f>
        <v>ACC</v>
      </c>
      <c r="L485" s="1">
        <v>71</v>
      </c>
      <c r="M485" s="1" t="s">
        <v>462</v>
      </c>
      <c r="N485" s="1">
        <f>Table1[[#This Row],[Winning Score]]-Table1[[#This Row],[Losing Score]]</f>
        <v>6</v>
      </c>
      <c r="O485" s="1">
        <f>Table1[[#This Row],[Losing Seed]]-Table1[[#This Row],[Winning Seed]]</f>
        <v>3</v>
      </c>
      <c r="P485" s="1" t="str">
        <f>IF(Table1[[#This Row],[SeD]]&lt;-2,Table1[[#This Row],[Winning Seed]]&amp; " over " &amp;Table1[[#This Row],[Losing Seed]],"")</f>
        <v/>
      </c>
      <c r="Q485">
        <f>VLOOKUP(Table1[[#This Row],[Losing Seed]],'Seed History'!$N$4:$O$19,2)</f>
        <v>1.0625</v>
      </c>
      <c r="R485" s="1">
        <f>IF(Table1[[#This Row],[Round]]="PI",0,Table1[[#This Row],[Round]]-1)</f>
        <v>1</v>
      </c>
      <c r="S485">
        <f>Table1[[#This Row],[LAW]]-Table1[[#This Row],[LEW]]</f>
        <v>-6.25E-2</v>
      </c>
    </row>
    <row r="486" spans="1:19" x14ac:dyDescent="0.25">
      <c r="A486" s="66">
        <v>33685</v>
      </c>
      <c r="B486" s="51">
        <f>YEAR(Table1[[#This Row],[Date]])</f>
        <v>1992</v>
      </c>
      <c r="C486" s="1">
        <v>2</v>
      </c>
      <c r="D486" t="s">
        <v>439</v>
      </c>
      <c r="E486" s="1">
        <v>4</v>
      </c>
      <c r="F486" t="s">
        <v>28</v>
      </c>
      <c r="G486" t="str">
        <f>VLOOKUP(Table1[[#This Row],[Winner]],Ranking!C:D,2,FALSE)</f>
        <v>Amer</v>
      </c>
      <c r="H486" s="1">
        <v>77</v>
      </c>
      <c r="I486" s="1">
        <v>5</v>
      </c>
      <c r="J486" t="s">
        <v>271</v>
      </c>
      <c r="K486" t="str">
        <f>VLOOKUP(Table1[[#This Row],[Loser]],Ranking!C:D,2,FALSE)</f>
        <v>B10</v>
      </c>
      <c r="L486" s="1">
        <v>65</v>
      </c>
      <c r="N486" s="1">
        <f>Table1[[#This Row],[Winning Score]]-Table1[[#This Row],[Losing Score]]</f>
        <v>12</v>
      </c>
      <c r="O486" s="1">
        <f>Table1[[#This Row],[Losing Seed]]-Table1[[#This Row],[Winning Seed]]</f>
        <v>1</v>
      </c>
      <c r="P486" s="1" t="str">
        <f>IF(Table1[[#This Row],[SeD]]&lt;-2,Table1[[#This Row],[Winning Seed]]&amp; " over " &amp;Table1[[#This Row],[Losing Seed]],"")</f>
        <v/>
      </c>
      <c r="Q486">
        <f>VLOOKUP(Table1[[#This Row],[Losing Seed]],'Seed History'!$N$4:$O$19,2)</f>
        <v>1.1180555555555556</v>
      </c>
      <c r="R486" s="1">
        <f>IF(Table1[[#This Row],[Round]]="PI",0,Table1[[#This Row],[Round]]-1)</f>
        <v>1</v>
      </c>
      <c r="S486">
        <f>Table1[[#This Row],[LAW]]-Table1[[#This Row],[LEW]]</f>
        <v>-0.11805555555555558</v>
      </c>
    </row>
    <row r="487" spans="1:19" x14ac:dyDescent="0.25">
      <c r="A487" s="66">
        <v>33685</v>
      </c>
      <c r="B487" s="51">
        <f>YEAR(Table1[[#This Row],[Date]])</f>
        <v>1992</v>
      </c>
      <c r="C487" s="1">
        <v>2</v>
      </c>
      <c r="D487" t="s">
        <v>461</v>
      </c>
      <c r="E487" s="1">
        <v>2</v>
      </c>
      <c r="F487" t="s">
        <v>316</v>
      </c>
      <c r="G487" t="str">
        <f>VLOOKUP(Table1[[#This Row],[Winner]],Ranking!C:D,2,FALSE)</f>
        <v>B12</v>
      </c>
      <c r="H487" s="1">
        <v>87</v>
      </c>
      <c r="I487" s="1">
        <v>10</v>
      </c>
      <c r="J487" t="s">
        <v>385</v>
      </c>
      <c r="K487" t="str">
        <f>VLOOKUP(Table1[[#This Row],[Loser]],Ranking!C:D,2,FALSE)</f>
        <v>Amer</v>
      </c>
      <c r="L487" s="1">
        <v>71</v>
      </c>
      <c r="N487" s="1">
        <f>Table1[[#This Row],[Winning Score]]-Table1[[#This Row],[Losing Score]]</f>
        <v>16</v>
      </c>
      <c r="O487" s="1">
        <f>Table1[[#This Row],[Losing Seed]]-Table1[[#This Row],[Winning Seed]]</f>
        <v>8</v>
      </c>
      <c r="P487" s="1" t="str">
        <f>IF(Table1[[#This Row],[SeD]]&lt;-2,Table1[[#This Row],[Winning Seed]]&amp; " over " &amp;Table1[[#This Row],[Losing Seed]],"")</f>
        <v/>
      </c>
      <c r="Q487">
        <f>VLOOKUP(Table1[[#This Row],[Losing Seed]],'Seed History'!$N$4:$O$19,2)</f>
        <v>0.61805555555555558</v>
      </c>
      <c r="R487" s="1">
        <f>IF(Table1[[#This Row],[Round]]="PI",0,Table1[[#This Row],[Round]]-1)</f>
        <v>1</v>
      </c>
      <c r="S487">
        <f>Table1[[#This Row],[LAW]]-Table1[[#This Row],[LEW]]</f>
        <v>0.38194444444444442</v>
      </c>
    </row>
    <row r="488" spans="1:19" x14ac:dyDescent="0.25">
      <c r="A488" s="66">
        <v>33685</v>
      </c>
      <c r="B488" s="51">
        <f>YEAR(Table1[[#This Row],[Date]])</f>
        <v>1992</v>
      </c>
      <c r="C488" s="1">
        <v>2</v>
      </c>
      <c r="D488" t="s">
        <v>461</v>
      </c>
      <c r="E488" s="1">
        <v>6</v>
      </c>
      <c r="F488" t="s">
        <v>82</v>
      </c>
      <c r="G488" t="str">
        <f>VLOOKUP(Table1[[#This Row],[Winner]],Ranking!C:D,2,FALSE)</f>
        <v>B10</v>
      </c>
      <c r="H488" s="1">
        <v>102</v>
      </c>
      <c r="I488" s="1">
        <v>14</v>
      </c>
      <c r="J488" t="s">
        <v>192</v>
      </c>
      <c r="K488" t="str">
        <f>VLOOKUP(Table1[[#This Row],[Loser]],Ranking!C:D,2,FALSE)</f>
        <v>SC</v>
      </c>
      <c r="L488" s="1">
        <v>90</v>
      </c>
      <c r="N488" s="1">
        <f>Table1[[#This Row],[Winning Score]]-Table1[[#This Row],[Losing Score]]</f>
        <v>12</v>
      </c>
      <c r="O488" s="1">
        <f>Table1[[#This Row],[Losing Seed]]-Table1[[#This Row],[Winning Seed]]</f>
        <v>8</v>
      </c>
      <c r="P488" s="1" t="str">
        <f>IF(Table1[[#This Row],[SeD]]&lt;-2,Table1[[#This Row],[Winning Seed]]&amp; " over " &amp;Table1[[#This Row],[Losing Seed]],"")</f>
        <v/>
      </c>
      <c r="Q488">
        <f>VLOOKUP(Table1[[#This Row],[Losing Seed]],'Seed History'!$N$4:$O$19,2)</f>
        <v>0.16666666666666666</v>
      </c>
      <c r="R488" s="1">
        <f>IF(Table1[[#This Row],[Round]]="PI",0,Table1[[#This Row],[Round]]-1)</f>
        <v>1</v>
      </c>
      <c r="S488">
        <f>Table1[[#This Row],[LAW]]-Table1[[#This Row],[LEW]]</f>
        <v>0.83333333333333337</v>
      </c>
    </row>
    <row r="489" spans="1:19" x14ac:dyDescent="0.25">
      <c r="A489" s="66">
        <v>33685</v>
      </c>
      <c r="B489" s="51">
        <f>YEAR(Table1[[#This Row],[Date]])</f>
        <v>1992</v>
      </c>
      <c r="C489" s="1">
        <v>2</v>
      </c>
      <c r="D489" t="s">
        <v>38</v>
      </c>
      <c r="E489" s="1">
        <v>1</v>
      </c>
      <c r="F489" t="s">
        <v>67</v>
      </c>
      <c r="G489" t="str">
        <f>VLOOKUP(Table1[[#This Row],[Winner]],Ranking!C:D,2,FALSE)</f>
        <v>P12</v>
      </c>
      <c r="H489" s="1">
        <v>85</v>
      </c>
      <c r="I489" s="1">
        <v>8</v>
      </c>
      <c r="J489" t="s">
        <v>54</v>
      </c>
      <c r="K489" t="str">
        <f>VLOOKUP(Table1[[#This Row],[Loser]],Ranking!C:D,2,FALSE)</f>
        <v>ACC</v>
      </c>
      <c r="L489" s="1">
        <v>69</v>
      </c>
      <c r="N489" s="1">
        <f>Table1[[#This Row],[Winning Score]]-Table1[[#This Row],[Losing Score]]</f>
        <v>16</v>
      </c>
      <c r="O489" s="1">
        <f>Table1[[#This Row],[Losing Seed]]-Table1[[#This Row],[Winning Seed]]</f>
        <v>7</v>
      </c>
      <c r="P489" s="1" t="str">
        <f>IF(Table1[[#This Row],[SeD]]&lt;-2,Table1[[#This Row],[Winning Seed]]&amp; " over " &amp;Table1[[#This Row],[Losing Seed]],"")</f>
        <v/>
      </c>
      <c r="Q489">
        <f>VLOOKUP(Table1[[#This Row],[Losing Seed]],'Seed History'!$N$4:$O$19,2)</f>
        <v>0.70833333333333337</v>
      </c>
      <c r="R489" s="1">
        <f>IF(Table1[[#This Row],[Round]]="PI",0,Table1[[#This Row],[Round]]-1)</f>
        <v>1</v>
      </c>
      <c r="S489">
        <f>Table1[[#This Row],[LAW]]-Table1[[#This Row],[LEW]]</f>
        <v>0.29166666666666663</v>
      </c>
    </row>
    <row r="490" spans="1:19" x14ac:dyDescent="0.25">
      <c r="A490" s="66">
        <v>33685</v>
      </c>
      <c r="B490" s="51">
        <f>YEAR(Table1[[#This Row],[Date]])</f>
        <v>1992</v>
      </c>
      <c r="C490" s="1">
        <v>2</v>
      </c>
      <c r="D490" t="s">
        <v>38</v>
      </c>
      <c r="E490" s="1">
        <v>12</v>
      </c>
      <c r="F490" t="s">
        <v>292</v>
      </c>
      <c r="G490" t="str">
        <f>VLOOKUP(Table1[[#This Row],[Winner]],Ranking!C:D,2,FALSE)</f>
        <v>WAC</v>
      </c>
      <c r="H490" s="1">
        <v>81</v>
      </c>
      <c r="I490" s="1">
        <v>13</v>
      </c>
      <c r="J490" t="s">
        <v>51</v>
      </c>
      <c r="K490" t="str">
        <f>VLOOKUP(Table1[[#This Row],[Loser]],Ranking!C:D,2,FALSE)</f>
        <v>Pat</v>
      </c>
      <c r="L490" s="1">
        <v>73</v>
      </c>
      <c r="N490" s="1">
        <f>Table1[[#This Row],[Winning Score]]-Table1[[#This Row],[Losing Score]]</f>
        <v>8</v>
      </c>
      <c r="O490" s="1">
        <f>Table1[[#This Row],[Losing Seed]]-Table1[[#This Row],[Winning Seed]]</f>
        <v>1</v>
      </c>
      <c r="P490" s="1" t="str">
        <f>IF(Table1[[#This Row],[SeD]]&lt;-2,Table1[[#This Row],[Winning Seed]]&amp; " over " &amp;Table1[[#This Row],[Losing Seed]],"")</f>
        <v/>
      </c>
      <c r="Q490">
        <f>VLOOKUP(Table1[[#This Row],[Losing Seed]],'Seed History'!$N$4:$O$19,2)</f>
        <v>0.25694444444444442</v>
      </c>
      <c r="R490" s="1">
        <f>IF(Table1[[#This Row],[Round]]="PI",0,Table1[[#This Row],[Round]]-1)</f>
        <v>1</v>
      </c>
      <c r="S490">
        <f>Table1[[#This Row],[LAW]]-Table1[[#This Row],[LEW]]</f>
        <v>0.74305555555555558</v>
      </c>
    </row>
    <row r="491" spans="1:19" x14ac:dyDescent="0.25">
      <c r="A491" s="66">
        <v>33689</v>
      </c>
      <c r="B491" s="51">
        <f>YEAR(Table1[[#This Row],[Date]])</f>
        <v>1992</v>
      </c>
      <c r="C491" s="1">
        <v>3</v>
      </c>
      <c r="D491" t="s">
        <v>49</v>
      </c>
      <c r="E491" s="1">
        <v>1</v>
      </c>
      <c r="F491" t="s">
        <v>64</v>
      </c>
      <c r="G491" t="str">
        <f>VLOOKUP(Table1[[#This Row],[Winner]],Ranking!C:D,2,FALSE)</f>
        <v>ACC</v>
      </c>
      <c r="H491" s="1">
        <v>81</v>
      </c>
      <c r="I491" s="1">
        <v>4</v>
      </c>
      <c r="J491" t="s">
        <v>87</v>
      </c>
      <c r="K491" t="str">
        <f>VLOOKUP(Table1[[#This Row],[Loser]],Ranking!C:D,2,FALSE)</f>
        <v>BE</v>
      </c>
      <c r="L491" s="1">
        <v>69</v>
      </c>
      <c r="N491" s="1">
        <f>Table1[[#This Row],[Winning Score]]-Table1[[#This Row],[Losing Score]]</f>
        <v>12</v>
      </c>
      <c r="O491" s="1">
        <f>Table1[[#This Row],[Losing Seed]]-Table1[[#This Row],[Winning Seed]]</f>
        <v>3</v>
      </c>
      <c r="P491" s="1" t="str">
        <f>IF(Table1[[#This Row],[SeD]]&lt;-2,Table1[[#This Row],[Winning Seed]]&amp; " over " &amp;Table1[[#This Row],[Losing Seed]],"")</f>
        <v/>
      </c>
      <c r="Q491">
        <f>VLOOKUP(Table1[[#This Row],[Losing Seed]],'Seed History'!$N$4:$O$19,2)</f>
        <v>1.5208333333333333</v>
      </c>
      <c r="R491" s="1">
        <f>IF(Table1[[#This Row],[Round]]="PI",0,Table1[[#This Row],[Round]]-1)</f>
        <v>2</v>
      </c>
      <c r="S491">
        <f>Table1[[#This Row],[LAW]]-Table1[[#This Row],[LEW]]</f>
        <v>0.47916666666666674</v>
      </c>
    </row>
    <row r="492" spans="1:19" x14ac:dyDescent="0.25">
      <c r="A492" s="66">
        <v>33689</v>
      </c>
      <c r="B492" s="51">
        <f>YEAR(Table1[[#This Row],[Date]])</f>
        <v>1992</v>
      </c>
      <c r="C492" s="1">
        <v>3</v>
      </c>
      <c r="D492" t="s">
        <v>49</v>
      </c>
      <c r="E492" s="1">
        <v>2</v>
      </c>
      <c r="F492" t="s">
        <v>26</v>
      </c>
      <c r="G492" t="str">
        <f>VLOOKUP(Table1[[#This Row],[Winner]],Ranking!C:D,2,FALSE)</f>
        <v>SEC</v>
      </c>
      <c r="H492" s="1">
        <v>87</v>
      </c>
      <c r="I492" s="1">
        <v>3</v>
      </c>
      <c r="J492" t="s">
        <v>265</v>
      </c>
      <c r="K492" t="str">
        <f>VLOOKUP(Table1[[#This Row],[Loser]],Ranking!C:D,2,FALSE)</f>
        <v>A10</v>
      </c>
      <c r="L492" s="1">
        <v>77</v>
      </c>
      <c r="N492" s="1">
        <f>Table1[[#This Row],[Winning Score]]-Table1[[#This Row],[Losing Score]]</f>
        <v>10</v>
      </c>
      <c r="O492" s="1">
        <f>Table1[[#This Row],[Losing Seed]]-Table1[[#This Row],[Winning Seed]]</f>
        <v>1</v>
      </c>
      <c r="P492" s="1" t="str">
        <f>IF(Table1[[#This Row],[SeD]]&lt;-2,Table1[[#This Row],[Winning Seed]]&amp; " over " &amp;Table1[[#This Row],[Losing Seed]],"")</f>
        <v/>
      </c>
      <c r="Q492">
        <f>VLOOKUP(Table1[[#This Row],[Losing Seed]],'Seed History'!$N$4:$O$19,2)</f>
        <v>1.8472222222222223</v>
      </c>
      <c r="R492" s="1">
        <f>IF(Table1[[#This Row],[Round]]="PI",0,Table1[[#This Row],[Round]]-1)</f>
        <v>2</v>
      </c>
      <c r="S492">
        <f>Table1[[#This Row],[LAW]]-Table1[[#This Row],[LEW]]</f>
        <v>0.15277777777777768</v>
      </c>
    </row>
    <row r="493" spans="1:19" x14ac:dyDescent="0.25">
      <c r="A493" s="66">
        <v>33689</v>
      </c>
      <c r="B493" s="51">
        <f>YEAR(Table1[[#This Row],[Date]])</f>
        <v>1992</v>
      </c>
      <c r="C493" s="1">
        <v>3</v>
      </c>
      <c r="D493" t="s">
        <v>38</v>
      </c>
      <c r="E493" s="1">
        <v>1</v>
      </c>
      <c r="F493" t="s">
        <v>67</v>
      </c>
      <c r="G493" t="str">
        <f>VLOOKUP(Table1[[#This Row],[Winner]],Ranking!C:D,2,FALSE)</f>
        <v>P12</v>
      </c>
      <c r="H493" s="1">
        <v>85</v>
      </c>
      <c r="I493" s="1">
        <v>12</v>
      </c>
      <c r="J493" t="s">
        <v>292</v>
      </c>
      <c r="K493" t="str">
        <f>VLOOKUP(Table1[[#This Row],[Loser]],Ranking!C:D,2,FALSE)</f>
        <v>WAC</v>
      </c>
      <c r="L493" s="1">
        <v>78</v>
      </c>
      <c r="N493" s="1">
        <f>Table1[[#This Row],[Winning Score]]-Table1[[#This Row],[Losing Score]]</f>
        <v>7</v>
      </c>
      <c r="O493" s="1">
        <f>Table1[[#This Row],[Losing Seed]]-Table1[[#This Row],[Winning Seed]]</f>
        <v>11</v>
      </c>
      <c r="P493" s="1" t="str">
        <f>IF(Table1[[#This Row],[SeD]]&lt;-2,Table1[[#This Row],[Winning Seed]]&amp; " over " &amp;Table1[[#This Row],[Losing Seed]],"")</f>
        <v/>
      </c>
      <c r="Q493">
        <f>VLOOKUP(Table1[[#This Row],[Losing Seed]],'Seed History'!$N$4:$O$19,2)</f>
        <v>0.52083333333333337</v>
      </c>
      <c r="R493" s="1">
        <f>IF(Table1[[#This Row],[Round]]="PI",0,Table1[[#This Row],[Round]]-1)</f>
        <v>2</v>
      </c>
      <c r="S493">
        <f>Table1[[#This Row],[LAW]]-Table1[[#This Row],[LEW]]</f>
        <v>1.4791666666666665</v>
      </c>
    </row>
    <row r="494" spans="1:19" x14ac:dyDescent="0.25">
      <c r="A494" s="66">
        <v>33689</v>
      </c>
      <c r="B494" s="51">
        <f>YEAR(Table1[[#This Row],[Date]])</f>
        <v>1992</v>
      </c>
      <c r="C494" s="1">
        <v>3</v>
      </c>
      <c r="D494" t="s">
        <v>38</v>
      </c>
      <c r="E494" s="1">
        <v>2</v>
      </c>
      <c r="F494" t="s">
        <v>36</v>
      </c>
      <c r="G494" t="str">
        <f>VLOOKUP(Table1[[#This Row],[Winner]],Ranking!C:D,2,FALSE)</f>
        <v>B10</v>
      </c>
      <c r="H494" s="1">
        <v>85</v>
      </c>
      <c r="I494" s="1">
        <v>3</v>
      </c>
      <c r="J494" t="s">
        <v>207</v>
      </c>
      <c r="K494" t="str">
        <f>VLOOKUP(Table1[[#This Row],[Loser]],Ranking!C:D,2,FALSE)</f>
        <v>ACC</v>
      </c>
      <c r="L494" s="1">
        <v>74</v>
      </c>
      <c r="N494" s="1">
        <f>Table1[[#This Row],[Winning Score]]-Table1[[#This Row],[Losing Score]]</f>
        <v>11</v>
      </c>
      <c r="O494" s="1">
        <f>Table1[[#This Row],[Losing Seed]]-Table1[[#This Row],[Winning Seed]]</f>
        <v>1</v>
      </c>
      <c r="P494" s="1" t="str">
        <f>IF(Table1[[#This Row],[SeD]]&lt;-2,Table1[[#This Row],[Winning Seed]]&amp; " over " &amp;Table1[[#This Row],[Losing Seed]],"")</f>
        <v/>
      </c>
      <c r="Q494">
        <f>VLOOKUP(Table1[[#This Row],[Losing Seed]],'Seed History'!$N$4:$O$19,2)</f>
        <v>1.8472222222222223</v>
      </c>
      <c r="R494" s="1">
        <f>IF(Table1[[#This Row],[Round]]="PI",0,Table1[[#This Row],[Round]]-1)</f>
        <v>2</v>
      </c>
      <c r="S494">
        <f>Table1[[#This Row],[LAW]]-Table1[[#This Row],[LEW]]</f>
        <v>0.15277777777777768</v>
      </c>
    </row>
    <row r="495" spans="1:19" x14ac:dyDescent="0.25">
      <c r="A495" s="66">
        <v>33690</v>
      </c>
      <c r="B495" s="51">
        <f>YEAR(Table1[[#This Row],[Date]])</f>
        <v>1992</v>
      </c>
      <c r="C495" s="1">
        <v>3</v>
      </c>
      <c r="D495" t="s">
        <v>439</v>
      </c>
      <c r="E495" s="1">
        <v>4</v>
      </c>
      <c r="F495" t="s">
        <v>28</v>
      </c>
      <c r="G495" t="str">
        <f>VLOOKUP(Table1[[#This Row],[Winner]],Ranking!C:D,2,FALSE)</f>
        <v>Amer</v>
      </c>
      <c r="H495" s="1">
        <v>69</v>
      </c>
      <c r="I495" s="1">
        <v>9</v>
      </c>
      <c r="J495" t="s">
        <v>402</v>
      </c>
      <c r="K495" t="str">
        <f>VLOOKUP(Table1[[#This Row],[Loser]],Ranking!C:D,2,FALSE)</f>
        <v>CUSA</v>
      </c>
      <c r="L495" s="1">
        <v>67</v>
      </c>
      <c r="N495" s="1">
        <f>Table1[[#This Row],[Winning Score]]-Table1[[#This Row],[Losing Score]]</f>
        <v>2</v>
      </c>
      <c r="O495" s="1">
        <f>Table1[[#This Row],[Losing Seed]]-Table1[[#This Row],[Winning Seed]]</f>
        <v>5</v>
      </c>
      <c r="P495" s="1" t="str">
        <f>IF(Table1[[#This Row],[SeD]]&lt;-2,Table1[[#This Row],[Winning Seed]]&amp; " over " &amp;Table1[[#This Row],[Losing Seed]],"")</f>
        <v/>
      </c>
      <c r="Q495">
        <f>VLOOKUP(Table1[[#This Row],[Losing Seed]],'Seed History'!$N$4:$O$19,2)</f>
        <v>0.59027777777777779</v>
      </c>
      <c r="R495" s="1">
        <f>IF(Table1[[#This Row],[Round]]="PI",0,Table1[[#This Row],[Round]]-1)</f>
        <v>2</v>
      </c>
      <c r="S495">
        <f>Table1[[#This Row],[LAW]]-Table1[[#This Row],[LEW]]</f>
        <v>1.4097222222222223</v>
      </c>
    </row>
    <row r="496" spans="1:19" x14ac:dyDescent="0.25">
      <c r="A496" s="66">
        <v>33690</v>
      </c>
      <c r="B496" s="51">
        <f>YEAR(Table1[[#This Row],[Date]])</f>
        <v>1992</v>
      </c>
      <c r="C496" s="1">
        <v>3</v>
      </c>
      <c r="D496" t="s">
        <v>439</v>
      </c>
      <c r="E496" s="1">
        <v>6</v>
      </c>
      <c r="F496" t="s">
        <v>267</v>
      </c>
      <c r="G496" t="str">
        <f>VLOOKUP(Table1[[#This Row],[Winner]],Ranking!C:D,2,FALSE)</f>
        <v>Amer</v>
      </c>
      <c r="H496" s="1">
        <v>83</v>
      </c>
      <c r="I496" s="1">
        <v>7</v>
      </c>
      <c r="J496" t="s">
        <v>216</v>
      </c>
      <c r="K496" t="str">
        <f>VLOOKUP(Table1[[#This Row],[Loser]],Ranking!C:D,2,FALSE)</f>
        <v>ACC</v>
      </c>
      <c r="L496" s="1">
        <v>79</v>
      </c>
      <c r="M496" s="1" t="s">
        <v>462</v>
      </c>
      <c r="N496" s="1">
        <f>Table1[[#This Row],[Winning Score]]-Table1[[#This Row],[Losing Score]]</f>
        <v>4</v>
      </c>
      <c r="O496" s="1">
        <f>Table1[[#This Row],[Losing Seed]]-Table1[[#This Row],[Winning Seed]]</f>
        <v>1</v>
      </c>
      <c r="P496" s="1" t="str">
        <f>IF(Table1[[#This Row],[SeD]]&lt;-2,Table1[[#This Row],[Winning Seed]]&amp; " over " &amp;Table1[[#This Row],[Losing Seed]],"")</f>
        <v/>
      </c>
      <c r="Q496">
        <f>VLOOKUP(Table1[[#This Row],[Losing Seed]],'Seed History'!$N$4:$O$19,2)</f>
        <v>0.90277777777777779</v>
      </c>
      <c r="R496" s="1">
        <f>IF(Table1[[#This Row],[Round]]="PI",0,Table1[[#This Row],[Round]]-1)</f>
        <v>2</v>
      </c>
      <c r="S496">
        <f>Table1[[#This Row],[LAW]]-Table1[[#This Row],[LEW]]</f>
        <v>1.0972222222222223</v>
      </c>
    </row>
    <row r="497" spans="1:19" x14ac:dyDescent="0.25">
      <c r="A497" s="66">
        <v>33690</v>
      </c>
      <c r="B497" s="51">
        <f>YEAR(Table1[[#This Row],[Date]])</f>
        <v>1992</v>
      </c>
      <c r="C497" s="1">
        <v>3</v>
      </c>
      <c r="D497" t="s">
        <v>461</v>
      </c>
      <c r="E497" s="1">
        <v>1</v>
      </c>
      <c r="F497" t="s">
        <v>315</v>
      </c>
      <c r="G497" t="str">
        <f>VLOOKUP(Table1[[#This Row],[Winner]],Ranking!C:D,2,FALSE)</f>
        <v>B10</v>
      </c>
      <c r="H497" s="1">
        <v>80</v>
      </c>
      <c r="I497" s="1">
        <v>4</v>
      </c>
      <c r="J497" t="s">
        <v>298</v>
      </c>
      <c r="K497" t="str">
        <f>VLOOKUP(Table1[[#This Row],[Loser]],Ranking!C:D,2,FALSE)</f>
        <v>ACC</v>
      </c>
      <c r="L497" s="1">
        <v>73</v>
      </c>
      <c r="N497" s="1">
        <f>Table1[[#This Row],[Winning Score]]-Table1[[#This Row],[Losing Score]]</f>
        <v>7</v>
      </c>
      <c r="O497" s="1">
        <f>Table1[[#This Row],[Losing Seed]]-Table1[[#This Row],[Winning Seed]]</f>
        <v>3</v>
      </c>
      <c r="P497" s="1" t="str">
        <f>IF(Table1[[#This Row],[SeD]]&lt;-2,Table1[[#This Row],[Winning Seed]]&amp; " over " &amp;Table1[[#This Row],[Losing Seed]],"")</f>
        <v/>
      </c>
      <c r="Q497">
        <f>VLOOKUP(Table1[[#This Row],[Losing Seed]],'Seed History'!$N$4:$O$19,2)</f>
        <v>1.5208333333333333</v>
      </c>
      <c r="R497" s="1">
        <f>IF(Table1[[#This Row],[Round]]="PI",0,Table1[[#This Row],[Round]]-1)</f>
        <v>2</v>
      </c>
      <c r="S497">
        <f>Table1[[#This Row],[LAW]]-Table1[[#This Row],[LEW]]</f>
        <v>0.47916666666666674</v>
      </c>
    </row>
    <row r="498" spans="1:19" x14ac:dyDescent="0.25">
      <c r="A498" s="66">
        <v>33690</v>
      </c>
      <c r="B498" s="51">
        <f>YEAR(Table1[[#This Row],[Date]])</f>
        <v>1992</v>
      </c>
      <c r="C498" s="1">
        <v>3</v>
      </c>
      <c r="D498" t="s">
        <v>461</v>
      </c>
      <c r="E498" s="1">
        <v>6</v>
      </c>
      <c r="F498" t="s">
        <v>82</v>
      </c>
      <c r="G498" t="str">
        <f>VLOOKUP(Table1[[#This Row],[Winner]],Ranking!C:D,2,FALSE)</f>
        <v>B10</v>
      </c>
      <c r="H498" s="1">
        <v>75</v>
      </c>
      <c r="I498" s="1">
        <v>2</v>
      </c>
      <c r="J498" t="s">
        <v>316</v>
      </c>
      <c r="K498" t="str">
        <f>VLOOKUP(Table1[[#This Row],[Loser]],Ranking!C:D,2,FALSE)</f>
        <v>B12</v>
      </c>
      <c r="L498" s="1">
        <v>72</v>
      </c>
      <c r="N498" s="1">
        <f>Table1[[#This Row],[Winning Score]]-Table1[[#This Row],[Losing Score]]</f>
        <v>3</v>
      </c>
      <c r="O498" s="1">
        <f>Table1[[#This Row],[Losing Seed]]-Table1[[#This Row],[Winning Seed]]</f>
        <v>-4</v>
      </c>
      <c r="P498" s="1" t="str">
        <f>IF(Table1[[#This Row],[SeD]]&lt;-2,Table1[[#This Row],[Winning Seed]]&amp; " over " &amp;Table1[[#This Row],[Losing Seed]],"")</f>
        <v>6 over 2</v>
      </c>
      <c r="Q498">
        <f>VLOOKUP(Table1[[#This Row],[Losing Seed]],'Seed History'!$N$4:$O$19,2)</f>
        <v>2.3472222222222223</v>
      </c>
      <c r="R498" s="1">
        <f>IF(Table1[[#This Row],[Round]]="PI",0,Table1[[#This Row],[Round]]-1)</f>
        <v>2</v>
      </c>
      <c r="S498">
        <f>Table1[[#This Row],[LAW]]-Table1[[#This Row],[LEW]]</f>
        <v>-0.34722222222222232</v>
      </c>
    </row>
    <row r="499" spans="1:19" x14ac:dyDescent="0.25">
      <c r="A499" s="66">
        <v>33691</v>
      </c>
      <c r="B499" s="51">
        <f>YEAR(Table1[[#This Row],[Date]])</f>
        <v>1992</v>
      </c>
      <c r="C499" s="1">
        <v>4</v>
      </c>
      <c r="D499" t="s">
        <v>49</v>
      </c>
      <c r="E499" s="1">
        <v>1</v>
      </c>
      <c r="F499" t="s">
        <v>64</v>
      </c>
      <c r="G499" t="str">
        <f>VLOOKUP(Table1[[#This Row],[Winner]],Ranking!C:D,2,FALSE)</f>
        <v>ACC</v>
      </c>
      <c r="H499" s="1">
        <v>104</v>
      </c>
      <c r="I499" s="1">
        <v>2</v>
      </c>
      <c r="J499" t="s">
        <v>26</v>
      </c>
      <c r="K499" t="str">
        <f>VLOOKUP(Table1[[#This Row],[Loser]],Ranking!C:D,2,FALSE)</f>
        <v>SEC</v>
      </c>
      <c r="L499" s="1">
        <v>103</v>
      </c>
      <c r="M499" s="1" t="s">
        <v>462</v>
      </c>
      <c r="N499" s="1">
        <f>Table1[[#This Row],[Winning Score]]-Table1[[#This Row],[Losing Score]]</f>
        <v>1</v>
      </c>
      <c r="O499" s="1">
        <f>Table1[[#This Row],[Losing Seed]]-Table1[[#This Row],[Winning Seed]]</f>
        <v>1</v>
      </c>
      <c r="P499" s="1" t="str">
        <f>IF(Table1[[#This Row],[SeD]]&lt;-2,Table1[[#This Row],[Winning Seed]]&amp; " over " &amp;Table1[[#This Row],[Losing Seed]],"")</f>
        <v/>
      </c>
      <c r="Q499">
        <f>VLOOKUP(Table1[[#This Row],[Losing Seed]],'Seed History'!$N$4:$O$19,2)</f>
        <v>2.3472222222222223</v>
      </c>
      <c r="R499" s="1">
        <f>IF(Table1[[#This Row],[Round]]="PI",0,Table1[[#This Row],[Round]]-1)</f>
        <v>3</v>
      </c>
      <c r="S499">
        <f>Table1[[#This Row],[LAW]]-Table1[[#This Row],[LEW]]</f>
        <v>0.65277777777777768</v>
      </c>
    </row>
    <row r="500" spans="1:19" x14ac:dyDescent="0.25">
      <c r="A500" s="66">
        <v>33691</v>
      </c>
      <c r="B500" s="51">
        <f>YEAR(Table1[[#This Row],[Date]])</f>
        <v>1992</v>
      </c>
      <c r="C500" s="1">
        <v>4</v>
      </c>
      <c r="D500" t="s">
        <v>38</v>
      </c>
      <c r="E500" s="1">
        <v>2</v>
      </c>
      <c r="F500" t="s">
        <v>36</v>
      </c>
      <c r="G500" t="str">
        <f>VLOOKUP(Table1[[#This Row],[Winner]],Ranking!C:D,2,FALSE)</f>
        <v>B10</v>
      </c>
      <c r="H500" s="1">
        <v>106</v>
      </c>
      <c r="I500" s="1">
        <v>1</v>
      </c>
      <c r="J500" t="s">
        <v>67</v>
      </c>
      <c r="K500" t="str">
        <f>VLOOKUP(Table1[[#This Row],[Loser]],Ranking!C:D,2,FALSE)</f>
        <v>P12</v>
      </c>
      <c r="L500" s="1">
        <v>79</v>
      </c>
      <c r="N500" s="1">
        <f>Table1[[#This Row],[Winning Score]]-Table1[[#This Row],[Losing Score]]</f>
        <v>27</v>
      </c>
      <c r="O500" s="1">
        <f>Table1[[#This Row],[Losing Seed]]-Table1[[#This Row],[Winning Seed]]</f>
        <v>-1</v>
      </c>
      <c r="P500" s="1" t="str">
        <f>IF(Table1[[#This Row],[SeD]]&lt;-2,Table1[[#This Row],[Winning Seed]]&amp; " over " &amp;Table1[[#This Row],[Losing Seed]],"")</f>
        <v/>
      </c>
      <c r="Q500">
        <f>VLOOKUP(Table1[[#This Row],[Losing Seed]],'Seed History'!$N$4:$O$19,2)</f>
        <v>3.3263888888888888</v>
      </c>
      <c r="R500" s="1">
        <f>IF(Table1[[#This Row],[Round]]="PI",0,Table1[[#This Row],[Round]]-1)</f>
        <v>3</v>
      </c>
      <c r="S500">
        <f>Table1[[#This Row],[LAW]]-Table1[[#This Row],[LEW]]</f>
        <v>-0.32638888888888884</v>
      </c>
    </row>
    <row r="501" spans="1:19" x14ac:dyDescent="0.25">
      <c r="A501" s="66">
        <v>33692</v>
      </c>
      <c r="B501" s="51">
        <f>YEAR(Table1[[#This Row],[Date]])</f>
        <v>1992</v>
      </c>
      <c r="C501" s="1">
        <v>4</v>
      </c>
      <c r="D501" t="s">
        <v>439</v>
      </c>
      <c r="E501" s="1">
        <v>4</v>
      </c>
      <c r="F501" t="s">
        <v>28</v>
      </c>
      <c r="G501" t="str">
        <f>VLOOKUP(Table1[[#This Row],[Winner]],Ranking!C:D,2,FALSE)</f>
        <v>Amer</v>
      </c>
      <c r="H501" s="1">
        <v>88</v>
      </c>
      <c r="I501" s="1">
        <v>6</v>
      </c>
      <c r="J501" t="s">
        <v>267</v>
      </c>
      <c r="K501" t="str">
        <f>VLOOKUP(Table1[[#This Row],[Loser]],Ranking!C:D,2,FALSE)</f>
        <v>Amer</v>
      </c>
      <c r="L501" s="1">
        <v>57</v>
      </c>
      <c r="N501" s="1">
        <f>Table1[[#This Row],[Winning Score]]-Table1[[#This Row],[Losing Score]]</f>
        <v>31</v>
      </c>
      <c r="O501" s="1">
        <f>Table1[[#This Row],[Losing Seed]]-Table1[[#This Row],[Winning Seed]]</f>
        <v>2</v>
      </c>
      <c r="P501" s="1" t="str">
        <f>IF(Table1[[#This Row],[SeD]]&lt;-2,Table1[[#This Row],[Winning Seed]]&amp; " over " &amp;Table1[[#This Row],[Losing Seed]],"")</f>
        <v/>
      </c>
      <c r="Q501">
        <f>VLOOKUP(Table1[[#This Row],[Losing Seed]],'Seed History'!$N$4:$O$19,2)</f>
        <v>1.0625</v>
      </c>
      <c r="R501" s="1">
        <f>IF(Table1[[#This Row],[Round]]="PI",0,Table1[[#This Row],[Round]]-1)</f>
        <v>3</v>
      </c>
      <c r="S501">
        <f>Table1[[#This Row],[LAW]]-Table1[[#This Row],[LEW]]</f>
        <v>1.9375</v>
      </c>
    </row>
    <row r="502" spans="1:19" x14ac:dyDescent="0.25">
      <c r="A502" s="66">
        <v>33692</v>
      </c>
      <c r="B502" s="51">
        <f>YEAR(Table1[[#This Row],[Date]])</f>
        <v>1992</v>
      </c>
      <c r="C502" s="1">
        <v>4</v>
      </c>
      <c r="D502" t="s">
        <v>461</v>
      </c>
      <c r="E502" s="1">
        <v>6</v>
      </c>
      <c r="F502" t="s">
        <v>82</v>
      </c>
      <c r="G502" t="str">
        <f>VLOOKUP(Table1[[#This Row],[Winner]],Ranking!C:D,2,FALSE)</f>
        <v>B10</v>
      </c>
      <c r="H502" s="1">
        <v>75</v>
      </c>
      <c r="I502" s="1">
        <v>1</v>
      </c>
      <c r="J502" t="s">
        <v>315</v>
      </c>
      <c r="K502" t="str">
        <f>VLOOKUP(Table1[[#This Row],[Loser]],Ranking!C:D,2,FALSE)</f>
        <v>B10</v>
      </c>
      <c r="L502" s="1">
        <v>71</v>
      </c>
      <c r="M502" s="1" t="s">
        <v>462</v>
      </c>
      <c r="N502" s="1">
        <f>Table1[[#This Row],[Winning Score]]-Table1[[#This Row],[Losing Score]]</f>
        <v>4</v>
      </c>
      <c r="O502" s="1">
        <f>Table1[[#This Row],[Losing Seed]]-Table1[[#This Row],[Winning Seed]]</f>
        <v>-5</v>
      </c>
      <c r="P502" s="1" t="str">
        <f>IF(Table1[[#This Row],[SeD]]&lt;-2,Table1[[#This Row],[Winning Seed]]&amp; " over " &amp;Table1[[#This Row],[Losing Seed]],"")</f>
        <v>6 over 1</v>
      </c>
      <c r="Q502">
        <f>VLOOKUP(Table1[[#This Row],[Losing Seed]],'Seed History'!$N$4:$O$19,2)</f>
        <v>3.3263888888888888</v>
      </c>
      <c r="R502" s="1">
        <f>IF(Table1[[#This Row],[Round]]="PI",0,Table1[[#This Row],[Round]]-1)</f>
        <v>3</v>
      </c>
      <c r="S502">
        <f>Table1[[#This Row],[LAW]]-Table1[[#This Row],[LEW]]</f>
        <v>-0.32638888888888884</v>
      </c>
    </row>
    <row r="503" spans="1:19" x14ac:dyDescent="0.25">
      <c r="A503" s="66">
        <v>33698</v>
      </c>
      <c r="B503" s="51">
        <f>YEAR(Table1[[#This Row],[Date]])</f>
        <v>1992</v>
      </c>
      <c r="C503" s="1">
        <v>5</v>
      </c>
      <c r="D503" t="s">
        <v>467</v>
      </c>
      <c r="E503" s="1">
        <v>1</v>
      </c>
      <c r="F503" t="s">
        <v>64</v>
      </c>
      <c r="G503" t="str">
        <f>VLOOKUP(Table1[[#This Row],[Winner]],Ranking!C:D,2,FALSE)</f>
        <v>ACC</v>
      </c>
      <c r="H503" s="1">
        <v>81</v>
      </c>
      <c r="I503" s="1">
        <v>2</v>
      </c>
      <c r="J503" t="s">
        <v>36</v>
      </c>
      <c r="K503" t="str">
        <f>VLOOKUP(Table1[[#This Row],[Loser]],Ranking!C:D,2,FALSE)</f>
        <v>B10</v>
      </c>
      <c r="L503" s="1">
        <v>78</v>
      </c>
      <c r="N503" s="1">
        <f>Table1[[#This Row],[Winning Score]]-Table1[[#This Row],[Losing Score]]</f>
        <v>3</v>
      </c>
      <c r="O503" s="1">
        <f>Table1[[#This Row],[Losing Seed]]-Table1[[#This Row],[Winning Seed]]</f>
        <v>1</v>
      </c>
      <c r="P503" s="1" t="str">
        <f>IF(Table1[[#This Row],[SeD]]&lt;-2,Table1[[#This Row],[Winning Seed]]&amp; " over " &amp;Table1[[#This Row],[Losing Seed]],"")</f>
        <v/>
      </c>
      <c r="Q503">
        <f>VLOOKUP(Table1[[#This Row],[Losing Seed]],'Seed History'!$N$4:$O$19,2)</f>
        <v>2.3472222222222223</v>
      </c>
      <c r="R503" s="1">
        <f>IF(Table1[[#This Row],[Round]]="PI",0,Table1[[#This Row],[Round]]-1)</f>
        <v>4</v>
      </c>
      <c r="S503">
        <f>Table1[[#This Row],[LAW]]-Table1[[#This Row],[LEW]]</f>
        <v>1.6527777777777777</v>
      </c>
    </row>
    <row r="504" spans="1:19" x14ac:dyDescent="0.25">
      <c r="A504" s="66">
        <v>33698</v>
      </c>
      <c r="B504" s="51">
        <f>YEAR(Table1[[#This Row],[Date]])</f>
        <v>1992</v>
      </c>
      <c r="C504" s="1">
        <v>5</v>
      </c>
      <c r="D504" t="s">
        <v>467</v>
      </c>
      <c r="E504" s="1">
        <v>6</v>
      </c>
      <c r="F504" t="s">
        <v>82</v>
      </c>
      <c r="G504" t="str">
        <f>VLOOKUP(Table1[[#This Row],[Winner]],Ranking!C:D,2,FALSE)</f>
        <v>B10</v>
      </c>
      <c r="H504" s="1">
        <v>76</v>
      </c>
      <c r="I504" s="1">
        <v>4</v>
      </c>
      <c r="J504" t="s">
        <v>28</v>
      </c>
      <c r="K504" t="str">
        <f>VLOOKUP(Table1[[#This Row],[Loser]],Ranking!C:D,2,FALSE)</f>
        <v>Amer</v>
      </c>
      <c r="L504" s="1">
        <v>72</v>
      </c>
      <c r="N504" s="1">
        <f>Table1[[#This Row],[Winning Score]]-Table1[[#This Row],[Losing Score]]</f>
        <v>4</v>
      </c>
      <c r="O504" s="1">
        <f>Table1[[#This Row],[Losing Seed]]-Table1[[#This Row],[Winning Seed]]</f>
        <v>-2</v>
      </c>
      <c r="P504" s="1" t="str">
        <f>IF(Table1[[#This Row],[SeD]]&lt;-2,Table1[[#This Row],[Winning Seed]]&amp; " over " &amp;Table1[[#This Row],[Losing Seed]],"")</f>
        <v/>
      </c>
      <c r="Q504">
        <f>VLOOKUP(Table1[[#This Row],[Losing Seed]],'Seed History'!$N$4:$O$19,2)</f>
        <v>1.5208333333333333</v>
      </c>
      <c r="R504" s="1">
        <f>IF(Table1[[#This Row],[Round]]="PI",0,Table1[[#This Row],[Round]]-1)</f>
        <v>4</v>
      </c>
      <c r="S504">
        <f>Table1[[#This Row],[LAW]]-Table1[[#This Row],[LEW]]</f>
        <v>2.479166666666667</v>
      </c>
    </row>
    <row r="505" spans="1:19" x14ac:dyDescent="0.25">
      <c r="A505" s="66">
        <v>33700</v>
      </c>
      <c r="B505" s="51">
        <f>YEAR(Table1[[#This Row],[Date]])</f>
        <v>1992</v>
      </c>
      <c r="C505" s="1">
        <v>6</v>
      </c>
      <c r="D505" t="s">
        <v>468</v>
      </c>
      <c r="E505" s="1">
        <v>1</v>
      </c>
      <c r="F505" t="s">
        <v>64</v>
      </c>
      <c r="G505" t="str">
        <f>VLOOKUP(Table1[[#This Row],[Winner]],Ranking!C:D,2,FALSE)</f>
        <v>ACC</v>
      </c>
      <c r="H505" s="1">
        <v>71</v>
      </c>
      <c r="I505" s="1">
        <v>6</v>
      </c>
      <c r="J505" t="s">
        <v>82</v>
      </c>
      <c r="K505" t="str">
        <f>VLOOKUP(Table1[[#This Row],[Loser]],Ranking!C:D,2,FALSE)</f>
        <v>B10</v>
      </c>
      <c r="L505" s="1">
        <v>51</v>
      </c>
      <c r="N505" s="1">
        <f>Table1[[#This Row],[Winning Score]]-Table1[[#This Row],[Losing Score]]</f>
        <v>20</v>
      </c>
      <c r="O505" s="1">
        <f>Table1[[#This Row],[Losing Seed]]-Table1[[#This Row],[Winning Seed]]</f>
        <v>5</v>
      </c>
      <c r="P505" s="1" t="str">
        <f>IF(Table1[[#This Row],[SeD]]&lt;-2,Table1[[#This Row],[Winning Seed]]&amp; " over " &amp;Table1[[#This Row],[Losing Seed]],"")</f>
        <v/>
      </c>
      <c r="Q505">
        <f>VLOOKUP(Table1[[#This Row],[Losing Seed]],'Seed History'!$N$4:$O$19,2)</f>
        <v>1.0625</v>
      </c>
      <c r="R505" s="1">
        <f>IF(Table1[[#This Row],[Round]]="PI",0,Table1[[#This Row],[Round]]-1)</f>
        <v>5</v>
      </c>
      <c r="S505">
        <f>Table1[[#This Row],[LAW]]-Table1[[#This Row],[LEW]]</f>
        <v>3.9375</v>
      </c>
    </row>
    <row r="506" spans="1:19" x14ac:dyDescent="0.25">
      <c r="A506" s="66">
        <v>34046</v>
      </c>
      <c r="B506" s="51">
        <f>YEAR(Table1[[#This Row],[Date]])</f>
        <v>1993</v>
      </c>
      <c r="C506" s="1">
        <v>1</v>
      </c>
      <c r="D506" t="s">
        <v>38</v>
      </c>
      <c r="E506" s="1">
        <v>15</v>
      </c>
      <c r="F506" t="s">
        <v>347</v>
      </c>
      <c r="G506" t="str">
        <f>VLOOKUP(Table1[[#This Row],[Winner]],Ranking!C:D,2,FALSE)</f>
        <v>WCC</v>
      </c>
      <c r="H506" s="1">
        <v>64</v>
      </c>
      <c r="I506" s="1">
        <v>2</v>
      </c>
      <c r="J506" t="s">
        <v>48</v>
      </c>
      <c r="K506" t="str">
        <f>VLOOKUP(Table1[[#This Row],[Loser]],Ranking!C:D,2,FALSE)</f>
        <v>P12</v>
      </c>
      <c r="L506" s="1">
        <v>61</v>
      </c>
      <c r="N506" s="1">
        <f>Table1[[#This Row],[Winning Score]]-Table1[[#This Row],[Losing Score]]</f>
        <v>3</v>
      </c>
      <c r="O506" s="1">
        <f>Table1[[#This Row],[Losing Seed]]-Table1[[#This Row],[Winning Seed]]</f>
        <v>-13</v>
      </c>
      <c r="P506" s="1" t="str">
        <f>IF(Table1[[#This Row],[SeD]]&lt;-2,Table1[[#This Row],[Winning Seed]]&amp; " over " &amp;Table1[[#This Row],[Losing Seed]],"")</f>
        <v>15 over 2</v>
      </c>
      <c r="Q506">
        <f>VLOOKUP(Table1[[#This Row],[Losing Seed]],'Seed History'!$N$4:$O$19,2)</f>
        <v>2.3472222222222223</v>
      </c>
      <c r="R506" s="1">
        <f>IF(Table1[[#This Row],[Round]]="PI",0,Table1[[#This Row],[Round]]-1)</f>
        <v>0</v>
      </c>
      <c r="S506">
        <f>Table1[[#This Row],[LAW]]-Table1[[#This Row],[LEW]]</f>
        <v>-2.3472222222222223</v>
      </c>
    </row>
    <row r="507" spans="1:19" x14ac:dyDescent="0.25">
      <c r="A507" s="66">
        <v>34046</v>
      </c>
      <c r="B507" s="51">
        <f>YEAR(Table1[[#This Row],[Date]])</f>
        <v>1993</v>
      </c>
      <c r="C507" s="1">
        <v>1</v>
      </c>
      <c r="D507" t="s">
        <v>49</v>
      </c>
      <c r="E507" s="1">
        <v>1</v>
      </c>
      <c r="F507" t="s">
        <v>298</v>
      </c>
      <c r="G507" t="str">
        <f>VLOOKUP(Table1[[#This Row],[Winner]],Ranking!C:D,2,FALSE)</f>
        <v>ACC</v>
      </c>
      <c r="H507" s="1">
        <v>85</v>
      </c>
      <c r="I507" s="1">
        <v>16</v>
      </c>
      <c r="J507" t="s">
        <v>191</v>
      </c>
      <c r="K507" t="str">
        <f>VLOOKUP(Table1[[#This Row],[Loser]],Ranking!C:D,2,FALSE)</f>
        <v>Amer</v>
      </c>
      <c r="L507" s="1">
        <v>65</v>
      </c>
      <c r="N507" s="1">
        <f>Table1[[#This Row],[Winning Score]]-Table1[[#This Row],[Losing Score]]</f>
        <v>20</v>
      </c>
      <c r="O507" s="1">
        <f>Table1[[#This Row],[Losing Seed]]-Table1[[#This Row],[Winning Seed]]</f>
        <v>15</v>
      </c>
      <c r="P507" s="1" t="str">
        <f>IF(Table1[[#This Row],[SeD]]&lt;-2,Table1[[#This Row],[Winning Seed]]&amp; " over " &amp;Table1[[#This Row],[Losing Seed]],"")</f>
        <v/>
      </c>
      <c r="Q507">
        <f>VLOOKUP(Table1[[#This Row],[Losing Seed]],'Seed History'!$N$4:$O$19,2)</f>
        <v>6.9444444444444441E-3</v>
      </c>
      <c r="R507" s="1">
        <f>IF(Table1[[#This Row],[Round]]="PI",0,Table1[[#This Row],[Round]]-1)</f>
        <v>0</v>
      </c>
      <c r="S507">
        <f>Table1[[#This Row],[LAW]]-Table1[[#This Row],[LEW]]</f>
        <v>-6.9444444444444441E-3</v>
      </c>
    </row>
    <row r="508" spans="1:19" x14ac:dyDescent="0.25">
      <c r="A508" s="66">
        <v>34046</v>
      </c>
      <c r="B508" s="51">
        <f>YEAR(Table1[[#This Row],[Date]])</f>
        <v>1993</v>
      </c>
      <c r="C508" s="1">
        <v>1</v>
      </c>
      <c r="D508" t="s">
        <v>49</v>
      </c>
      <c r="E508" s="1">
        <v>4</v>
      </c>
      <c r="F508" t="s">
        <v>41</v>
      </c>
      <c r="G508" t="str">
        <f>VLOOKUP(Table1[[#This Row],[Winner]],Ranking!C:D,2,FALSE)</f>
        <v>SEC</v>
      </c>
      <c r="H508" s="1">
        <v>94</v>
      </c>
      <c r="I508" s="1">
        <v>13</v>
      </c>
      <c r="J508" t="s">
        <v>224</v>
      </c>
      <c r="K508" t="str">
        <f>VLOOKUP(Table1[[#This Row],[Loser]],Ranking!C:D,2,FALSE)</f>
        <v>Pat</v>
      </c>
      <c r="L508" s="1">
        <v>64</v>
      </c>
      <c r="N508" s="1">
        <f>Table1[[#This Row],[Winning Score]]-Table1[[#This Row],[Losing Score]]</f>
        <v>30</v>
      </c>
      <c r="O508" s="1">
        <f>Table1[[#This Row],[Losing Seed]]-Table1[[#This Row],[Winning Seed]]</f>
        <v>9</v>
      </c>
      <c r="P508" s="1" t="str">
        <f>IF(Table1[[#This Row],[SeD]]&lt;-2,Table1[[#This Row],[Winning Seed]]&amp; " over " &amp;Table1[[#This Row],[Losing Seed]],"")</f>
        <v/>
      </c>
      <c r="Q508">
        <f>VLOOKUP(Table1[[#This Row],[Losing Seed]],'Seed History'!$N$4:$O$19,2)</f>
        <v>0.25694444444444442</v>
      </c>
      <c r="R508" s="1">
        <f>IF(Table1[[#This Row],[Round]]="PI",0,Table1[[#This Row],[Round]]-1)</f>
        <v>0</v>
      </c>
      <c r="S508">
        <f>Table1[[#This Row],[LAW]]-Table1[[#This Row],[LEW]]</f>
        <v>-0.25694444444444442</v>
      </c>
    </row>
    <row r="509" spans="1:19" x14ac:dyDescent="0.25">
      <c r="A509" s="66">
        <v>34046</v>
      </c>
      <c r="B509" s="51">
        <f>YEAR(Table1[[#This Row],[Date]])</f>
        <v>1993</v>
      </c>
      <c r="C509" s="1">
        <v>1</v>
      </c>
      <c r="D509" t="s">
        <v>49</v>
      </c>
      <c r="E509" s="1">
        <v>5</v>
      </c>
      <c r="F509" t="s">
        <v>368</v>
      </c>
      <c r="G509" t="str">
        <f>VLOOKUP(Table1[[#This Row],[Winner]],Ranking!C:D,2,FALSE)</f>
        <v>BE</v>
      </c>
      <c r="H509" s="1">
        <v>85</v>
      </c>
      <c r="I509" s="1">
        <v>12</v>
      </c>
      <c r="J509" t="s">
        <v>92</v>
      </c>
      <c r="K509" t="str">
        <f>VLOOKUP(Table1[[#This Row],[Loser]],Ranking!C:D,2,FALSE)</f>
        <v>B12</v>
      </c>
      <c r="L509" s="1">
        <v>67</v>
      </c>
      <c r="N509" s="1">
        <f>Table1[[#This Row],[Winning Score]]-Table1[[#This Row],[Losing Score]]</f>
        <v>18</v>
      </c>
      <c r="O509" s="1">
        <f>Table1[[#This Row],[Losing Seed]]-Table1[[#This Row],[Winning Seed]]</f>
        <v>7</v>
      </c>
      <c r="P509" s="1" t="str">
        <f>IF(Table1[[#This Row],[SeD]]&lt;-2,Table1[[#This Row],[Winning Seed]]&amp; " over " &amp;Table1[[#This Row],[Losing Seed]],"")</f>
        <v/>
      </c>
      <c r="Q509">
        <f>VLOOKUP(Table1[[#This Row],[Losing Seed]],'Seed History'!$N$4:$O$19,2)</f>
        <v>0.52083333333333337</v>
      </c>
      <c r="R509" s="1">
        <f>IF(Table1[[#This Row],[Round]]="PI",0,Table1[[#This Row],[Round]]-1)</f>
        <v>0</v>
      </c>
      <c r="S509">
        <f>Table1[[#This Row],[LAW]]-Table1[[#This Row],[LEW]]</f>
        <v>-0.52083333333333337</v>
      </c>
    </row>
    <row r="510" spans="1:19" x14ac:dyDescent="0.25">
      <c r="A510" s="66">
        <v>34046</v>
      </c>
      <c r="B510" s="51">
        <f>YEAR(Table1[[#This Row],[Date]])</f>
        <v>1993</v>
      </c>
      <c r="C510" s="1">
        <v>1</v>
      </c>
      <c r="D510" t="s">
        <v>49</v>
      </c>
      <c r="E510" s="1">
        <v>8</v>
      </c>
      <c r="F510" t="s">
        <v>96</v>
      </c>
      <c r="G510" t="str">
        <f>VLOOKUP(Table1[[#This Row],[Winner]],Ranking!C:D,2,FALSE)</f>
        <v>A10</v>
      </c>
      <c r="H510" s="1">
        <v>74</v>
      </c>
      <c r="I510" s="1">
        <v>9</v>
      </c>
      <c r="J510" t="s">
        <v>29</v>
      </c>
      <c r="K510" t="str">
        <f>VLOOKUP(Table1[[#This Row],[Loser]],Ranking!C:D,2,FALSE)</f>
        <v>B10</v>
      </c>
      <c r="L510" s="1">
        <v>68</v>
      </c>
      <c r="N510" s="1">
        <f>Table1[[#This Row],[Winning Score]]-Table1[[#This Row],[Losing Score]]</f>
        <v>6</v>
      </c>
      <c r="O510" s="1">
        <f>Table1[[#This Row],[Losing Seed]]-Table1[[#This Row],[Winning Seed]]</f>
        <v>1</v>
      </c>
      <c r="P510" s="1" t="str">
        <f>IF(Table1[[#This Row],[SeD]]&lt;-2,Table1[[#This Row],[Winning Seed]]&amp; " over " &amp;Table1[[#This Row],[Losing Seed]],"")</f>
        <v/>
      </c>
      <c r="Q510">
        <f>VLOOKUP(Table1[[#This Row],[Losing Seed]],'Seed History'!$N$4:$O$19,2)</f>
        <v>0.59027777777777779</v>
      </c>
      <c r="R510" s="1">
        <f>IF(Table1[[#This Row],[Round]]="PI",0,Table1[[#This Row],[Round]]-1)</f>
        <v>0</v>
      </c>
      <c r="S510">
        <f>Table1[[#This Row],[LAW]]-Table1[[#This Row],[LEW]]</f>
        <v>-0.59027777777777779</v>
      </c>
    </row>
    <row r="511" spans="1:19" x14ac:dyDescent="0.25">
      <c r="A511" s="66">
        <v>34046</v>
      </c>
      <c r="B511" s="51">
        <f>YEAR(Table1[[#This Row],[Date]])</f>
        <v>1993</v>
      </c>
      <c r="C511" s="1">
        <v>1</v>
      </c>
      <c r="D511" t="s">
        <v>439</v>
      </c>
      <c r="E511" s="1">
        <v>2</v>
      </c>
      <c r="F511" t="s">
        <v>37</v>
      </c>
      <c r="G511" t="str">
        <f>VLOOKUP(Table1[[#This Row],[Winner]],Ranking!C:D,2,FALSE)</f>
        <v>B12</v>
      </c>
      <c r="H511" s="1">
        <v>94</v>
      </c>
      <c r="I511" s="1">
        <v>15</v>
      </c>
      <c r="J511" t="s">
        <v>132</v>
      </c>
      <c r="K511" t="str">
        <f>VLOOKUP(Table1[[#This Row],[Loser]],Ranking!C:D,2,FALSE)</f>
        <v>MAC</v>
      </c>
      <c r="L511" s="1">
        <v>72</v>
      </c>
      <c r="N511" s="1">
        <f>Table1[[#This Row],[Winning Score]]-Table1[[#This Row],[Losing Score]]</f>
        <v>22</v>
      </c>
      <c r="O511" s="1">
        <f>Table1[[#This Row],[Losing Seed]]-Table1[[#This Row],[Winning Seed]]</f>
        <v>13</v>
      </c>
      <c r="P511" s="1" t="str">
        <f>IF(Table1[[#This Row],[SeD]]&lt;-2,Table1[[#This Row],[Winning Seed]]&amp; " over " &amp;Table1[[#This Row],[Losing Seed]],"")</f>
        <v/>
      </c>
      <c r="Q511">
        <f>VLOOKUP(Table1[[#This Row],[Losing Seed]],'Seed History'!$N$4:$O$19,2)</f>
        <v>7.6388888888888895E-2</v>
      </c>
      <c r="R511" s="1">
        <f>IF(Table1[[#This Row],[Round]]="PI",0,Table1[[#This Row],[Round]]-1)</f>
        <v>0</v>
      </c>
      <c r="S511">
        <f>Table1[[#This Row],[LAW]]-Table1[[#This Row],[LEW]]</f>
        <v>-7.6388888888888895E-2</v>
      </c>
    </row>
    <row r="512" spans="1:19" x14ac:dyDescent="0.25">
      <c r="A512" s="66">
        <v>34046</v>
      </c>
      <c r="B512" s="51">
        <f>YEAR(Table1[[#This Row],[Date]])</f>
        <v>1993</v>
      </c>
      <c r="C512" s="1">
        <v>1</v>
      </c>
      <c r="D512" t="s">
        <v>439</v>
      </c>
      <c r="E512" s="1">
        <v>3</v>
      </c>
      <c r="F512" t="s">
        <v>64</v>
      </c>
      <c r="G512" t="str">
        <f>VLOOKUP(Table1[[#This Row],[Winner]],Ranking!C:D,2,FALSE)</f>
        <v>ACC</v>
      </c>
      <c r="H512" s="1">
        <v>105</v>
      </c>
      <c r="I512" s="1">
        <v>14</v>
      </c>
      <c r="J512" t="s">
        <v>362</v>
      </c>
      <c r="K512" t="str">
        <f>VLOOKUP(Table1[[#This Row],[Loser]],Ranking!C:D,2,FALSE)</f>
        <v>MVC</v>
      </c>
      <c r="L512" s="1">
        <v>70</v>
      </c>
      <c r="N512" s="1">
        <f>Table1[[#This Row],[Winning Score]]-Table1[[#This Row],[Losing Score]]</f>
        <v>35</v>
      </c>
      <c r="O512" s="1">
        <f>Table1[[#This Row],[Losing Seed]]-Table1[[#This Row],[Winning Seed]]</f>
        <v>11</v>
      </c>
      <c r="P512" s="1" t="str">
        <f>IF(Table1[[#This Row],[SeD]]&lt;-2,Table1[[#This Row],[Winning Seed]]&amp; " over " &amp;Table1[[#This Row],[Losing Seed]],"")</f>
        <v/>
      </c>
      <c r="Q512">
        <f>VLOOKUP(Table1[[#This Row],[Losing Seed]],'Seed History'!$N$4:$O$19,2)</f>
        <v>0.16666666666666666</v>
      </c>
      <c r="R512" s="1">
        <f>IF(Table1[[#This Row],[Round]]="PI",0,Table1[[#This Row],[Round]]-1)</f>
        <v>0</v>
      </c>
      <c r="S512">
        <f>Table1[[#This Row],[LAW]]-Table1[[#This Row],[LEW]]</f>
        <v>-0.16666666666666666</v>
      </c>
    </row>
    <row r="513" spans="1:19" x14ac:dyDescent="0.25">
      <c r="A513" s="66">
        <v>34046</v>
      </c>
      <c r="B513" s="51">
        <f>YEAR(Table1[[#This Row],[Date]])</f>
        <v>1993</v>
      </c>
      <c r="C513" s="1">
        <v>1</v>
      </c>
      <c r="D513" t="s">
        <v>439</v>
      </c>
      <c r="E513" s="1">
        <v>6</v>
      </c>
      <c r="F513" t="s">
        <v>84</v>
      </c>
      <c r="G513" t="str">
        <f>VLOOKUP(Table1[[#This Row],[Winner]],Ranking!C:D,2,FALSE)</f>
        <v>P12</v>
      </c>
      <c r="H513" s="1">
        <v>66</v>
      </c>
      <c r="I513" s="1">
        <v>11</v>
      </c>
      <c r="J513" t="s">
        <v>52</v>
      </c>
      <c r="K513" t="str">
        <f>VLOOKUP(Table1[[#This Row],[Loser]],Ranking!C:D,2,FALSE)</f>
        <v>SEC</v>
      </c>
      <c r="L513" s="1">
        <v>64</v>
      </c>
      <c r="N513" s="1">
        <f>Table1[[#This Row],[Winning Score]]-Table1[[#This Row],[Losing Score]]</f>
        <v>2</v>
      </c>
      <c r="O513" s="1">
        <f>Table1[[#This Row],[Losing Seed]]-Table1[[#This Row],[Winning Seed]]</f>
        <v>5</v>
      </c>
      <c r="P513" s="1" t="str">
        <f>IF(Table1[[#This Row],[SeD]]&lt;-2,Table1[[#This Row],[Winning Seed]]&amp; " over " &amp;Table1[[#This Row],[Losing Seed]],"")</f>
        <v/>
      </c>
      <c r="Q513">
        <f>VLOOKUP(Table1[[#This Row],[Losing Seed]],'Seed History'!$N$4:$O$19,2)</f>
        <v>0.63194444444444442</v>
      </c>
      <c r="R513" s="1">
        <f>IF(Table1[[#This Row],[Round]]="PI",0,Table1[[#This Row],[Round]]-1)</f>
        <v>0</v>
      </c>
      <c r="S513">
        <f>Table1[[#This Row],[LAW]]-Table1[[#This Row],[LEW]]</f>
        <v>-0.63194444444444442</v>
      </c>
    </row>
    <row r="514" spans="1:19" x14ac:dyDescent="0.25">
      <c r="A514" s="66">
        <v>34046</v>
      </c>
      <c r="B514" s="51">
        <f>YEAR(Table1[[#This Row],[Date]])</f>
        <v>1993</v>
      </c>
      <c r="C514" s="1">
        <v>1</v>
      </c>
      <c r="D514" t="s">
        <v>439</v>
      </c>
      <c r="E514" s="1">
        <v>7</v>
      </c>
      <c r="F514" t="s">
        <v>72</v>
      </c>
      <c r="G514" t="str">
        <f>VLOOKUP(Table1[[#This Row],[Winner]],Ranking!C:D,2,FALSE)</f>
        <v>WCC</v>
      </c>
      <c r="H514" s="1">
        <v>80</v>
      </c>
      <c r="I514" s="1">
        <v>10</v>
      </c>
      <c r="J514" t="s">
        <v>352</v>
      </c>
      <c r="K514" t="str">
        <f>VLOOKUP(Table1[[#This Row],[Loser]],Ranking!C:D,2,FALSE)</f>
        <v>Amer</v>
      </c>
      <c r="L514" s="1">
        <v>71</v>
      </c>
      <c r="N514" s="1">
        <f>Table1[[#This Row],[Winning Score]]-Table1[[#This Row],[Losing Score]]</f>
        <v>9</v>
      </c>
      <c r="O514" s="1">
        <f>Table1[[#This Row],[Losing Seed]]-Table1[[#This Row],[Winning Seed]]</f>
        <v>3</v>
      </c>
      <c r="P514" s="1" t="str">
        <f>IF(Table1[[#This Row],[SeD]]&lt;-2,Table1[[#This Row],[Winning Seed]]&amp; " over " &amp;Table1[[#This Row],[Losing Seed]],"")</f>
        <v/>
      </c>
      <c r="Q514">
        <f>VLOOKUP(Table1[[#This Row],[Losing Seed]],'Seed History'!$N$4:$O$19,2)</f>
        <v>0.61805555555555558</v>
      </c>
      <c r="R514" s="1">
        <f>IF(Table1[[#This Row],[Round]]="PI",0,Table1[[#This Row],[Round]]-1)</f>
        <v>0</v>
      </c>
      <c r="S514">
        <f>Table1[[#This Row],[LAW]]-Table1[[#This Row],[LEW]]</f>
        <v>-0.61805555555555558</v>
      </c>
    </row>
    <row r="515" spans="1:19" x14ac:dyDescent="0.25">
      <c r="A515" s="66">
        <v>34046</v>
      </c>
      <c r="B515" s="51">
        <f>YEAR(Table1[[#This Row],[Date]])</f>
        <v>1993</v>
      </c>
      <c r="C515" s="1">
        <v>1</v>
      </c>
      <c r="D515" t="s">
        <v>461</v>
      </c>
      <c r="E515" s="1">
        <v>2</v>
      </c>
      <c r="F515" t="s">
        <v>87</v>
      </c>
      <c r="G515" t="str">
        <f>VLOOKUP(Table1[[#This Row],[Winner]],Ranking!C:D,2,FALSE)</f>
        <v>BE</v>
      </c>
      <c r="H515" s="1">
        <v>81</v>
      </c>
      <c r="I515" s="1">
        <v>15</v>
      </c>
      <c r="J515" t="s">
        <v>376</v>
      </c>
      <c r="K515" t="str">
        <f>VLOOKUP(Table1[[#This Row],[Loser]],Ranking!C:D,2,FALSE)</f>
        <v>OVC</v>
      </c>
      <c r="L515" s="1">
        <v>59</v>
      </c>
      <c r="N515" s="1">
        <f>Table1[[#This Row],[Winning Score]]-Table1[[#This Row],[Losing Score]]</f>
        <v>22</v>
      </c>
      <c r="O515" s="1">
        <f>Table1[[#This Row],[Losing Seed]]-Table1[[#This Row],[Winning Seed]]</f>
        <v>13</v>
      </c>
      <c r="P515" s="1" t="str">
        <f>IF(Table1[[#This Row],[SeD]]&lt;-2,Table1[[#This Row],[Winning Seed]]&amp; " over " &amp;Table1[[#This Row],[Losing Seed]],"")</f>
        <v/>
      </c>
      <c r="Q515">
        <f>VLOOKUP(Table1[[#This Row],[Losing Seed]],'Seed History'!$N$4:$O$19,2)</f>
        <v>7.6388888888888895E-2</v>
      </c>
      <c r="R515" s="1">
        <f>IF(Table1[[#This Row],[Round]]="PI",0,Table1[[#This Row],[Round]]-1)</f>
        <v>0</v>
      </c>
      <c r="S515">
        <f>Table1[[#This Row],[LAW]]-Table1[[#This Row],[LEW]]</f>
        <v>-7.6388888888888895E-2</v>
      </c>
    </row>
    <row r="516" spans="1:19" x14ac:dyDescent="0.25">
      <c r="A516" s="66">
        <v>34046</v>
      </c>
      <c r="B516" s="51">
        <f>YEAR(Table1[[#This Row],[Date]])</f>
        <v>1993</v>
      </c>
      <c r="C516" s="1">
        <v>1</v>
      </c>
      <c r="D516" t="s">
        <v>461</v>
      </c>
      <c r="E516" s="1">
        <v>3</v>
      </c>
      <c r="F516" t="s">
        <v>207</v>
      </c>
      <c r="G516" t="str">
        <f>VLOOKUP(Table1[[#This Row],[Winner]],Ranking!C:D,2,FALSE)</f>
        <v>ACC</v>
      </c>
      <c r="H516" s="1">
        <v>82</v>
      </c>
      <c r="I516" s="1">
        <v>14</v>
      </c>
      <c r="J516" t="s">
        <v>199</v>
      </c>
      <c r="K516" t="str">
        <f>VLOOKUP(Table1[[#This Row],[Loser]],Ranking!C:D,2,FALSE)</f>
        <v>MVC</v>
      </c>
      <c r="L516" s="1">
        <v>70</v>
      </c>
      <c r="N516" s="1">
        <f>Table1[[#This Row],[Winning Score]]-Table1[[#This Row],[Losing Score]]</f>
        <v>12</v>
      </c>
      <c r="O516" s="1">
        <f>Table1[[#This Row],[Losing Seed]]-Table1[[#This Row],[Winning Seed]]</f>
        <v>11</v>
      </c>
      <c r="P516" s="1" t="str">
        <f>IF(Table1[[#This Row],[SeD]]&lt;-2,Table1[[#This Row],[Winning Seed]]&amp; " over " &amp;Table1[[#This Row],[Losing Seed]],"")</f>
        <v/>
      </c>
      <c r="Q516">
        <f>VLOOKUP(Table1[[#This Row],[Losing Seed]],'Seed History'!$N$4:$O$19,2)</f>
        <v>0.16666666666666666</v>
      </c>
      <c r="R516" s="1">
        <f>IF(Table1[[#This Row],[Round]]="PI",0,Table1[[#This Row],[Round]]-1)</f>
        <v>0</v>
      </c>
      <c r="S516">
        <f>Table1[[#This Row],[LAW]]-Table1[[#This Row],[LEW]]</f>
        <v>-0.16666666666666666</v>
      </c>
    </row>
    <row r="517" spans="1:19" x14ac:dyDescent="0.25">
      <c r="A517" s="66">
        <v>34046</v>
      </c>
      <c r="B517" s="51">
        <f>YEAR(Table1[[#This Row],[Date]])</f>
        <v>1993</v>
      </c>
      <c r="C517" s="1">
        <v>1</v>
      </c>
      <c r="D517" t="s">
        <v>461</v>
      </c>
      <c r="E517" s="1">
        <v>7</v>
      </c>
      <c r="F517" t="s">
        <v>415</v>
      </c>
      <c r="G517" t="str">
        <f>VLOOKUP(Table1[[#This Row],[Winner]],Ranking!C:D,2,FALSE)</f>
        <v>CUSA</v>
      </c>
      <c r="H517" s="1">
        <v>55</v>
      </c>
      <c r="I517" s="1">
        <v>10</v>
      </c>
      <c r="J517" t="s">
        <v>267</v>
      </c>
      <c r="K517" t="str">
        <f>VLOOKUP(Table1[[#This Row],[Loser]],Ranking!C:D,2,FALSE)</f>
        <v>Amer</v>
      </c>
      <c r="L517" s="1">
        <v>52</v>
      </c>
      <c r="N517" s="1">
        <f>Table1[[#This Row],[Winning Score]]-Table1[[#This Row],[Losing Score]]</f>
        <v>3</v>
      </c>
      <c r="O517" s="1">
        <f>Table1[[#This Row],[Losing Seed]]-Table1[[#This Row],[Winning Seed]]</f>
        <v>3</v>
      </c>
      <c r="P517" s="1" t="str">
        <f>IF(Table1[[#This Row],[SeD]]&lt;-2,Table1[[#This Row],[Winning Seed]]&amp; " over " &amp;Table1[[#This Row],[Losing Seed]],"")</f>
        <v/>
      </c>
      <c r="Q517">
        <f>VLOOKUP(Table1[[#This Row],[Losing Seed]],'Seed History'!$N$4:$O$19,2)</f>
        <v>0.61805555555555558</v>
      </c>
      <c r="R517" s="1">
        <f>IF(Table1[[#This Row],[Round]]="PI",0,Table1[[#This Row],[Round]]-1)</f>
        <v>0</v>
      </c>
      <c r="S517">
        <f>Table1[[#This Row],[LAW]]-Table1[[#This Row],[LEW]]</f>
        <v>-0.61805555555555558</v>
      </c>
    </row>
    <row r="518" spans="1:19" x14ac:dyDescent="0.25">
      <c r="A518" s="66">
        <v>34046</v>
      </c>
      <c r="B518" s="51">
        <f>YEAR(Table1[[#This Row],[Date]])</f>
        <v>1993</v>
      </c>
      <c r="C518" s="1">
        <v>1</v>
      </c>
      <c r="D518" t="s">
        <v>38</v>
      </c>
      <c r="E518" s="1">
        <v>3</v>
      </c>
      <c r="F518" t="s">
        <v>78</v>
      </c>
      <c r="G518" t="str">
        <f>VLOOKUP(Table1[[#This Row],[Winner]],Ranking!C:D,2,FALSE)</f>
        <v>SEC</v>
      </c>
      <c r="H518" s="1">
        <v>92</v>
      </c>
      <c r="I518" s="1">
        <v>14</v>
      </c>
      <c r="J518" t="s">
        <v>137</v>
      </c>
      <c r="K518" t="str">
        <f>VLOOKUP(Table1[[#This Row],[Loser]],Ranking!C:D,2,FALSE)</f>
        <v>MWC</v>
      </c>
      <c r="L518" s="1">
        <v>72</v>
      </c>
      <c r="N518" s="1">
        <f>Table1[[#This Row],[Winning Score]]-Table1[[#This Row],[Losing Score]]</f>
        <v>20</v>
      </c>
      <c r="O518" s="1">
        <f>Table1[[#This Row],[Losing Seed]]-Table1[[#This Row],[Winning Seed]]</f>
        <v>11</v>
      </c>
      <c r="P518" s="1" t="str">
        <f>IF(Table1[[#This Row],[SeD]]&lt;-2,Table1[[#This Row],[Winning Seed]]&amp; " over " &amp;Table1[[#This Row],[Losing Seed]],"")</f>
        <v/>
      </c>
      <c r="Q518">
        <f>VLOOKUP(Table1[[#This Row],[Losing Seed]],'Seed History'!$N$4:$O$19,2)</f>
        <v>0.16666666666666666</v>
      </c>
      <c r="R518" s="1">
        <f>IF(Table1[[#This Row],[Round]]="PI",0,Table1[[#This Row],[Round]]-1)</f>
        <v>0</v>
      </c>
      <c r="S518">
        <f>Table1[[#This Row],[LAW]]-Table1[[#This Row],[LEW]]</f>
        <v>-0.16666666666666666</v>
      </c>
    </row>
    <row r="519" spans="1:19" x14ac:dyDescent="0.25">
      <c r="A519" s="66">
        <v>34046</v>
      </c>
      <c r="B519" s="51">
        <f>YEAR(Table1[[#This Row],[Date]])</f>
        <v>1993</v>
      </c>
      <c r="C519" s="1">
        <v>1</v>
      </c>
      <c r="D519" t="s">
        <v>38</v>
      </c>
      <c r="E519" s="1">
        <v>6</v>
      </c>
      <c r="F519" t="s">
        <v>230</v>
      </c>
      <c r="G519" t="str">
        <f>VLOOKUP(Table1[[#This Row],[Winner]],Ranking!C:D,2,FALSE)</f>
        <v>B10</v>
      </c>
      <c r="H519" s="1">
        <v>75</v>
      </c>
      <c r="I519" s="1">
        <v>11</v>
      </c>
      <c r="J519" t="s">
        <v>252</v>
      </c>
      <c r="K519" t="str">
        <f>VLOOKUP(Table1[[#This Row],[Loser]],Ranking!C:D,2,FALSE)</f>
        <v>BW</v>
      </c>
      <c r="L519" s="1">
        <v>72</v>
      </c>
      <c r="N519" s="1">
        <f>Table1[[#This Row],[Winning Score]]-Table1[[#This Row],[Losing Score]]</f>
        <v>3</v>
      </c>
      <c r="O519" s="1">
        <f>Table1[[#This Row],[Losing Seed]]-Table1[[#This Row],[Winning Seed]]</f>
        <v>5</v>
      </c>
      <c r="P519" s="1" t="str">
        <f>IF(Table1[[#This Row],[SeD]]&lt;-2,Table1[[#This Row],[Winning Seed]]&amp; " over " &amp;Table1[[#This Row],[Losing Seed]],"")</f>
        <v/>
      </c>
      <c r="Q519">
        <f>VLOOKUP(Table1[[#This Row],[Losing Seed]],'Seed History'!$N$4:$O$19,2)</f>
        <v>0.63194444444444442</v>
      </c>
      <c r="R519" s="1">
        <f>IF(Table1[[#This Row],[Round]]="PI",0,Table1[[#This Row],[Round]]-1)</f>
        <v>0</v>
      </c>
      <c r="S519">
        <f>Table1[[#This Row],[LAW]]-Table1[[#This Row],[LEW]]</f>
        <v>-0.63194444444444442</v>
      </c>
    </row>
    <row r="520" spans="1:19" x14ac:dyDescent="0.25">
      <c r="A520" s="66">
        <v>34046</v>
      </c>
      <c r="B520" s="51">
        <f>YEAR(Table1[[#This Row],[Date]])</f>
        <v>1993</v>
      </c>
      <c r="C520" s="1">
        <v>1</v>
      </c>
      <c r="D520" t="s">
        <v>38</v>
      </c>
      <c r="E520" s="1">
        <v>7</v>
      </c>
      <c r="F520" t="s">
        <v>373</v>
      </c>
      <c r="G520" t="str">
        <f>VLOOKUP(Table1[[#This Row],[Winner]],Ranking!C:D,2,FALSE)</f>
        <v>Amer</v>
      </c>
      <c r="H520" s="1">
        <v>75</v>
      </c>
      <c r="I520" s="1">
        <v>10</v>
      </c>
      <c r="J520" t="s">
        <v>277</v>
      </c>
      <c r="K520" t="str">
        <f>VLOOKUP(Table1[[#This Row],[Loser]],Ranking!C:D,2,FALSE)</f>
        <v>SEC</v>
      </c>
      <c r="L520" s="1">
        <v>61</v>
      </c>
      <c r="N520" s="1">
        <f>Table1[[#This Row],[Winning Score]]-Table1[[#This Row],[Losing Score]]</f>
        <v>14</v>
      </c>
      <c r="O520" s="1">
        <f>Table1[[#This Row],[Losing Seed]]-Table1[[#This Row],[Winning Seed]]</f>
        <v>3</v>
      </c>
      <c r="P520" s="1" t="str">
        <f>IF(Table1[[#This Row],[SeD]]&lt;-2,Table1[[#This Row],[Winning Seed]]&amp; " over " &amp;Table1[[#This Row],[Losing Seed]],"")</f>
        <v/>
      </c>
      <c r="Q520">
        <f>VLOOKUP(Table1[[#This Row],[Losing Seed]],'Seed History'!$N$4:$O$19,2)</f>
        <v>0.61805555555555558</v>
      </c>
      <c r="R520" s="1">
        <f>IF(Table1[[#This Row],[Round]]="PI",0,Table1[[#This Row],[Round]]-1)</f>
        <v>0</v>
      </c>
      <c r="S520">
        <f>Table1[[#This Row],[LAW]]-Table1[[#This Row],[LEW]]</f>
        <v>-0.61805555555555558</v>
      </c>
    </row>
    <row r="521" spans="1:19" x14ac:dyDescent="0.25">
      <c r="A521" s="66">
        <v>34046</v>
      </c>
      <c r="B521" s="51">
        <f>YEAR(Table1[[#This Row],[Date]])</f>
        <v>1993</v>
      </c>
      <c r="C521" s="1">
        <v>1</v>
      </c>
      <c r="D521" t="s">
        <v>461</v>
      </c>
      <c r="E521" s="1">
        <v>11</v>
      </c>
      <c r="F521" t="s">
        <v>385</v>
      </c>
      <c r="G521" t="str">
        <f>VLOOKUP(Table1[[#This Row],[Winner]],Ranking!C:D,2,FALSE)</f>
        <v>Amer</v>
      </c>
      <c r="H521" s="1">
        <v>55</v>
      </c>
      <c r="I521" s="1">
        <v>6</v>
      </c>
      <c r="J521" t="s">
        <v>243</v>
      </c>
      <c r="K521" t="str">
        <f>VLOOKUP(Table1[[#This Row],[Loser]],Ranking!C:D,2,FALSE)</f>
        <v>B12</v>
      </c>
      <c r="L521" s="1">
        <v>53</v>
      </c>
      <c r="N521" s="1">
        <f>Table1[[#This Row],[Winning Score]]-Table1[[#This Row],[Losing Score]]</f>
        <v>2</v>
      </c>
      <c r="O521" s="1">
        <f>Table1[[#This Row],[Losing Seed]]-Table1[[#This Row],[Winning Seed]]</f>
        <v>-5</v>
      </c>
      <c r="P521" s="1" t="str">
        <f>IF(Table1[[#This Row],[SeD]]&lt;-2,Table1[[#This Row],[Winning Seed]]&amp; " over " &amp;Table1[[#This Row],[Losing Seed]],"")</f>
        <v>11 over 6</v>
      </c>
      <c r="Q521">
        <f>VLOOKUP(Table1[[#This Row],[Losing Seed]],'Seed History'!$N$4:$O$19,2)</f>
        <v>1.0625</v>
      </c>
      <c r="R521" s="1">
        <f>IF(Table1[[#This Row],[Round]]="PI",0,Table1[[#This Row],[Round]]-1)</f>
        <v>0</v>
      </c>
      <c r="S521">
        <f>Table1[[#This Row],[LAW]]-Table1[[#This Row],[LEW]]</f>
        <v>-1.0625</v>
      </c>
    </row>
    <row r="522" spans="1:19" x14ac:dyDescent="0.25">
      <c r="A522" s="66">
        <v>34047</v>
      </c>
      <c r="B522" s="51">
        <f>YEAR(Table1[[#This Row],[Date]])</f>
        <v>1993</v>
      </c>
      <c r="C522" s="1">
        <v>1</v>
      </c>
      <c r="D522" t="s">
        <v>38</v>
      </c>
      <c r="E522" s="1">
        <v>13</v>
      </c>
      <c r="F522" t="s">
        <v>361</v>
      </c>
      <c r="G522" t="str">
        <f>VLOOKUP(Table1[[#This Row],[Winner]],Ranking!C:D,2,FALSE)</f>
        <v>SWAC</v>
      </c>
      <c r="H522" s="1">
        <v>93</v>
      </c>
      <c r="I522" s="1">
        <v>4</v>
      </c>
      <c r="J522" t="s">
        <v>216</v>
      </c>
      <c r="K522" t="str">
        <f>VLOOKUP(Table1[[#This Row],[Loser]],Ranking!C:D,2,FALSE)</f>
        <v>ACC</v>
      </c>
      <c r="L522" s="1">
        <v>78</v>
      </c>
      <c r="N522" s="1">
        <f>Table1[[#This Row],[Winning Score]]-Table1[[#This Row],[Losing Score]]</f>
        <v>15</v>
      </c>
      <c r="O522" s="1">
        <f>Table1[[#This Row],[Losing Seed]]-Table1[[#This Row],[Winning Seed]]</f>
        <v>-9</v>
      </c>
      <c r="P522" s="1" t="str">
        <f>IF(Table1[[#This Row],[SeD]]&lt;-2,Table1[[#This Row],[Winning Seed]]&amp; " over " &amp;Table1[[#This Row],[Losing Seed]],"")</f>
        <v>13 over 4</v>
      </c>
      <c r="Q522">
        <f>VLOOKUP(Table1[[#This Row],[Losing Seed]],'Seed History'!$N$4:$O$19,2)</f>
        <v>1.5208333333333333</v>
      </c>
      <c r="R522" s="1">
        <f>IF(Table1[[#This Row],[Round]]="PI",0,Table1[[#This Row],[Round]]-1)</f>
        <v>0</v>
      </c>
      <c r="S522">
        <f>Table1[[#This Row],[LAW]]-Table1[[#This Row],[LEW]]</f>
        <v>-1.5208333333333333</v>
      </c>
    </row>
    <row r="523" spans="1:19" x14ac:dyDescent="0.25">
      <c r="A523" s="66">
        <v>34047</v>
      </c>
      <c r="B523" s="51">
        <f>YEAR(Table1[[#This Row],[Date]])</f>
        <v>1993</v>
      </c>
      <c r="C523" s="1">
        <v>1</v>
      </c>
      <c r="D523" t="s">
        <v>38</v>
      </c>
      <c r="E523" s="1">
        <v>12</v>
      </c>
      <c r="F523" t="s">
        <v>213</v>
      </c>
      <c r="G523" t="str">
        <f>VLOOKUP(Table1[[#This Row],[Winner]],Ranking!C:D,2,FALSE)</f>
        <v>A10</v>
      </c>
      <c r="H523" s="1">
        <v>82</v>
      </c>
      <c r="I523" s="1">
        <v>5</v>
      </c>
      <c r="J523" t="s">
        <v>291</v>
      </c>
      <c r="K523" t="str">
        <f>VLOOKUP(Table1[[#This Row],[Loser]],Ranking!C:D,2,FALSE)</f>
        <v>MWC</v>
      </c>
      <c r="L523" s="1">
        <v>68</v>
      </c>
      <c r="N523" s="1">
        <f>Table1[[#This Row],[Winning Score]]-Table1[[#This Row],[Losing Score]]</f>
        <v>14</v>
      </c>
      <c r="O523" s="1">
        <f>Table1[[#This Row],[Losing Seed]]-Table1[[#This Row],[Winning Seed]]</f>
        <v>-7</v>
      </c>
      <c r="P523" s="1" t="str">
        <f>IF(Table1[[#This Row],[SeD]]&lt;-2,Table1[[#This Row],[Winning Seed]]&amp; " over " &amp;Table1[[#This Row],[Losing Seed]],"")</f>
        <v>12 over 5</v>
      </c>
      <c r="Q523">
        <f>VLOOKUP(Table1[[#This Row],[Losing Seed]],'Seed History'!$N$4:$O$19,2)</f>
        <v>1.1180555555555556</v>
      </c>
      <c r="R523" s="1">
        <f>IF(Table1[[#This Row],[Round]]="PI",0,Table1[[#This Row],[Round]]-1)</f>
        <v>0</v>
      </c>
      <c r="S523">
        <f>Table1[[#This Row],[LAW]]-Table1[[#This Row],[LEW]]</f>
        <v>-1.1180555555555556</v>
      </c>
    </row>
    <row r="524" spans="1:19" x14ac:dyDescent="0.25">
      <c r="A524" s="66">
        <v>34047</v>
      </c>
      <c r="B524" s="51">
        <f>YEAR(Table1[[#This Row],[Date]])</f>
        <v>1993</v>
      </c>
      <c r="C524" s="1">
        <v>1</v>
      </c>
      <c r="D524" t="s">
        <v>49</v>
      </c>
      <c r="E524" s="1">
        <v>2</v>
      </c>
      <c r="F524" t="s">
        <v>28</v>
      </c>
      <c r="G524" t="str">
        <f>VLOOKUP(Table1[[#This Row],[Winner]],Ranking!C:D,2,FALSE)</f>
        <v>Amer</v>
      </c>
      <c r="H524" s="1">
        <v>93</v>
      </c>
      <c r="I524" s="1">
        <v>15</v>
      </c>
      <c r="J524" t="s">
        <v>178</v>
      </c>
      <c r="K524" t="str">
        <f>VLOOKUP(Table1[[#This Row],[Loser]],Ranking!C:D,2,FALSE)</f>
        <v>MEAC</v>
      </c>
      <c r="L524" s="1">
        <v>66</v>
      </c>
      <c r="N524" s="1">
        <f>Table1[[#This Row],[Winning Score]]-Table1[[#This Row],[Losing Score]]</f>
        <v>27</v>
      </c>
      <c r="O524" s="1">
        <f>Table1[[#This Row],[Losing Seed]]-Table1[[#This Row],[Winning Seed]]</f>
        <v>13</v>
      </c>
      <c r="P524" s="1" t="str">
        <f>IF(Table1[[#This Row],[SeD]]&lt;-2,Table1[[#This Row],[Winning Seed]]&amp; " over " &amp;Table1[[#This Row],[Losing Seed]],"")</f>
        <v/>
      </c>
      <c r="Q524">
        <f>VLOOKUP(Table1[[#This Row],[Losing Seed]],'Seed History'!$N$4:$O$19,2)</f>
        <v>7.6388888888888895E-2</v>
      </c>
      <c r="R524" s="1">
        <f>IF(Table1[[#This Row],[Round]]="PI",0,Table1[[#This Row],[Round]]-1)</f>
        <v>0</v>
      </c>
      <c r="S524">
        <f>Table1[[#This Row],[LAW]]-Table1[[#This Row],[LEW]]</f>
        <v>-7.6388888888888895E-2</v>
      </c>
    </row>
    <row r="525" spans="1:19" x14ac:dyDescent="0.25">
      <c r="A525" s="66">
        <v>34047</v>
      </c>
      <c r="B525" s="51">
        <f>YEAR(Table1[[#This Row],[Date]])</f>
        <v>1993</v>
      </c>
      <c r="C525" s="1">
        <v>1</v>
      </c>
      <c r="D525" t="s">
        <v>49</v>
      </c>
      <c r="E525" s="1">
        <v>3</v>
      </c>
      <c r="F525" t="s">
        <v>265</v>
      </c>
      <c r="G525" t="str">
        <f>VLOOKUP(Table1[[#This Row],[Winner]],Ranking!C:D,2,FALSE)</f>
        <v>A10</v>
      </c>
      <c r="H525" s="1">
        <v>54</v>
      </c>
      <c r="I525" s="1">
        <v>14</v>
      </c>
      <c r="J525" t="s">
        <v>321</v>
      </c>
      <c r="K525" t="str">
        <f>VLOOKUP(Table1[[#This Row],[Loser]],Ranking!C:D,2,FALSE)</f>
        <v>Ivy</v>
      </c>
      <c r="L525" s="1">
        <v>50</v>
      </c>
      <c r="N525" s="1">
        <f>Table1[[#This Row],[Winning Score]]-Table1[[#This Row],[Losing Score]]</f>
        <v>4</v>
      </c>
      <c r="O525" s="1">
        <f>Table1[[#This Row],[Losing Seed]]-Table1[[#This Row],[Winning Seed]]</f>
        <v>11</v>
      </c>
      <c r="P525" s="1" t="str">
        <f>IF(Table1[[#This Row],[SeD]]&lt;-2,Table1[[#This Row],[Winning Seed]]&amp; " over " &amp;Table1[[#This Row],[Losing Seed]],"")</f>
        <v/>
      </c>
      <c r="Q525">
        <f>VLOOKUP(Table1[[#This Row],[Losing Seed]],'Seed History'!$N$4:$O$19,2)</f>
        <v>0.16666666666666666</v>
      </c>
      <c r="R525" s="1">
        <f>IF(Table1[[#This Row],[Round]]="PI",0,Table1[[#This Row],[Round]]-1)</f>
        <v>0</v>
      </c>
      <c r="S525">
        <f>Table1[[#This Row],[LAW]]-Table1[[#This Row],[LEW]]</f>
        <v>-0.16666666666666666</v>
      </c>
    </row>
    <row r="526" spans="1:19" x14ac:dyDescent="0.25">
      <c r="A526" s="66">
        <v>34047</v>
      </c>
      <c r="B526" s="51">
        <f>YEAR(Table1[[#This Row],[Date]])</f>
        <v>1993</v>
      </c>
      <c r="C526" s="1">
        <v>1</v>
      </c>
      <c r="D526" t="s">
        <v>49</v>
      </c>
      <c r="E526" s="1">
        <v>6</v>
      </c>
      <c r="F526" t="s">
        <v>61</v>
      </c>
      <c r="G526" t="str">
        <f>VLOOKUP(Table1[[#This Row],[Winner]],Ranking!C:D,2,FALSE)</f>
        <v>ACC</v>
      </c>
      <c r="H526" s="1">
        <v>78</v>
      </c>
      <c r="I526" s="1">
        <v>11</v>
      </c>
      <c r="J526" t="s">
        <v>73</v>
      </c>
      <c r="K526" t="str">
        <f>VLOOKUP(Table1[[#This Row],[Loser]],Ranking!C:D,2,FALSE)</f>
        <v>MAAC</v>
      </c>
      <c r="L526" s="1">
        <v>66</v>
      </c>
      <c r="N526" s="1">
        <f>Table1[[#This Row],[Winning Score]]-Table1[[#This Row],[Losing Score]]</f>
        <v>12</v>
      </c>
      <c r="O526" s="1">
        <f>Table1[[#This Row],[Losing Seed]]-Table1[[#This Row],[Winning Seed]]</f>
        <v>5</v>
      </c>
      <c r="P526" s="1" t="str">
        <f>IF(Table1[[#This Row],[SeD]]&lt;-2,Table1[[#This Row],[Winning Seed]]&amp; " over " &amp;Table1[[#This Row],[Losing Seed]],"")</f>
        <v/>
      </c>
      <c r="Q526">
        <f>VLOOKUP(Table1[[#This Row],[Losing Seed]],'Seed History'!$N$4:$O$19,2)</f>
        <v>0.63194444444444442</v>
      </c>
      <c r="R526" s="1">
        <f>IF(Table1[[#This Row],[Round]]="PI",0,Table1[[#This Row],[Round]]-1)</f>
        <v>0</v>
      </c>
      <c r="S526">
        <f>Table1[[#This Row],[LAW]]-Table1[[#This Row],[LEW]]</f>
        <v>-0.63194444444444442</v>
      </c>
    </row>
    <row r="527" spans="1:19" x14ac:dyDescent="0.25">
      <c r="A527" s="66">
        <v>34047</v>
      </c>
      <c r="B527" s="51">
        <f>YEAR(Table1[[#This Row],[Date]])</f>
        <v>1993</v>
      </c>
      <c r="C527" s="1">
        <v>1</v>
      </c>
      <c r="D527" t="s">
        <v>49</v>
      </c>
      <c r="E527" s="1">
        <v>7</v>
      </c>
      <c r="F527" t="s">
        <v>292</v>
      </c>
      <c r="G527" t="str">
        <f>VLOOKUP(Table1[[#This Row],[Winner]],Ranking!C:D,2,FALSE)</f>
        <v>WAC</v>
      </c>
      <c r="H527" s="1">
        <v>93</v>
      </c>
      <c r="I527" s="1">
        <v>10</v>
      </c>
      <c r="J527" t="s">
        <v>287</v>
      </c>
      <c r="K527" t="str">
        <f>VLOOKUP(Table1[[#This Row],[Loser]],Ranking!C:D,2,FALSE)</f>
        <v>B10</v>
      </c>
      <c r="L527" s="1">
        <v>79</v>
      </c>
      <c r="N527" s="1">
        <f>Table1[[#This Row],[Winning Score]]-Table1[[#This Row],[Losing Score]]</f>
        <v>14</v>
      </c>
      <c r="O527" s="1">
        <f>Table1[[#This Row],[Losing Seed]]-Table1[[#This Row],[Winning Seed]]</f>
        <v>3</v>
      </c>
      <c r="P527" s="1" t="str">
        <f>IF(Table1[[#This Row],[SeD]]&lt;-2,Table1[[#This Row],[Winning Seed]]&amp; " over " &amp;Table1[[#This Row],[Losing Seed]],"")</f>
        <v/>
      </c>
      <c r="Q527">
        <f>VLOOKUP(Table1[[#This Row],[Losing Seed]],'Seed History'!$N$4:$O$19,2)</f>
        <v>0.61805555555555558</v>
      </c>
      <c r="R527" s="1">
        <f>IF(Table1[[#This Row],[Round]]="PI",0,Table1[[#This Row],[Round]]-1)</f>
        <v>0</v>
      </c>
      <c r="S527">
        <f>Table1[[#This Row],[LAW]]-Table1[[#This Row],[LEW]]</f>
        <v>-0.61805555555555558</v>
      </c>
    </row>
    <row r="528" spans="1:19" x14ac:dyDescent="0.25">
      <c r="A528" s="66">
        <v>34047</v>
      </c>
      <c r="B528" s="51">
        <f>YEAR(Table1[[#This Row],[Date]])</f>
        <v>1993</v>
      </c>
      <c r="C528" s="1">
        <v>1</v>
      </c>
      <c r="D528" t="s">
        <v>439</v>
      </c>
      <c r="E528" s="1">
        <v>1</v>
      </c>
      <c r="F528" t="s">
        <v>36</v>
      </c>
      <c r="G528" t="str">
        <f>VLOOKUP(Table1[[#This Row],[Winner]],Ranking!C:D,2,FALSE)</f>
        <v>B10</v>
      </c>
      <c r="H528" s="1">
        <v>97</v>
      </c>
      <c r="I528" s="1">
        <v>16</v>
      </c>
      <c r="J528" t="s">
        <v>420</v>
      </c>
      <c r="K528" t="str">
        <f>VLOOKUP(Table1[[#This Row],[Loser]],Ranking!C:D,2,FALSE)</f>
        <v>Horz</v>
      </c>
      <c r="L528" s="1">
        <v>54</v>
      </c>
      <c r="N528" s="1">
        <f>Table1[[#This Row],[Winning Score]]-Table1[[#This Row],[Losing Score]]</f>
        <v>43</v>
      </c>
      <c r="O528" s="1">
        <f>Table1[[#This Row],[Losing Seed]]-Table1[[#This Row],[Winning Seed]]</f>
        <v>15</v>
      </c>
      <c r="P528" s="1" t="str">
        <f>IF(Table1[[#This Row],[SeD]]&lt;-2,Table1[[#This Row],[Winning Seed]]&amp; " over " &amp;Table1[[#This Row],[Losing Seed]],"")</f>
        <v/>
      </c>
      <c r="Q528">
        <f>VLOOKUP(Table1[[#This Row],[Losing Seed]],'Seed History'!$N$4:$O$19,2)</f>
        <v>6.9444444444444441E-3</v>
      </c>
      <c r="R528" s="1">
        <f>IF(Table1[[#This Row],[Round]]="PI",0,Table1[[#This Row],[Round]]-1)</f>
        <v>0</v>
      </c>
      <c r="S528">
        <f>Table1[[#This Row],[LAW]]-Table1[[#This Row],[LEW]]</f>
        <v>-6.9444444444444441E-3</v>
      </c>
    </row>
    <row r="529" spans="1:19" x14ac:dyDescent="0.25">
      <c r="A529" s="66">
        <v>34047</v>
      </c>
      <c r="B529" s="51">
        <f>YEAR(Table1[[#This Row],[Date]])</f>
        <v>1993</v>
      </c>
      <c r="C529" s="1">
        <v>1</v>
      </c>
      <c r="D529" t="s">
        <v>439</v>
      </c>
      <c r="E529" s="1">
        <v>4</v>
      </c>
      <c r="F529" t="s">
        <v>54</v>
      </c>
      <c r="G529" t="str">
        <f>VLOOKUP(Table1[[#This Row],[Winner]],Ranking!C:D,2,FALSE)</f>
        <v>ACC</v>
      </c>
      <c r="H529" s="1">
        <v>76</v>
      </c>
      <c r="I529" s="1">
        <v>13</v>
      </c>
      <c r="J529" t="s">
        <v>182</v>
      </c>
      <c r="K529" t="str">
        <f>VLOOKUP(Table1[[#This Row],[Loser]],Ranking!C:D,2,FALSE)</f>
        <v>CAA</v>
      </c>
      <c r="L529" s="1">
        <v>70</v>
      </c>
      <c r="N529" s="1">
        <f>Table1[[#This Row],[Winning Score]]-Table1[[#This Row],[Losing Score]]</f>
        <v>6</v>
      </c>
      <c r="O529" s="1">
        <f>Table1[[#This Row],[Losing Seed]]-Table1[[#This Row],[Winning Seed]]</f>
        <v>9</v>
      </c>
      <c r="P529" s="1" t="str">
        <f>IF(Table1[[#This Row],[SeD]]&lt;-2,Table1[[#This Row],[Winning Seed]]&amp; " over " &amp;Table1[[#This Row],[Losing Seed]],"")</f>
        <v/>
      </c>
      <c r="Q529">
        <f>VLOOKUP(Table1[[#This Row],[Losing Seed]],'Seed History'!$N$4:$O$19,2)</f>
        <v>0.25694444444444442</v>
      </c>
      <c r="R529" s="1">
        <f>IF(Table1[[#This Row],[Round]]="PI",0,Table1[[#This Row],[Round]]-1)</f>
        <v>0</v>
      </c>
      <c r="S529">
        <f>Table1[[#This Row],[LAW]]-Table1[[#This Row],[LEW]]</f>
        <v>-0.25694444444444442</v>
      </c>
    </row>
    <row r="530" spans="1:19" x14ac:dyDescent="0.25">
      <c r="A530" s="66">
        <v>34047</v>
      </c>
      <c r="B530" s="51">
        <f>YEAR(Table1[[#This Row],[Date]])</f>
        <v>1993</v>
      </c>
      <c r="C530" s="1">
        <v>1</v>
      </c>
      <c r="D530" t="s">
        <v>439</v>
      </c>
      <c r="E530" s="1">
        <v>5</v>
      </c>
      <c r="F530" t="s">
        <v>316</v>
      </c>
      <c r="G530" t="str">
        <f>VLOOKUP(Table1[[#This Row],[Winner]],Ranking!C:D,2,FALSE)</f>
        <v>B12</v>
      </c>
      <c r="H530" s="1">
        <v>74</v>
      </c>
      <c r="I530" s="1">
        <v>12</v>
      </c>
      <c r="J530" t="s">
        <v>262</v>
      </c>
      <c r="K530" t="str">
        <f>VLOOKUP(Table1[[#This Row],[Loser]],Ranking!C:D,2,FALSE)</f>
        <v>BE</v>
      </c>
      <c r="L530" s="1">
        <v>62</v>
      </c>
      <c r="N530" s="1">
        <f>Table1[[#This Row],[Winning Score]]-Table1[[#This Row],[Losing Score]]</f>
        <v>12</v>
      </c>
      <c r="O530" s="1">
        <f>Table1[[#This Row],[Losing Seed]]-Table1[[#This Row],[Winning Seed]]</f>
        <v>7</v>
      </c>
      <c r="P530" s="1" t="str">
        <f>IF(Table1[[#This Row],[SeD]]&lt;-2,Table1[[#This Row],[Winning Seed]]&amp; " over " &amp;Table1[[#This Row],[Losing Seed]],"")</f>
        <v/>
      </c>
      <c r="Q530">
        <f>VLOOKUP(Table1[[#This Row],[Losing Seed]],'Seed History'!$N$4:$O$19,2)</f>
        <v>0.52083333333333337</v>
      </c>
      <c r="R530" s="1">
        <f>IF(Table1[[#This Row],[Round]]="PI",0,Table1[[#This Row],[Round]]-1)</f>
        <v>0</v>
      </c>
      <c r="S530">
        <f>Table1[[#This Row],[LAW]]-Table1[[#This Row],[LEW]]</f>
        <v>-0.52083333333333337</v>
      </c>
    </row>
    <row r="531" spans="1:19" x14ac:dyDescent="0.25">
      <c r="A531" s="66">
        <v>34047</v>
      </c>
      <c r="B531" s="51">
        <f>YEAR(Table1[[#This Row],[Date]])</f>
        <v>1993</v>
      </c>
      <c r="C531" s="1">
        <v>1</v>
      </c>
      <c r="D531" t="s">
        <v>461</v>
      </c>
      <c r="E531" s="1">
        <v>1</v>
      </c>
      <c r="F531" t="s">
        <v>26</v>
      </c>
      <c r="G531" t="str">
        <f>VLOOKUP(Table1[[#This Row],[Winner]],Ranking!C:D,2,FALSE)</f>
        <v>SEC</v>
      </c>
      <c r="H531" s="1">
        <v>96</v>
      </c>
      <c r="I531" s="1">
        <v>16</v>
      </c>
      <c r="J531" t="s">
        <v>332</v>
      </c>
      <c r="K531" t="str">
        <f>VLOOKUP(Table1[[#This Row],[Loser]],Ranking!C:D,2,FALSE)</f>
        <v>MAAC</v>
      </c>
      <c r="L531" s="1">
        <v>52</v>
      </c>
      <c r="N531" s="1">
        <f>Table1[[#This Row],[Winning Score]]-Table1[[#This Row],[Losing Score]]</f>
        <v>44</v>
      </c>
      <c r="O531" s="1">
        <f>Table1[[#This Row],[Losing Seed]]-Table1[[#This Row],[Winning Seed]]</f>
        <v>15</v>
      </c>
      <c r="P531" s="1" t="str">
        <f>IF(Table1[[#This Row],[SeD]]&lt;-2,Table1[[#This Row],[Winning Seed]]&amp; " over " &amp;Table1[[#This Row],[Losing Seed]],"")</f>
        <v/>
      </c>
      <c r="Q531">
        <f>VLOOKUP(Table1[[#This Row],[Losing Seed]],'Seed History'!$N$4:$O$19,2)</f>
        <v>6.9444444444444441E-3</v>
      </c>
      <c r="R531" s="1">
        <f>IF(Table1[[#This Row],[Round]]="PI",0,Table1[[#This Row],[Round]]-1)</f>
        <v>0</v>
      </c>
      <c r="S531">
        <f>Table1[[#This Row],[LAW]]-Table1[[#This Row],[LEW]]</f>
        <v>-6.9444444444444441E-3</v>
      </c>
    </row>
    <row r="532" spans="1:19" x14ac:dyDescent="0.25">
      <c r="A532" s="66">
        <v>34047</v>
      </c>
      <c r="B532" s="51">
        <f>YEAR(Table1[[#This Row],[Date]])</f>
        <v>1993</v>
      </c>
      <c r="C532" s="1">
        <v>1</v>
      </c>
      <c r="D532" t="s">
        <v>461</v>
      </c>
      <c r="E532" s="1">
        <v>4</v>
      </c>
      <c r="F532" t="s">
        <v>69</v>
      </c>
      <c r="G532" t="str">
        <f>VLOOKUP(Table1[[#This Row],[Winner]],Ranking!C:D,2,FALSE)</f>
        <v>B10</v>
      </c>
      <c r="H532" s="1">
        <v>82</v>
      </c>
      <c r="I532" s="1">
        <v>13</v>
      </c>
      <c r="J532" t="s">
        <v>255</v>
      </c>
      <c r="K532" t="str">
        <f>VLOOKUP(Table1[[#This Row],[Loser]],Ranking!C:D,2,FALSE)</f>
        <v>SB</v>
      </c>
      <c r="L532" s="1">
        <v>69</v>
      </c>
      <c r="N532" s="1">
        <f>Table1[[#This Row],[Winning Score]]-Table1[[#This Row],[Losing Score]]</f>
        <v>13</v>
      </c>
      <c r="O532" s="1">
        <f>Table1[[#This Row],[Losing Seed]]-Table1[[#This Row],[Winning Seed]]</f>
        <v>9</v>
      </c>
      <c r="P532" s="1" t="str">
        <f>IF(Table1[[#This Row],[SeD]]&lt;-2,Table1[[#This Row],[Winning Seed]]&amp; " over " &amp;Table1[[#This Row],[Losing Seed]],"")</f>
        <v/>
      </c>
      <c r="Q532">
        <f>VLOOKUP(Table1[[#This Row],[Losing Seed]],'Seed History'!$N$4:$O$19,2)</f>
        <v>0.25694444444444442</v>
      </c>
      <c r="R532" s="1">
        <f>IF(Table1[[#This Row],[Round]]="PI",0,Table1[[#This Row],[Round]]-1)</f>
        <v>0</v>
      </c>
      <c r="S532">
        <f>Table1[[#This Row],[LAW]]-Table1[[#This Row],[LEW]]</f>
        <v>-0.25694444444444442</v>
      </c>
    </row>
    <row r="533" spans="1:19" x14ac:dyDescent="0.25">
      <c r="A533" s="66">
        <v>34047</v>
      </c>
      <c r="B533" s="51">
        <f>YEAR(Table1[[#This Row],[Date]])</f>
        <v>1993</v>
      </c>
      <c r="C533" s="1">
        <v>1</v>
      </c>
      <c r="D533" t="s">
        <v>461</v>
      </c>
      <c r="E533" s="1">
        <v>5</v>
      </c>
      <c r="F533" t="s">
        <v>408</v>
      </c>
      <c r="G533" t="str">
        <f>VLOOKUP(Table1[[#This Row],[Winner]],Ranking!C:D,2,FALSE)</f>
        <v>ACC</v>
      </c>
      <c r="H533" s="1">
        <v>81</v>
      </c>
      <c r="I533" s="1">
        <v>12</v>
      </c>
      <c r="J533" t="s">
        <v>167</v>
      </c>
      <c r="K533" t="str">
        <f>VLOOKUP(Table1[[#This Row],[Loser]],Ranking!C:D,2,FALSE)</f>
        <v>SC</v>
      </c>
      <c r="L533" s="1">
        <v>58</v>
      </c>
      <c r="N533" s="1">
        <f>Table1[[#This Row],[Winning Score]]-Table1[[#This Row],[Losing Score]]</f>
        <v>23</v>
      </c>
      <c r="O533" s="1">
        <f>Table1[[#This Row],[Losing Seed]]-Table1[[#This Row],[Winning Seed]]</f>
        <v>7</v>
      </c>
      <c r="P533" s="1" t="str">
        <f>IF(Table1[[#This Row],[SeD]]&lt;-2,Table1[[#This Row],[Winning Seed]]&amp; " over " &amp;Table1[[#This Row],[Losing Seed]],"")</f>
        <v/>
      </c>
      <c r="Q533">
        <f>VLOOKUP(Table1[[#This Row],[Losing Seed]],'Seed History'!$N$4:$O$19,2)</f>
        <v>0.52083333333333337</v>
      </c>
      <c r="R533" s="1">
        <f>IF(Table1[[#This Row],[Round]]="PI",0,Table1[[#This Row],[Round]]-1)</f>
        <v>0</v>
      </c>
      <c r="S533">
        <f>Table1[[#This Row],[LAW]]-Table1[[#This Row],[LEW]]</f>
        <v>-0.52083333333333337</v>
      </c>
    </row>
    <row r="534" spans="1:19" x14ac:dyDescent="0.25">
      <c r="A534" s="66">
        <v>34047</v>
      </c>
      <c r="B534" s="51">
        <f>YEAR(Table1[[#This Row],[Date]])</f>
        <v>1993</v>
      </c>
      <c r="C534" s="1">
        <v>1</v>
      </c>
      <c r="D534" t="s">
        <v>461</v>
      </c>
      <c r="E534" s="1">
        <v>8</v>
      </c>
      <c r="F534" t="s">
        <v>65</v>
      </c>
      <c r="G534" t="str">
        <f>VLOOKUP(Table1[[#This Row],[Winner]],Ranking!C:D,2,FALSE)</f>
        <v>P12</v>
      </c>
      <c r="H534" s="1">
        <v>86</v>
      </c>
      <c r="I534" s="1">
        <v>9</v>
      </c>
      <c r="J534" t="s">
        <v>83</v>
      </c>
      <c r="K534" t="str">
        <f>VLOOKUP(Table1[[#This Row],[Loser]],Ranking!C:D,2,FALSE)</f>
        <v>ACC</v>
      </c>
      <c r="L534" s="1">
        <v>85</v>
      </c>
      <c r="N534" s="1">
        <f>Table1[[#This Row],[Winning Score]]-Table1[[#This Row],[Losing Score]]</f>
        <v>1</v>
      </c>
      <c r="O534" s="1">
        <f>Table1[[#This Row],[Losing Seed]]-Table1[[#This Row],[Winning Seed]]</f>
        <v>1</v>
      </c>
      <c r="P534" s="1" t="str">
        <f>IF(Table1[[#This Row],[SeD]]&lt;-2,Table1[[#This Row],[Winning Seed]]&amp; " over " &amp;Table1[[#This Row],[Losing Seed]],"")</f>
        <v/>
      </c>
      <c r="Q534">
        <f>VLOOKUP(Table1[[#This Row],[Losing Seed]],'Seed History'!$N$4:$O$19,2)</f>
        <v>0.59027777777777779</v>
      </c>
      <c r="R534" s="1">
        <f>IF(Table1[[#This Row],[Round]]="PI",0,Table1[[#This Row],[Round]]-1)</f>
        <v>0</v>
      </c>
      <c r="S534">
        <f>Table1[[#This Row],[LAW]]-Table1[[#This Row],[LEW]]</f>
        <v>-0.59027777777777779</v>
      </c>
    </row>
    <row r="535" spans="1:19" x14ac:dyDescent="0.25">
      <c r="A535" s="66">
        <v>34047</v>
      </c>
      <c r="B535" s="51">
        <f>YEAR(Table1[[#This Row],[Date]])</f>
        <v>1993</v>
      </c>
      <c r="C535" s="1">
        <v>1</v>
      </c>
      <c r="D535" t="s">
        <v>38</v>
      </c>
      <c r="E535" s="1">
        <v>1</v>
      </c>
      <c r="F535" t="s">
        <v>82</v>
      </c>
      <c r="G535" t="str">
        <f>VLOOKUP(Table1[[#This Row],[Winner]],Ranking!C:D,2,FALSE)</f>
        <v>B10</v>
      </c>
      <c r="H535" s="1">
        <v>84</v>
      </c>
      <c r="I535" s="1">
        <v>16</v>
      </c>
      <c r="J535" t="s">
        <v>173</v>
      </c>
      <c r="K535" t="str">
        <f>VLOOKUP(Table1[[#This Row],[Loser]],Ranking!C:D,2,FALSE)</f>
        <v>SB</v>
      </c>
      <c r="L535" s="1">
        <v>53</v>
      </c>
      <c r="N535" s="1">
        <f>Table1[[#This Row],[Winning Score]]-Table1[[#This Row],[Losing Score]]</f>
        <v>31</v>
      </c>
      <c r="O535" s="1">
        <f>Table1[[#This Row],[Losing Seed]]-Table1[[#This Row],[Winning Seed]]</f>
        <v>15</v>
      </c>
      <c r="P535" s="1" t="str">
        <f>IF(Table1[[#This Row],[SeD]]&lt;-2,Table1[[#This Row],[Winning Seed]]&amp; " over " &amp;Table1[[#This Row],[Losing Seed]],"")</f>
        <v/>
      </c>
      <c r="Q535">
        <f>VLOOKUP(Table1[[#This Row],[Losing Seed]],'Seed History'!$N$4:$O$19,2)</f>
        <v>6.9444444444444441E-3</v>
      </c>
      <c r="R535" s="1">
        <f>IF(Table1[[#This Row],[Round]]="PI",0,Table1[[#This Row],[Round]]-1)</f>
        <v>0</v>
      </c>
      <c r="S535">
        <f>Table1[[#This Row],[LAW]]-Table1[[#This Row],[LEW]]</f>
        <v>-6.9444444444444441E-3</v>
      </c>
    </row>
    <row r="536" spans="1:19" x14ac:dyDescent="0.25">
      <c r="A536" s="66">
        <v>34047</v>
      </c>
      <c r="B536" s="51">
        <f>YEAR(Table1[[#This Row],[Date]])</f>
        <v>1993</v>
      </c>
      <c r="C536" s="1">
        <v>1</v>
      </c>
      <c r="D536" t="s">
        <v>439</v>
      </c>
      <c r="E536" s="1">
        <v>9</v>
      </c>
      <c r="F536" t="s">
        <v>44</v>
      </c>
      <c r="G536" t="str">
        <f>VLOOKUP(Table1[[#This Row],[Winner]],Ranking!C:D,2,FALSE)</f>
        <v>BE</v>
      </c>
      <c r="H536" s="1">
        <v>73</v>
      </c>
      <c r="I536" s="1">
        <v>8</v>
      </c>
      <c r="J536" t="s">
        <v>293</v>
      </c>
      <c r="K536" t="str">
        <f>VLOOKUP(Table1[[#This Row],[Loser]],Ranking!C:D,2,FALSE)</f>
        <v>Slnd</v>
      </c>
      <c r="L536" s="1">
        <v>55</v>
      </c>
      <c r="N536" s="1">
        <f>Table1[[#This Row],[Winning Score]]-Table1[[#This Row],[Losing Score]]</f>
        <v>18</v>
      </c>
      <c r="O536" s="1">
        <f>Table1[[#This Row],[Losing Seed]]-Table1[[#This Row],[Winning Seed]]</f>
        <v>-1</v>
      </c>
      <c r="P536" s="1" t="str">
        <f>IF(Table1[[#This Row],[SeD]]&lt;-2,Table1[[#This Row],[Winning Seed]]&amp; " over " &amp;Table1[[#This Row],[Losing Seed]],"")</f>
        <v/>
      </c>
      <c r="Q536">
        <f>VLOOKUP(Table1[[#This Row],[Losing Seed]],'Seed History'!$N$4:$O$19,2)</f>
        <v>0.70833333333333337</v>
      </c>
      <c r="R536" s="1">
        <f>IF(Table1[[#This Row],[Round]]="PI",0,Table1[[#This Row],[Round]]-1)</f>
        <v>0</v>
      </c>
      <c r="S536">
        <f>Table1[[#This Row],[LAW]]-Table1[[#This Row],[LEW]]</f>
        <v>-0.70833333333333337</v>
      </c>
    </row>
    <row r="537" spans="1:19" x14ac:dyDescent="0.25">
      <c r="A537" s="66">
        <v>34047</v>
      </c>
      <c r="B537" s="51">
        <f>YEAR(Table1[[#This Row],[Date]])</f>
        <v>1993</v>
      </c>
      <c r="C537" s="1">
        <v>1</v>
      </c>
      <c r="D537" t="s">
        <v>38</v>
      </c>
      <c r="E537" s="1">
        <v>9</v>
      </c>
      <c r="F537" t="s">
        <v>67</v>
      </c>
      <c r="G537" t="str">
        <f>VLOOKUP(Table1[[#This Row],[Winner]],Ranking!C:D,2,FALSE)</f>
        <v>P12</v>
      </c>
      <c r="H537" s="1">
        <v>81</v>
      </c>
      <c r="I537" s="1">
        <v>8</v>
      </c>
      <c r="J537" t="s">
        <v>237</v>
      </c>
      <c r="K537" t="str">
        <f>VLOOKUP(Table1[[#This Row],[Loser]],Ranking!C:D,2,FALSE)</f>
        <v>B12</v>
      </c>
      <c r="L537" s="1">
        <v>70</v>
      </c>
      <c r="N537" s="1">
        <f>Table1[[#This Row],[Winning Score]]-Table1[[#This Row],[Losing Score]]</f>
        <v>11</v>
      </c>
      <c r="O537" s="1">
        <f>Table1[[#This Row],[Losing Seed]]-Table1[[#This Row],[Winning Seed]]</f>
        <v>-1</v>
      </c>
      <c r="P537" s="1" t="str">
        <f>IF(Table1[[#This Row],[SeD]]&lt;-2,Table1[[#This Row],[Winning Seed]]&amp; " over " &amp;Table1[[#This Row],[Losing Seed]],"")</f>
        <v/>
      </c>
      <c r="Q537">
        <f>VLOOKUP(Table1[[#This Row],[Losing Seed]],'Seed History'!$N$4:$O$19,2)</f>
        <v>0.70833333333333337</v>
      </c>
      <c r="R537" s="1">
        <f>IF(Table1[[#This Row],[Round]]="PI",0,Table1[[#This Row],[Round]]-1)</f>
        <v>0</v>
      </c>
      <c r="S537">
        <f>Table1[[#This Row],[LAW]]-Table1[[#This Row],[LEW]]</f>
        <v>-0.70833333333333337</v>
      </c>
    </row>
    <row r="538" spans="1:19" x14ac:dyDescent="0.25">
      <c r="A538" s="66">
        <v>34048</v>
      </c>
      <c r="B538" s="51">
        <f>YEAR(Table1[[#This Row],[Date]])</f>
        <v>1993</v>
      </c>
      <c r="C538" s="1">
        <v>2</v>
      </c>
      <c r="D538" t="s">
        <v>49</v>
      </c>
      <c r="E538" s="1">
        <v>1</v>
      </c>
      <c r="F538" t="s">
        <v>298</v>
      </c>
      <c r="G538" t="str">
        <f>VLOOKUP(Table1[[#This Row],[Winner]],Ranking!C:D,2,FALSE)</f>
        <v>ACC</v>
      </c>
      <c r="H538" s="1">
        <v>112</v>
      </c>
      <c r="I538" s="1">
        <v>8</v>
      </c>
      <c r="J538" t="s">
        <v>96</v>
      </c>
      <c r="K538" t="str">
        <f>VLOOKUP(Table1[[#This Row],[Loser]],Ranking!C:D,2,FALSE)</f>
        <v>A10</v>
      </c>
      <c r="L538" s="1">
        <v>67</v>
      </c>
      <c r="N538" s="1">
        <f>Table1[[#This Row],[Winning Score]]-Table1[[#This Row],[Losing Score]]</f>
        <v>45</v>
      </c>
      <c r="O538" s="1">
        <f>Table1[[#This Row],[Losing Seed]]-Table1[[#This Row],[Winning Seed]]</f>
        <v>7</v>
      </c>
      <c r="P538" s="1" t="str">
        <f>IF(Table1[[#This Row],[SeD]]&lt;-2,Table1[[#This Row],[Winning Seed]]&amp; " over " &amp;Table1[[#This Row],[Losing Seed]],"")</f>
        <v/>
      </c>
      <c r="Q538">
        <f>VLOOKUP(Table1[[#This Row],[Losing Seed]],'Seed History'!$N$4:$O$19,2)</f>
        <v>0.70833333333333337</v>
      </c>
      <c r="R538" s="1">
        <f>IF(Table1[[#This Row],[Round]]="PI",0,Table1[[#This Row],[Round]]-1)</f>
        <v>1</v>
      </c>
      <c r="S538">
        <f>Table1[[#This Row],[LAW]]-Table1[[#This Row],[LEW]]</f>
        <v>0.29166666666666663</v>
      </c>
    </row>
    <row r="539" spans="1:19" x14ac:dyDescent="0.25">
      <c r="A539" s="66">
        <v>34048</v>
      </c>
      <c r="B539" s="51">
        <f>YEAR(Table1[[#This Row],[Date]])</f>
        <v>1993</v>
      </c>
      <c r="C539" s="1">
        <v>2</v>
      </c>
      <c r="D539" t="s">
        <v>49</v>
      </c>
      <c r="E539" s="1">
        <v>4</v>
      </c>
      <c r="F539" t="s">
        <v>41</v>
      </c>
      <c r="G539" t="str">
        <f>VLOOKUP(Table1[[#This Row],[Winner]],Ranking!C:D,2,FALSE)</f>
        <v>SEC</v>
      </c>
      <c r="H539" s="1">
        <v>80</v>
      </c>
      <c r="I539" s="1">
        <v>5</v>
      </c>
      <c r="J539" t="s">
        <v>368</v>
      </c>
      <c r="K539" t="str">
        <f>VLOOKUP(Table1[[#This Row],[Loser]],Ranking!C:D,2,FALSE)</f>
        <v>BE</v>
      </c>
      <c r="L539" s="1">
        <v>74</v>
      </c>
      <c r="N539" s="1">
        <f>Table1[[#This Row],[Winning Score]]-Table1[[#This Row],[Losing Score]]</f>
        <v>6</v>
      </c>
      <c r="O539" s="1">
        <f>Table1[[#This Row],[Losing Seed]]-Table1[[#This Row],[Winning Seed]]</f>
        <v>1</v>
      </c>
      <c r="P539" s="1" t="str">
        <f>IF(Table1[[#This Row],[SeD]]&lt;-2,Table1[[#This Row],[Winning Seed]]&amp; " over " &amp;Table1[[#This Row],[Losing Seed]],"")</f>
        <v/>
      </c>
      <c r="Q539">
        <f>VLOOKUP(Table1[[#This Row],[Losing Seed]],'Seed History'!$N$4:$O$19,2)</f>
        <v>1.1180555555555556</v>
      </c>
      <c r="R539" s="1">
        <f>IF(Table1[[#This Row],[Round]]="PI",0,Table1[[#This Row],[Round]]-1)</f>
        <v>1</v>
      </c>
      <c r="S539">
        <f>Table1[[#This Row],[LAW]]-Table1[[#This Row],[LEW]]</f>
        <v>-0.11805555555555558</v>
      </c>
    </row>
    <row r="540" spans="1:19" x14ac:dyDescent="0.25">
      <c r="A540" s="66">
        <v>34048</v>
      </c>
      <c r="B540" s="51">
        <f>YEAR(Table1[[#This Row],[Date]])</f>
        <v>1993</v>
      </c>
      <c r="C540" s="1">
        <v>2</v>
      </c>
      <c r="D540" t="s">
        <v>439</v>
      </c>
      <c r="E540" s="1">
        <v>2</v>
      </c>
      <c r="F540" t="s">
        <v>37</v>
      </c>
      <c r="G540" t="str">
        <f>VLOOKUP(Table1[[#This Row],[Winner]],Ranking!C:D,2,FALSE)</f>
        <v>B12</v>
      </c>
      <c r="H540" s="1">
        <v>90</v>
      </c>
      <c r="I540" s="1">
        <v>7</v>
      </c>
      <c r="J540" t="s">
        <v>72</v>
      </c>
      <c r="K540" t="str">
        <f>VLOOKUP(Table1[[#This Row],[Loser]],Ranking!C:D,2,FALSE)</f>
        <v>WCC</v>
      </c>
      <c r="L540" s="1">
        <v>76</v>
      </c>
      <c r="N540" s="1">
        <f>Table1[[#This Row],[Winning Score]]-Table1[[#This Row],[Losing Score]]</f>
        <v>14</v>
      </c>
      <c r="O540" s="1">
        <f>Table1[[#This Row],[Losing Seed]]-Table1[[#This Row],[Winning Seed]]</f>
        <v>5</v>
      </c>
      <c r="P540" s="1" t="str">
        <f>IF(Table1[[#This Row],[SeD]]&lt;-2,Table1[[#This Row],[Winning Seed]]&amp; " over " &amp;Table1[[#This Row],[Losing Seed]],"")</f>
        <v/>
      </c>
      <c r="Q540">
        <f>VLOOKUP(Table1[[#This Row],[Losing Seed]],'Seed History'!$N$4:$O$19,2)</f>
        <v>0.90277777777777779</v>
      </c>
      <c r="R540" s="1">
        <f>IF(Table1[[#This Row],[Round]]="PI",0,Table1[[#This Row],[Round]]-1)</f>
        <v>1</v>
      </c>
      <c r="S540">
        <f>Table1[[#This Row],[LAW]]-Table1[[#This Row],[LEW]]</f>
        <v>9.722222222222221E-2</v>
      </c>
    </row>
    <row r="541" spans="1:19" x14ac:dyDescent="0.25">
      <c r="A541" s="66">
        <v>34048</v>
      </c>
      <c r="B541" s="51">
        <f>YEAR(Table1[[#This Row],[Date]])</f>
        <v>1993</v>
      </c>
      <c r="C541" s="1">
        <v>2</v>
      </c>
      <c r="D541" t="s">
        <v>461</v>
      </c>
      <c r="E541" s="1">
        <v>3</v>
      </c>
      <c r="F541" t="s">
        <v>207</v>
      </c>
      <c r="G541" t="str">
        <f>VLOOKUP(Table1[[#This Row],[Winner]],Ranking!C:D,2,FALSE)</f>
        <v>ACC</v>
      </c>
      <c r="H541" s="1">
        <v>94</v>
      </c>
      <c r="I541" s="1">
        <v>11</v>
      </c>
      <c r="J541" t="s">
        <v>385</v>
      </c>
      <c r="K541" t="str">
        <f>VLOOKUP(Table1[[#This Row],[Loser]],Ranking!C:D,2,FALSE)</f>
        <v>Amer</v>
      </c>
      <c r="L541" s="1">
        <v>63</v>
      </c>
      <c r="N541" s="1">
        <f>Table1[[#This Row],[Winning Score]]-Table1[[#This Row],[Losing Score]]</f>
        <v>31</v>
      </c>
      <c r="O541" s="1">
        <f>Table1[[#This Row],[Losing Seed]]-Table1[[#This Row],[Winning Seed]]</f>
        <v>8</v>
      </c>
      <c r="P541" s="1" t="str">
        <f>IF(Table1[[#This Row],[SeD]]&lt;-2,Table1[[#This Row],[Winning Seed]]&amp; " over " &amp;Table1[[#This Row],[Losing Seed]],"")</f>
        <v/>
      </c>
      <c r="Q541">
        <f>VLOOKUP(Table1[[#This Row],[Losing Seed]],'Seed History'!$N$4:$O$19,2)</f>
        <v>0.63194444444444442</v>
      </c>
      <c r="R541" s="1">
        <f>IF(Table1[[#This Row],[Round]]="PI",0,Table1[[#This Row],[Round]]-1)</f>
        <v>1</v>
      </c>
      <c r="S541">
        <f>Table1[[#This Row],[LAW]]-Table1[[#This Row],[LEW]]</f>
        <v>0.36805555555555558</v>
      </c>
    </row>
    <row r="542" spans="1:19" x14ac:dyDescent="0.25">
      <c r="A542" s="66">
        <v>34048</v>
      </c>
      <c r="B542" s="51">
        <f>YEAR(Table1[[#This Row],[Date]])</f>
        <v>1993</v>
      </c>
      <c r="C542" s="1">
        <v>2</v>
      </c>
      <c r="D542" t="s">
        <v>38</v>
      </c>
      <c r="E542" s="1">
        <v>3</v>
      </c>
      <c r="F542" t="s">
        <v>78</v>
      </c>
      <c r="G542" t="str">
        <f>VLOOKUP(Table1[[#This Row],[Winner]],Ranking!C:D,2,FALSE)</f>
        <v>SEC</v>
      </c>
      <c r="H542" s="1">
        <v>85</v>
      </c>
      <c r="I542" s="1">
        <v>6</v>
      </c>
      <c r="J542" t="s">
        <v>230</v>
      </c>
      <c r="K542" t="str">
        <f>VLOOKUP(Table1[[#This Row],[Loser]],Ranking!C:D,2,FALSE)</f>
        <v>B10</v>
      </c>
      <c r="L542" s="1">
        <v>68</v>
      </c>
      <c r="N542" s="1">
        <f>Table1[[#This Row],[Winning Score]]-Table1[[#This Row],[Losing Score]]</f>
        <v>17</v>
      </c>
      <c r="O542" s="1">
        <f>Table1[[#This Row],[Losing Seed]]-Table1[[#This Row],[Winning Seed]]</f>
        <v>3</v>
      </c>
      <c r="P542" s="1" t="str">
        <f>IF(Table1[[#This Row],[SeD]]&lt;-2,Table1[[#This Row],[Winning Seed]]&amp; " over " &amp;Table1[[#This Row],[Losing Seed]],"")</f>
        <v/>
      </c>
      <c r="Q542">
        <f>VLOOKUP(Table1[[#This Row],[Losing Seed]],'Seed History'!$N$4:$O$19,2)</f>
        <v>1.0625</v>
      </c>
      <c r="R542" s="1">
        <f>IF(Table1[[#This Row],[Round]]="PI",0,Table1[[#This Row],[Round]]-1)</f>
        <v>1</v>
      </c>
      <c r="S542">
        <f>Table1[[#This Row],[LAW]]-Table1[[#This Row],[LEW]]</f>
        <v>-6.25E-2</v>
      </c>
    </row>
    <row r="543" spans="1:19" x14ac:dyDescent="0.25">
      <c r="A543" s="66">
        <v>34048</v>
      </c>
      <c r="B543" s="51">
        <f>YEAR(Table1[[#This Row],[Date]])</f>
        <v>1993</v>
      </c>
      <c r="C543" s="1">
        <v>2</v>
      </c>
      <c r="D543" t="s">
        <v>38</v>
      </c>
      <c r="E543" s="1">
        <v>7</v>
      </c>
      <c r="F543" t="s">
        <v>373</v>
      </c>
      <c r="G543" t="str">
        <f>VLOOKUP(Table1[[#This Row],[Winner]],Ranking!C:D,2,FALSE)</f>
        <v>Amer</v>
      </c>
      <c r="H543" s="1">
        <v>68</v>
      </c>
      <c r="I543" s="1">
        <v>15</v>
      </c>
      <c r="J543" t="s">
        <v>347</v>
      </c>
      <c r="K543" t="str">
        <f>VLOOKUP(Table1[[#This Row],[Loser]],Ranking!C:D,2,FALSE)</f>
        <v>WCC</v>
      </c>
      <c r="L543" s="1">
        <v>57</v>
      </c>
      <c r="N543" s="1">
        <f>Table1[[#This Row],[Winning Score]]-Table1[[#This Row],[Losing Score]]</f>
        <v>11</v>
      </c>
      <c r="O543" s="1">
        <f>Table1[[#This Row],[Losing Seed]]-Table1[[#This Row],[Winning Seed]]</f>
        <v>8</v>
      </c>
      <c r="P543" s="1" t="str">
        <f>IF(Table1[[#This Row],[SeD]]&lt;-2,Table1[[#This Row],[Winning Seed]]&amp; " over " &amp;Table1[[#This Row],[Losing Seed]],"")</f>
        <v/>
      </c>
      <c r="Q543">
        <f>VLOOKUP(Table1[[#This Row],[Losing Seed]],'Seed History'!$N$4:$O$19,2)</f>
        <v>7.6388888888888895E-2</v>
      </c>
      <c r="R543" s="1">
        <f>IF(Table1[[#This Row],[Round]]="PI",0,Table1[[#This Row],[Round]]-1)</f>
        <v>1</v>
      </c>
      <c r="S543">
        <f>Table1[[#This Row],[LAW]]-Table1[[#This Row],[LEW]]</f>
        <v>0.92361111111111116</v>
      </c>
    </row>
    <row r="544" spans="1:19" x14ac:dyDescent="0.25">
      <c r="A544" s="66">
        <v>34048</v>
      </c>
      <c r="B544" s="51">
        <f>YEAR(Table1[[#This Row],[Date]])</f>
        <v>1993</v>
      </c>
      <c r="C544" s="1">
        <v>2</v>
      </c>
      <c r="D544" t="s">
        <v>461</v>
      </c>
      <c r="E544" s="1">
        <v>7</v>
      </c>
      <c r="F544" t="s">
        <v>415</v>
      </c>
      <c r="G544" t="str">
        <f>VLOOKUP(Table1[[#This Row],[Winner]],Ranking!C:D,2,FALSE)</f>
        <v>CUSA</v>
      </c>
      <c r="H544" s="1">
        <v>72</v>
      </c>
      <c r="I544" s="1">
        <v>2</v>
      </c>
      <c r="J544" t="s">
        <v>87</v>
      </c>
      <c r="K544" t="str">
        <f>VLOOKUP(Table1[[#This Row],[Loser]],Ranking!C:D,2,FALSE)</f>
        <v>BE</v>
      </c>
      <c r="L544" s="1">
        <v>68</v>
      </c>
      <c r="N544" s="1">
        <f>Table1[[#This Row],[Winning Score]]-Table1[[#This Row],[Losing Score]]</f>
        <v>4</v>
      </c>
      <c r="O544" s="1">
        <f>Table1[[#This Row],[Losing Seed]]-Table1[[#This Row],[Winning Seed]]</f>
        <v>-5</v>
      </c>
      <c r="P544" s="1" t="str">
        <f>IF(Table1[[#This Row],[SeD]]&lt;-2,Table1[[#This Row],[Winning Seed]]&amp; " over " &amp;Table1[[#This Row],[Losing Seed]],"")</f>
        <v>7 over 2</v>
      </c>
      <c r="Q544">
        <f>VLOOKUP(Table1[[#This Row],[Losing Seed]],'Seed History'!$N$4:$O$19,2)</f>
        <v>2.3472222222222223</v>
      </c>
      <c r="R544" s="1">
        <f>IF(Table1[[#This Row],[Round]]="PI",0,Table1[[#This Row],[Round]]-1)</f>
        <v>1</v>
      </c>
      <c r="S544">
        <f>Table1[[#This Row],[LAW]]-Table1[[#This Row],[LEW]]</f>
        <v>-1.3472222222222223</v>
      </c>
    </row>
    <row r="545" spans="1:19" x14ac:dyDescent="0.25">
      <c r="A545" s="66">
        <v>34048</v>
      </c>
      <c r="B545" s="51">
        <f>YEAR(Table1[[#This Row],[Date]])</f>
        <v>1993</v>
      </c>
      <c r="C545" s="1">
        <v>2</v>
      </c>
      <c r="D545" t="s">
        <v>439</v>
      </c>
      <c r="E545" s="1">
        <v>6</v>
      </c>
      <c r="F545" t="s">
        <v>84</v>
      </c>
      <c r="G545" t="str">
        <f>VLOOKUP(Table1[[#This Row],[Winner]],Ranking!C:D,2,FALSE)</f>
        <v>P12</v>
      </c>
      <c r="H545" s="1">
        <v>82</v>
      </c>
      <c r="I545" s="1">
        <v>3</v>
      </c>
      <c r="J545" t="s">
        <v>64</v>
      </c>
      <c r="K545" t="str">
        <f>VLOOKUP(Table1[[#This Row],[Loser]],Ranking!C:D,2,FALSE)</f>
        <v>ACC</v>
      </c>
      <c r="L545" s="1">
        <v>77</v>
      </c>
      <c r="N545" s="1">
        <f>Table1[[#This Row],[Winning Score]]-Table1[[#This Row],[Losing Score]]</f>
        <v>5</v>
      </c>
      <c r="O545" s="1">
        <f>Table1[[#This Row],[Losing Seed]]-Table1[[#This Row],[Winning Seed]]</f>
        <v>-3</v>
      </c>
      <c r="P545" s="1" t="str">
        <f>IF(Table1[[#This Row],[SeD]]&lt;-2,Table1[[#This Row],[Winning Seed]]&amp; " over " &amp;Table1[[#This Row],[Losing Seed]],"")</f>
        <v>6 over 3</v>
      </c>
      <c r="Q545">
        <f>VLOOKUP(Table1[[#This Row],[Losing Seed]],'Seed History'!$N$4:$O$19,2)</f>
        <v>1.8472222222222223</v>
      </c>
      <c r="R545" s="1">
        <f>IF(Table1[[#This Row],[Round]]="PI",0,Table1[[#This Row],[Round]]-1)</f>
        <v>1</v>
      </c>
      <c r="S545">
        <f>Table1[[#This Row],[LAW]]-Table1[[#This Row],[LEW]]</f>
        <v>-0.84722222222222232</v>
      </c>
    </row>
    <row r="546" spans="1:19" x14ac:dyDescent="0.25">
      <c r="A546" s="66">
        <v>34049</v>
      </c>
      <c r="B546" s="51">
        <f>YEAR(Table1[[#This Row],[Date]])</f>
        <v>1993</v>
      </c>
      <c r="C546" s="1">
        <v>2</v>
      </c>
      <c r="D546" t="s">
        <v>49</v>
      </c>
      <c r="E546" s="1">
        <v>2</v>
      </c>
      <c r="F546" t="s">
        <v>28</v>
      </c>
      <c r="G546" t="str">
        <f>VLOOKUP(Table1[[#This Row],[Winner]],Ranking!C:D,2,FALSE)</f>
        <v>Amer</v>
      </c>
      <c r="H546" s="1">
        <v>92</v>
      </c>
      <c r="I546" s="1">
        <v>7</v>
      </c>
      <c r="J546" t="s">
        <v>292</v>
      </c>
      <c r="K546" t="str">
        <f>VLOOKUP(Table1[[#This Row],[Loser]],Ranking!C:D,2,FALSE)</f>
        <v>WAC</v>
      </c>
      <c r="L546" s="1">
        <v>55</v>
      </c>
      <c r="N546" s="1">
        <f>Table1[[#This Row],[Winning Score]]-Table1[[#This Row],[Losing Score]]</f>
        <v>37</v>
      </c>
      <c r="O546" s="1">
        <f>Table1[[#This Row],[Losing Seed]]-Table1[[#This Row],[Winning Seed]]</f>
        <v>5</v>
      </c>
      <c r="P546" s="1" t="str">
        <f>IF(Table1[[#This Row],[SeD]]&lt;-2,Table1[[#This Row],[Winning Seed]]&amp; " over " &amp;Table1[[#This Row],[Losing Seed]],"")</f>
        <v/>
      </c>
      <c r="Q546">
        <f>VLOOKUP(Table1[[#This Row],[Losing Seed]],'Seed History'!$N$4:$O$19,2)</f>
        <v>0.90277777777777779</v>
      </c>
      <c r="R546" s="1">
        <f>IF(Table1[[#This Row],[Round]]="PI",0,Table1[[#This Row],[Round]]-1)</f>
        <v>1</v>
      </c>
      <c r="S546">
        <f>Table1[[#This Row],[LAW]]-Table1[[#This Row],[LEW]]</f>
        <v>9.722222222222221E-2</v>
      </c>
    </row>
    <row r="547" spans="1:19" x14ac:dyDescent="0.25">
      <c r="A547" s="66">
        <v>34049</v>
      </c>
      <c r="B547" s="51">
        <f>YEAR(Table1[[#This Row],[Date]])</f>
        <v>1993</v>
      </c>
      <c r="C547" s="1">
        <v>2</v>
      </c>
      <c r="D547" t="s">
        <v>439</v>
      </c>
      <c r="E547" s="1">
        <v>1</v>
      </c>
      <c r="F547" t="s">
        <v>36</v>
      </c>
      <c r="G547" t="str">
        <f>VLOOKUP(Table1[[#This Row],[Winner]],Ranking!C:D,2,FALSE)</f>
        <v>B10</v>
      </c>
      <c r="H547" s="1">
        <v>73</v>
      </c>
      <c r="I547" s="1">
        <v>9</v>
      </c>
      <c r="J547" t="s">
        <v>44</v>
      </c>
      <c r="K547" t="str">
        <f>VLOOKUP(Table1[[#This Row],[Loser]],Ranking!C:D,2,FALSE)</f>
        <v>BE</v>
      </c>
      <c r="L547" s="1">
        <v>70</v>
      </c>
      <c r="N547" s="1">
        <f>Table1[[#This Row],[Winning Score]]-Table1[[#This Row],[Losing Score]]</f>
        <v>3</v>
      </c>
      <c r="O547" s="1">
        <f>Table1[[#This Row],[Losing Seed]]-Table1[[#This Row],[Winning Seed]]</f>
        <v>8</v>
      </c>
      <c r="P547" s="1" t="str">
        <f>IF(Table1[[#This Row],[SeD]]&lt;-2,Table1[[#This Row],[Winning Seed]]&amp; " over " &amp;Table1[[#This Row],[Losing Seed]],"")</f>
        <v/>
      </c>
      <c r="Q547">
        <f>VLOOKUP(Table1[[#This Row],[Losing Seed]],'Seed History'!$N$4:$O$19,2)</f>
        <v>0.59027777777777779</v>
      </c>
      <c r="R547" s="1">
        <f>IF(Table1[[#This Row],[Round]]="PI",0,Table1[[#This Row],[Round]]-1)</f>
        <v>1</v>
      </c>
      <c r="S547">
        <f>Table1[[#This Row],[LAW]]-Table1[[#This Row],[LEW]]</f>
        <v>0.40972222222222221</v>
      </c>
    </row>
    <row r="548" spans="1:19" x14ac:dyDescent="0.25">
      <c r="A548" s="66">
        <v>34049</v>
      </c>
      <c r="B548" s="51">
        <f>YEAR(Table1[[#This Row],[Date]])</f>
        <v>1993</v>
      </c>
      <c r="C548" s="1">
        <v>2</v>
      </c>
      <c r="D548" t="s">
        <v>439</v>
      </c>
      <c r="E548" s="1">
        <v>4</v>
      </c>
      <c r="F548" t="s">
        <v>54</v>
      </c>
      <c r="G548" t="str">
        <f>VLOOKUP(Table1[[#This Row],[Winner]],Ranking!C:D,2,FALSE)</f>
        <v>ACC</v>
      </c>
      <c r="H548" s="1">
        <v>78</v>
      </c>
      <c r="I548" s="1">
        <v>5</v>
      </c>
      <c r="J548" t="s">
        <v>316</v>
      </c>
      <c r="K548" t="str">
        <f>VLOOKUP(Table1[[#This Row],[Loser]],Ranking!C:D,2,FALSE)</f>
        <v>B12</v>
      </c>
      <c r="L548" s="1">
        <v>63</v>
      </c>
      <c r="N548" s="1">
        <f>Table1[[#This Row],[Winning Score]]-Table1[[#This Row],[Losing Score]]</f>
        <v>15</v>
      </c>
      <c r="O548" s="1">
        <f>Table1[[#This Row],[Losing Seed]]-Table1[[#This Row],[Winning Seed]]</f>
        <v>1</v>
      </c>
      <c r="P548" s="1" t="str">
        <f>IF(Table1[[#This Row],[SeD]]&lt;-2,Table1[[#This Row],[Winning Seed]]&amp; " over " &amp;Table1[[#This Row],[Losing Seed]],"")</f>
        <v/>
      </c>
      <c r="Q548">
        <f>VLOOKUP(Table1[[#This Row],[Losing Seed]],'Seed History'!$N$4:$O$19,2)</f>
        <v>1.1180555555555556</v>
      </c>
      <c r="R548" s="1">
        <f>IF(Table1[[#This Row],[Round]]="PI",0,Table1[[#This Row],[Round]]-1)</f>
        <v>1</v>
      </c>
      <c r="S548">
        <f>Table1[[#This Row],[LAW]]-Table1[[#This Row],[LEW]]</f>
        <v>-0.11805555555555558</v>
      </c>
    </row>
    <row r="549" spans="1:19" x14ac:dyDescent="0.25">
      <c r="A549" s="66">
        <v>34049</v>
      </c>
      <c r="B549" s="51">
        <f>YEAR(Table1[[#This Row],[Date]])</f>
        <v>1993</v>
      </c>
      <c r="C549" s="1">
        <v>2</v>
      </c>
      <c r="D549" t="s">
        <v>461</v>
      </c>
      <c r="E549" s="1">
        <v>1</v>
      </c>
      <c r="F549" t="s">
        <v>26</v>
      </c>
      <c r="G549" t="str">
        <f>VLOOKUP(Table1[[#This Row],[Winner]],Ranking!C:D,2,FALSE)</f>
        <v>SEC</v>
      </c>
      <c r="H549" s="1">
        <v>83</v>
      </c>
      <c r="I549" s="1">
        <v>8</v>
      </c>
      <c r="J549" t="s">
        <v>65</v>
      </c>
      <c r="K549" t="str">
        <f>VLOOKUP(Table1[[#This Row],[Loser]],Ranking!C:D,2,FALSE)</f>
        <v>P12</v>
      </c>
      <c r="L549" s="1">
        <v>62</v>
      </c>
      <c r="N549" s="1">
        <f>Table1[[#This Row],[Winning Score]]-Table1[[#This Row],[Losing Score]]</f>
        <v>21</v>
      </c>
      <c r="O549" s="1">
        <f>Table1[[#This Row],[Losing Seed]]-Table1[[#This Row],[Winning Seed]]</f>
        <v>7</v>
      </c>
      <c r="P549" s="1" t="str">
        <f>IF(Table1[[#This Row],[SeD]]&lt;-2,Table1[[#This Row],[Winning Seed]]&amp; " over " &amp;Table1[[#This Row],[Losing Seed]],"")</f>
        <v/>
      </c>
      <c r="Q549">
        <f>VLOOKUP(Table1[[#This Row],[Losing Seed]],'Seed History'!$N$4:$O$19,2)</f>
        <v>0.70833333333333337</v>
      </c>
      <c r="R549" s="1">
        <f>IF(Table1[[#This Row],[Round]]="PI",0,Table1[[#This Row],[Round]]-1)</f>
        <v>1</v>
      </c>
      <c r="S549">
        <f>Table1[[#This Row],[LAW]]-Table1[[#This Row],[LEW]]</f>
        <v>0.29166666666666663</v>
      </c>
    </row>
    <row r="550" spans="1:19" x14ac:dyDescent="0.25">
      <c r="A550" s="66">
        <v>34049</v>
      </c>
      <c r="B550" s="51">
        <f>YEAR(Table1[[#This Row],[Date]])</f>
        <v>1993</v>
      </c>
      <c r="C550" s="1">
        <v>2</v>
      </c>
      <c r="D550" t="s">
        <v>38</v>
      </c>
      <c r="E550" s="1">
        <v>1</v>
      </c>
      <c r="F550" t="s">
        <v>82</v>
      </c>
      <c r="G550" t="str">
        <f>VLOOKUP(Table1[[#This Row],[Winner]],Ranking!C:D,2,FALSE)</f>
        <v>B10</v>
      </c>
      <c r="H550" s="1">
        <v>86</v>
      </c>
      <c r="I550" s="1">
        <v>9</v>
      </c>
      <c r="J550" t="s">
        <v>67</v>
      </c>
      <c r="K550" t="str">
        <f>VLOOKUP(Table1[[#This Row],[Loser]],Ranking!C:D,2,FALSE)</f>
        <v>P12</v>
      </c>
      <c r="L550" s="1">
        <v>84</v>
      </c>
      <c r="M550" s="1" t="s">
        <v>462</v>
      </c>
      <c r="N550" s="1">
        <f>Table1[[#This Row],[Winning Score]]-Table1[[#This Row],[Losing Score]]</f>
        <v>2</v>
      </c>
      <c r="O550" s="1">
        <f>Table1[[#This Row],[Losing Seed]]-Table1[[#This Row],[Winning Seed]]</f>
        <v>8</v>
      </c>
      <c r="P550" s="1" t="str">
        <f>IF(Table1[[#This Row],[SeD]]&lt;-2,Table1[[#This Row],[Winning Seed]]&amp; " over " &amp;Table1[[#This Row],[Losing Seed]],"")</f>
        <v/>
      </c>
      <c r="Q550">
        <f>VLOOKUP(Table1[[#This Row],[Losing Seed]],'Seed History'!$N$4:$O$19,2)</f>
        <v>0.59027777777777779</v>
      </c>
      <c r="R550" s="1">
        <f>IF(Table1[[#This Row],[Round]]="PI",0,Table1[[#This Row],[Round]]-1)</f>
        <v>1</v>
      </c>
      <c r="S550">
        <f>Table1[[#This Row],[LAW]]-Table1[[#This Row],[LEW]]</f>
        <v>0.40972222222222221</v>
      </c>
    </row>
    <row r="551" spans="1:19" x14ac:dyDescent="0.25">
      <c r="A551" s="66">
        <v>34049</v>
      </c>
      <c r="B551" s="51">
        <f>YEAR(Table1[[#This Row],[Date]])</f>
        <v>1993</v>
      </c>
      <c r="C551" s="1">
        <v>2</v>
      </c>
      <c r="D551" t="s">
        <v>38</v>
      </c>
      <c r="E551" s="1">
        <v>12</v>
      </c>
      <c r="F551" t="s">
        <v>213</v>
      </c>
      <c r="G551" t="str">
        <f>VLOOKUP(Table1[[#This Row],[Winner]],Ranking!C:D,2,FALSE)</f>
        <v>A10</v>
      </c>
      <c r="H551" s="1">
        <v>90</v>
      </c>
      <c r="I551" s="1">
        <v>13</v>
      </c>
      <c r="J551" t="s">
        <v>361</v>
      </c>
      <c r="K551" t="str">
        <f>VLOOKUP(Table1[[#This Row],[Loser]],Ranking!C:D,2,FALSE)</f>
        <v>SWAC</v>
      </c>
      <c r="L551" s="1">
        <v>80</v>
      </c>
      <c r="N551" s="1">
        <f>Table1[[#This Row],[Winning Score]]-Table1[[#This Row],[Losing Score]]</f>
        <v>10</v>
      </c>
      <c r="O551" s="1">
        <f>Table1[[#This Row],[Losing Seed]]-Table1[[#This Row],[Winning Seed]]</f>
        <v>1</v>
      </c>
      <c r="P551" s="1" t="str">
        <f>IF(Table1[[#This Row],[SeD]]&lt;-2,Table1[[#This Row],[Winning Seed]]&amp; " over " &amp;Table1[[#This Row],[Losing Seed]],"")</f>
        <v/>
      </c>
      <c r="Q551">
        <f>VLOOKUP(Table1[[#This Row],[Losing Seed]],'Seed History'!$N$4:$O$19,2)</f>
        <v>0.25694444444444442</v>
      </c>
      <c r="R551" s="1">
        <f>IF(Table1[[#This Row],[Round]]="PI",0,Table1[[#This Row],[Round]]-1)</f>
        <v>1</v>
      </c>
      <c r="S551">
        <f>Table1[[#This Row],[LAW]]-Table1[[#This Row],[LEW]]</f>
        <v>0.74305555555555558</v>
      </c>
    </row>
    <row r="552" spans="1:19" x14ac:dyDescent="0.25">
      <c r="A552" s="66">
        <v>34049</v>
      </c>
      <c r="B552" s="51">
        <f>YEAR(Table1[[#This Row],[Date]])</f>
        <v>1993</v>
      </c>
      <c r="C552" s="1">
        <v>2</v>
      </c>
      <c r="D552" t="s">
        <v>49</v>
      </c>
      <c r="E552" s="1">
        <v>6</v>
      </c>
      <c r="F552" t="s">
        <v>61</v>
      </c>
      <c r="G552" t="str">
        <f>VLOOKUP(Table1[[#This Row],[Winner]],Ranking!C:D,2,FALSE)</f>
        <v>ACC</v>
      </c>
      <c r="H552" s="1">
        <v>71</v>
      </c>
      <c r="I552" s="1">
        <v>3</v>
      </c>
      <c r="J552" t="s">
        <v>265</v>
      </c>
      <c r="K552" t="str">
        <f>VLOOKUP(Table1[[#This Row],[Loser]],Ranking!C:D,2,FALSE)</f>
        <v>A10</v>
      </c>
      <c r="L552" s="1">
        <v>56</v>
      </c>
      <c r="N552" s="1">
        <f>Table1[[#This Row],[Winning Score]]-Table1[[#This Row],[Losing Score]]</f>
        <v>15</v>
      </c>
      <c r="O552" s="1">
        <f>Table1[[#This Row],[Losing Seed]]-Table1[[#This Row],[Winning Seed]]</f>
        <v>-3</v>
      </c>
      <c r="P552" s="1" t="str">
        <f>IF(Table1[[#This Row],[SeD]]&lt;-2,Table1[[#This Row],[Winning Seed]]&amp; " over " &amp;Table1[[#This Row],[Losing Seed]],"")</f>
        <v>6 over 3</v>
      </c>
      <c r="Q552">
        <f>VLOOKUP(Table1[[#This Row],[Losing Seed]],'Seed History'!$N$4:$O$19,2)</f>
        <v>1.8472222222222223</v>
      </c>
      <c r="R552" s="1">
        <f>IF(Table1[[#This Row],[Round]]="PI",0,Table1[[#This Row],[Round]]-1)</f>
        <v>1</v>
      </c>
      <c r="S552">
        <f>Table1[[#This Row],[LAW]]-Table1[[#This Row],[LEW]]</f>
        <v>-0.84722222222222232</v>
      </c>
    </row>
    <row r="553" spans="1:19" x14ac:dyDescent="0.25">
      <c r="A553" s="66">
        <v>34049</v>
      </c>
      <c r="B553" s="51">
        <f>YEAR(Table1[[#This Row],[Date]])</f>
        <v>1993</v>
      </c>
      <c r="C553" s="1">
        <v>2</v>
      </c>
      <c r="D553" t="s">
        <v>461</v>
      </c>
      <c r="E553" s="1">
        <v>5</v>
      </c>
      <c r="F553" t="s">
        <v>408</v>
      </c>
      <c r="G553" t="str">
        <f>VLOOKUP(Table1[[#This Row],[Winner]],Ranking!C:D,2,FALSE)</f>
        <v>ACC</v>
      </c>
      <c r="H553" s="1">
        <v>84</v>
      </c>
      <c r="I553" s="1">
        <v>4</v>
      </c>
      <c r="J553" t="s">
        <v>69</v>
      </c>
      <c r="K553" t="str">
        <f>VLOOKUP(Table1[[#This Row],[Loser]],Ranking!C:D,2,FALSE)</f>
        <v>B10</v>
      </c>
      <c r="L553" s="1">
        <v>78</v>
      </c>
      <c r="N553" s="1">
        <f>Table1[[#This Row],[Winning Score]]-Table1[[#This Row],[Losing Score]]</f>
        <v>6</v>
      </c>
      <c r="O553" s="1">
        <f>Table1[[#This Row],[Losing Seed]]-Table1[[#This Row],[Winning Seed]]</f>
        <v>-1</v>
      </c>
      <c r="P553" s="1" t="str">
        <f>IF(Table1[[#This Row],[SeD]]&lt;-2,Table1[[#This Row],[Winning Seed]]&amp; " over " &amp;Table1[[#This Row],[Losing Seed]],"")</f>
        <v/>
      </c>
      <c r="Q553">
        <f>VLOOKUP(Table1[[#This Row],[Losing Seed]],'Seed History'!$N$4:$O$19,2)</f>
        <v>1.5208333333333333</v>
      </c>
      <c r="R553" s="1">
        <f>IF(Table1[[#This Row],[Round]]="PI",0,Table1[[#This Row],[Round]]-1)</f>
        <v>1</v>
      </c>
      <c r="S553">
        <f>Table1[[#This Row],[LAW]]-Table1[[#This Row],[LEW]]</f>
        <v>-0.52083333333333326</v>
      </c>
    </row>
    <row r="554" spans="1:19" x14ac:dyDescent="0.25">
      <c r="A554" s="66">
        <v>34053</v>
      </c>
      <c r="B554" s="51">
        <f>YEAR(Table1[[#This Row],[Date]])</f>
        <v>1993</v>
      </c>
      <c r="C554" s="1">
        <v>3</v>
      </c>
      <c r="D554" t="s">
        <v>439</v>
      </c>
      <c r="E554" s="1">
        <v>1</v>
      </c>
      <c r="F554" t="s">
        <v>36</v>
      </c>
      <c r="G554" t="str">
        <f>VLOOKUP(Table1[[#This Row],[Winner]],Ranking!C:D,2,FALSE)</f>
        <v>B10</v>
      </c>
      <c r="H554" s="1">
        <v>82</v>
      </c>
      <c r="I554" s="1">
        <v>4</v>
      </c>
      <c r="J554" t="s">
        <v>54</v>
      </c>
      <c r="K554" t="str">
        <f>VLOOKUP(Table1[[#This Row],[Loser]],Ranking!C:D,2,FALSE)</f>
        <v>ACC</v>
      </c>
      <c r="L554" s="1">
        <v>69</v>
      </c>
      <c r="N554" s="1">
        <f>Table1[[#This Row],[Winning Score]]-Table1[[#This Row],[Losing Score]]</f>
        <v>13</v>
      </c>
      <c r="O554" s="1">
        <f>Table1[[#This Row],[Losing Seed]]-Table1[[#This Row],[Winning Seed]]</f>
        <v>3</v>
      </c>
      <c r="P554" s="1" t="str">
        <f>IF(Table1[[#This Row],[SeD]]&lt;-2,Table1[[#This Row],[Winning Seed]]&amp; " over " &amp;Table1[[#This Row],[Losing Seed]],"")</f>
        <v/>
      </c>
      <c r="Q554">
        <f>VLOOKUP(Table1[[#This Row],[Losing Seed]],'Seed History'!$N$4:$O$19,2)</f>
        <v>1.5208333333333333</v>
      </c>
      <c r="R554" s="1">
        <f>IF(Table1[[#This Row],[Round]]="PI",0,Table1[[#This Row],[Round]]-1)</f>
        <v>2</v>
      </c>
      <c r="S554">
        <f>Table1[[#This Row],[LAW]]-Table1[[#This Row],[LEW]]</f>
        <v>0.47916666666666674</v>
      </c>
    </row>
    <row r="555" spans="1:19" x14ac:dyDescent="0.25">
      <c r="A555" s="66">
        <v>34053</v>
      </c>
      <c r="B555" s="51">
        <f>YEAR(Table1[[#This Row],[Date]])</f>
        <v>1993</v>
      </c>
      <c r="C555" s="1">
        <v>3</v>
      </c>
      <c r="D555" t="s">
        <v>439</v>
      </c>
      <c r="E555" s="1">
        <v>2</v>
      </c>
      <c r="F555" t="s">
        <v>37</v>
      </c>
      <c r="G555" t="str">
        <f>VLOOKUP(Table1[[#This Row],[Winner]],Ranking!C:D,2,FALSE)</f>
        <v>B12</v>
      </c>
      <c r="H555" s="1">
        <v>93</v>
      </c>
      <c r="I555" s="1">
        <v>6</v>
      </c>
      <c r="J555" t="s">
        <v>84</v>
      </c>
      <c r="K555" t="str">
        <f>VLOOKUP(Table1[[#This Row],[Loser]],Ranking!C:D,2,FALSE)</f>
        <v>P12</v>
      </c>
      <c r="L555" s="1">
        <v>76</v>
      </c>
      <c r="N555" s="1">
        <f>Table1[[#This Row],[Winning Score]]-Table1[[#This Row],[Losing Score]]</f>
        <v>17</v>
      </c>
      <c r="O555" s="1">
        <f>Table1[[#This Row],[Losing Seed]]-Table1[[#This Row],[Winning Seed]]</f>
        <v>4</v>
      </c>
      <c r="P555" s="1" t="str">
        <f>IF(Table1[[#This Row],[SeD]]&lt;-2,Table1[[#This Row],[Winning Seed]]&amp; " over " &amp;Table1[[#This Row],[Losing Seed]],"")</f>
        <v/>
      </c>
      <c r="Q555">
        <f>VLOOKUP(Table1[[#This Row],[Losing Seed]],'Seed History'!$N$4:$O$19,2)</f>
        <v>1.0625</v>
      </c>
      <c r="R555" s="1">
        <f>IF(Table1[[#This Row],[Round]]="PI",0,Table1[[#This Row],[Round]]-1)</f>
        <v>2</v>
      </c>
      <c r="S555">
        <f>Table1[[#This Row],[LAW]]-Table1[[#This Row],[LEW]]</f>
        <v>0.9375</v>
      </c>
    </row>
    <row r="556" spans="1:19" x14ac:dyDescent="0.25">
      <c r="A556" s="66">
        <v>34053</v>
      </c>
      <c r="B556" s="51">
        <f>YEAR(Table1[[#This Row],[Date]])</f>
        <v>1993</v>
      </c>
      <c r="C556" s="1">
        <v>3</v>
      </c>
      <c r="D556" t="s">
        <v>461</v>
      </c>
      <c r="E556" s="1">
        <v>1</v>
      </c>
      <c r="F556" t="s">
        <v>26</v>
      </c>
      <c r="G556" t="str">
        <f>VLOOKUP(Table1[[#This Row],[Winner]],Ranking!C:D,2,FALSE)</f>
        <v>SEC</v>
      </c>
      <c r="H556" s="1">
        <v>103</v>
      </c>
      <c r="I556" s="1">
        <v>5</v>
      </c>
      <c r="J556" t="s">
        <v>408</v>
      </c>
      <c r="K556" t="str">
        <f>VLOOKUP(Table1[[#This Row],[Loser]],Ranking!C:D,2,FALSE)</f>
        <v>ACC</v>
      </c>
      <c r="L556" s="1">
        <v>69</v>
      </c>
      <c r="N556" s="1">
        <f>Table1[[#This Row],[Winning Score]]-Table1[[#This Row],[Losing Score]]</f>
        <v>34</v>
      </c>
      <c r="O556" s="1">
        <f>Table1[[#This Row],[Losing Seed]]-Table1[[#This Row],[Winning Seed]]</f>
        <v>4</v>
      </c>
      <c r="P556" s="1" t="str">
        <f>IF(Table1[[#This Row],[SeD]]&lt;-2,Table1[[#This Row],[Winning Seed]]&amp; " over " &amp;Table1[[#This Row],[Losing Seed]],"")</f>
        <v/>
      </c>
      <c r="Q556">
        <f>VLOOKUP(Table1[[#This Row],[Losing Seed]],'Seed History'!$N$4:$O$19,2)</f>
        <v>1.1180555555555556</v>
      </c>
      <c r="R556" s="1">
        <f>IF(Table1[[#This Row],[Round]]="PI",0,Table1[[#This Row],[Round]]-1)</f>
        <v>2</v>
      </c>
      <c r="S556">
        <f>Table1[[#This Row],[LAW]]-Table1[[#This Row],[LEW]]</f>
        <v>0.88194444444444442</v>
      </c>
    </row>
    <row r="557" spans="1:19" x14ac:dyDescent="0.25">
      <c r="A557" s="66">
        <v>34053</v>
      </c>
      <c r="B557" s="51">
        <f>YEAR(Table1[[#This Row],[Date]])</f>
        <v>1993</v>
      </c>
      <c r="C557" s="1">
        <v>3</v>
      </c>
      <c r="D557" t="s">
        <v>461</v>
      </c>
      <c r="E557" s="1">
        <v>3</v>
      </c>
      <c r="F557" t="s">
        <v>207</v>
      </c>
      <c r="G557" t="str">
        <f>VLOOKUP(Table1[[#This Row],[Winner]],Ranking!C:D,2,FALSE)</f>
        <v>ACC</v>
      </c>
      <c r="H557" s="1">
        <v>81</v>
      </c>
      <c r="I557" s="1">
        <v>7</v>
      </c>
      <c r="J557" t="s">
        <v>415</v>
      </c>
      <c r="K557" t="str">
        <f>VLOOKUP(Table1[[#This Row],[Loser]],Ranking!C:D,2,FALSE)</f>
        <v>CUSA</v>
      </c>
      <c r="L557" s="1">
        <v>78</v>
      </c>
      <c r="M557" s="1" t="s">
        <v>462</v>
      </c>
      <c r="N557" s="1">
        <f>Table1[[#This Row],[Winning Score]]-Table1[[#This Row],[Losing Score]]</f>
        <v>3</v>
      </c>
      <c r="O557" s="1">
        <f>Table1[[#This Row],[Losing Seed]]-Table1[[#This Row],[Winning Seed]]</f>
        <v>4</v>
      </c>
      <c r="P557" s="1" t="str">
        <f>IF(Table1[[#This Row],[SeD]]&lt;-2,Table1[[#This Row],[Winning Seed]]&amp; " over " &amp;Table1[[#This Row],[Losing Seed]],"")</f>
        <v/>
      </c>
      <c r="Q557">
        <f>VLOOKUP(Table1[[#This Row],[Losing Seed]],'Seed History'!$N$4:$O$19,2)</f>
        <v>0.90277777777777779</v>
      </c>
      <c r="R557" s="1">
        <f>IF(Table1[[#This Row],[Round]]="PI",0,Table1[[#This Row],[Round]]-1)</f>
        <v>2</v>
      </c>
      <c r="S557">
        <f>Table1[[#This Row],[LAW]]-Table1[[#This Row],[LEW]]</f>
        <v>1.0972222222222223</v>
      </c>
    </row>
    <row r="558" spans="1:19" x14ac:dyDescent="0.25">
      <c r="A558" s="66">
        <v>34054</v>
      </c>
      <c r="B558" s="51">
        <f>YEAR(Table1[[#This Row],[Date]])</f>
        <v>1993</v>
      </c>
      <c r="C558" s="1">
        <v>3</v>
      </c>
      <c r="D558" t="s">
        <v>49</v>
      </c>
      <c r="E558" s="1">
        <v>1</v>
      </c>
      <c r="F558" t="s">
        <v>298</v>
      </c>
      <c r="G558" t="str">
        <f>VLOOKUP(Table1[[#This Row],[Winner]],Ranking!C:D,2,FALSE)</f>
        <v>ACC</v>
      </c>
      <c r="H558" s="1">
        <v>80</v>
      </c>
      <c r="I558" s="1">
        <v>4</v>
      </c>
      <c r="J558" t="s">
        <v>41</v>
      </c>
      <c r="K558" t="str">
        <f>VLOOKUP(Table1[[#This Row],[Loser]],Ranking!C:D,2,FALSE)</f>
        <v>SEC</v>
      </c>
      <c r="L558" s="1">
        <v>74</v>
      </c>
      <c r="N558" s="1">
        <f>Table1[[#This Row],[Winning Score]]-Table1[[#This Row],[Losing Score]]</f>
        <v>6</v>
      </c>
      <c r="O558" s="1">
        <f>Table1[[#This Row],[Losing Seed]]-Table1[[#This Row],[Winning Seed]]</f>
        <v>3</v>
      </c>
      <c r="P558" s="1" t="str">
        <f>IF(Table1[[#This Row],[SeD]]&lt;-2,Table1[[#This Row],[Winning Seed]]&amp; " over " &amp;Table1[[#This Row],[Losing Seed]],"")</f>
        <v/>
      </c>
      <c r="Q558">
        <f>VLOOKUP(Table1[[#This Row],[Losing Seed]],'Seed History'!$N$4:$O$19,2)</f>
        <v>1.5208333333333333</v>
      </c>
      <c r="R558" s="1">
        <f>IF(Table1[[#This Row],[Round]]="PI",0,Table1[[#This Row],[Round]]-1)</f>
        <v>2</v>
      </c>
      <c r="S558">
        <f>Table1[[#This Row],[LAW]]-Table1[[#This Row],[LEW]]</f>
        <v>0.47916666666666674</v>
      </c>
    </row>
    <row r="559" spans="1:19" x14ac:dyDescent="0.25">
      <c r="A559" s="66">
        <v>34054</v>
      </c>
      <c r="B559" s="51">
        <f>YEAR(Table1[[#This Row],[Date]])</f>
        <v>1993</v>
      </c>
      <c r="C559" s="1">
        <v>3</v>
      </c>
      <c r="D559" t="s">
        <v>49</v>
      </c>
      <c r="E559" s="1">
        <v>2</v>
      </c>
      <c r="F559" t="s">
        <v>28</v>
      </c>
      <c r="G559" t="str">
        <f>VLOOKUP(Table1[[#This Row],[Winner]],Ranking!C:D,2,FALSE)</f>
        <v>Amer</v>
      </c>
      <c r="H559" s="1">
        <v>71</v>
      </c>
      <c r="I559" s="1">
        <v>6</v>
      </c>
      <c r="J559" t="s">
        <v>61</v>
      </c>
      <c r="K559" t="str">
        <f>VLOOKUP(Table1[[#This Row],[Loser]],Ranking!C:D,2,FALSE)</f>
        <v>ACC</v>
      </c>
      <c r="L559" s="1">
        <v>54</v>
      </c>
      <c r="N559" s="1">
        <f>Table1[[#This Row],[Winning Score]]-Table1[[#This Row],[Losing Score]]</f>
        <v>17</v>
      </c>
      <c r="O559" s="1">
        <f>Table1[[#This Row],[Losing Seed]]-Table1[[#This Row],[Winning Seed]]</f>
        <v>4</v>
      </c>
      <c r="P559" s="1" t="str">
        <f>IF(Table1[[#This Row],[SeD]]&lt;-2,Table1[[#This Row],[Winning Seed]]&amp; " over " &amp;Table1[[#This Row],[Losing Seed]],"")</f>
        <v/>
      </c>
      <c r="Q559">
        <f>VLOOKUP(Table1[[#This Row],[Losing Seed]],'Seed History'!$N$4:$O$19,2)</f>
        <v>1.0625</v>
      </c>
      <c r="R559" s="1">
        <f>IF(Table1[[#This Row],[Round]]="PI",0,Table1[[#This Row],[Round]]-1)</f>
        <v>2</v>
      </c>
      <c r="S559">
        <f>Table1[[#This Row],[LAW]]-Table1[[#This Row],[LEW]]</f>
        <v>0.9375</v>
      </c>
    </row>
    <row r="560" spans="1:19" x14ac:dyDescent="0.25">
      <c r="A560" s="66">
        <v>34054</v>
      </c>
      <c r="B560" s="51">
        <f>YEAR(Table1[[#This Row],[Date]])</f>
        <v>1993</v>
      </c>
      <c r="C560" s="1">
        <v>3</v>
      </c>
      <c r="D560" t="s">
        <v>38</v>
      </c>
      <c r="E560" s="1">
        <v>1</v>
      </c>
      <c r="F560" t="s">
        <v>82</v>
      </c>
      <c r="G560" t="str">
        <f>VLOOKUP(Table1[[#This Row],[Winner]],Ranking!C:D,2,FALSE)</f>
        <v>B10</v>
      </c>
      <c r="H560" s="1">
        <v>72</v>
      </c>
      <c r="I560" s="1">
        <v>12</v>
      </c>
      <c r="J560" t="s">
        <v>213</v>
      </c>
      <c r="K560" t="str">
        <f>VLOOKUP(Table1[[#This Row],[Loser]],Ranking!C:D,2,FALSE)</f>
        <v>A10</v>
      </c>
      <c r="L560" s="1">
        <v>64</v>
      </c>
      <c r="N560" s="1">
        <f>Table1[[#This Row],[Winning Score]]-Table1[[#This Row],[Losing Score]]</f>
        <v>8</v>
      </c>
      <c r="O560" s="1">
        <f>Table1[[#This Row],[Losing Seed]]-Table1[[#This Row],[Winning Seed]]</f>
        <v>11</v>
      </c>
      <c r="P560" s="1" t="str">
        <f>IF(Table1[[#This Row],[SeD]]&lt;-2,Table1[[#This Row],[Winning Seed]]&amp; " over " &amp;Table1[[#This Row],[Losing Seed]],"")</f>
        <v/>
      </c>
      <c r="Q560">
        <f>VLOOKUP(Table1[[#This Row],[Losing Seed]],'Seed History'!$N$4:$O$19,2)</f>
        <v>0.52083333333333337</v>
      </c>
      <c r="R560" s="1">
        <f>IF(Table1[[#This Row],[Round]]="PI",0,Table1[[#This Row],[Round]]-1)</f>
        <v>2</v>
      </c>
      <c r="S560">
        <f>Table1[[#This Row],[LAW]]-Table1[[#This Row],[LEW]]</f>
        <v>1.4791666666666665</v>
      </c>
    </row>
    <row r="561" spans="1:19" x14ac:dyDescent="0.25">
      <c r="A561" s="66">
        <v>34054</v>
      </c>
      <c r="B561" s="51">
        <f>YEAR(Table1[[#This Row],[Date]])</f>
        <v>1993</v>
      </c>
      <c r="C561" s="1">
        <v>3</v>
      </c>
      <c r="D561" t="s">
        <v>38</v>
      </c>
      <c r="E561" s="1">
        <v>7</v>
      </c>
      <c r="F561" t="s">
        <v>373</v>
      </c>
      <c r="G561" t="str">
        <f>VLOOKUP(Table1[[#This Row],[Winner]],Ranking!C:D,2,FALSE)</f>
        <v>Amer</v>
      </c>
      <c r="H561" s="1">
        <v>67</v>
      </c>
      <c r="I561" s="1">
        <v>3</v>
      </c>
      <c r="J561" t="s">
        <v>78</v>
      </c>
      <c r="K561" t="str">
        <f>VLOOKUP(Table1[[#This Row],[Loser]],Ranking!C:D,2,FALSE)</f>
        <v>SEC</v>
      </c>
      <c r="L561" s="1">
        <v>59</v>
      </c>
      <c r="N561" s="1">
        <f>Table1[[#This Row],[Winning Score]]-Table1[[#This Row],[Losing Score]]</f>
        <v>8</v>
      </c>
      <c r="O561" s="1">
        <f>Table1[[#This Row],[Losing Seed]]-Table1[[#This Row],[Winning Seed]]</f>
        <v>-4</v>
      </c>
      <c r="P561" s="1" t="str">
        <f>IF(Table1[[#This Row],[SeD]]&lt;-2,Table1[[#This Row],[Winning Seed]]&amp; " over " &amp;Table1[[#This Row],[Losing Seed]],"")</f>
        <v>7 over 3</v>
      </c>
      <c r="Q561">
        <f>VLOOKUP(Table1[[#This Row],[Losing Seed]],'Seed History'!$N$4:$O$19,2)</f>
        <v>1.8472222222222223</v>
      </c>
      <c r="R561" s="1">
        <f>IF(Table1[[#This Row],[Round]]="PI",0,Table1[[#This Row],[Round]]-1)</f>
        <v>2</v>
      </c>
      <c r="S561">
        <f>Table1[[#This Row],[LAW]]-Table1[[#This Row],[LEW]]</f>
        <v>0.15277777777777768</v>
      </c>
    </row>
    <row r="562" spans="1:19" x14ac:dyDescent="0.25">
      <c r="A562" s="66">
        <v>34055</v>
      </c>
      <c r="B562" s="51">
        <f>YEAR(Table1[[#This Row],[Date]])</f>
        <v>1993</v>
      </c>
      <c r="C562" s="1">
        <v>4</v>
      </c>
      <c r="D562" t="s">
        <v>461</v>
      </c>
      <c r="E562" s="1">
        <v>1</v>
      </c>
      <c r="F562" t="s">
        <v>26</v>
      </c>
      <c r="G562" t="str">
        <f>VLOOKUP(Table1[[#This Row],[Winner]],Ranking!C:D,2,FALSE)</f>
        <v>SEC</v>
      </c>
      <c r="H562" s="1">
        <v>106</v>
      </c>
      <c r="I562" s="1">
        <v>3</v>
      </c>
      <c r="J562" t="s">
        <v>207</v>
      </c>
      <c r="K562" t="str">
        <f>VLOOKUP(Table1[[#This Row],[Loser]],Ranking!C:D,2,FALSE)</f>
        <v>ACC</v>
      </c>
      <c r="L562" s="1">
        <v>81</v>
      </c>
      <c r="N562" s="1">
        <f>Table1[[#This Row],[Winning Score]]-Table1[[#This Row],[Losing Score]]</f>
        <v>25</v>
      </c>
      <c r="O562" s="1">
        <f>Table1[[#This Row],[Losing Seed]]-Table1[[#This Row],[Winning Seed]]</f>
        <v>2</v>
      </c>
      <c r="P562" s="1" t="str">
        <f>IF(Table1[[#This Row],[SeD]]&lt;-2,Table1[[#This Row],[Winning Seed]]&amp; " over " &amp;Table1[[#This Row],[Losing Seed]],"")</f>
        <v/>
      </c>
      <c r="Q562">
        <f>VLOOKUP(Table1[[#This Row],[Losing Seed]],'Seed History'!$N$4:$O$19,2)</f>
        <v>1.8472222222222223</v>
      </c>
      <c r="R562" s="1">
        <f>IF(Table1[[#This Row],[Round]]="PI",0,Table1[[#This Row],[Round]]-1)</f>
        <v>3</v>
      </c>
      <c r="S562">
        <f>Table1[[#This Row],[LAW]]-Table1[[#This Row],[LEW]]</f>
        <v>1.1527777777777777</v>
      </c>
    </row>
    <row r="563" spans="1:19" x14ac:dyDescent="0.25">
      <c r="A563" s="66">
        <v>34055</v>
      </c>
      <c r="B563" s="51">
        <f>YEAR(Table1[[#This Row],[Date]])</f>
        <v>1993</v>
      </c>
      <c r="C563" s="1">
        <v>4</v>
      </c>
      <c r="D563" t="s">
        <v>439</v>
      </c>
      <c r="E563" s="1">
        <v>2</v>
      </c>
      <c r="F563" t="s">
        <v>37</v>
      </c>
      <c r="G563" t="str">
        <f>VLOOKUP(Table1[[#This Row],[Winner]],Ranking!C:D,2,FALSE)</f>
        <v>B12</v>
      </c>
      <c r="H563" s="1">
        <v>83</v>
      </c>
      <c r="I563" s="1">
        <v>1</v>
      </c>
      <c r="J563" t="s">
        <v>36</v>
      </c>
      <c r="K563" t="str">
        <f>VLOOKUP(Table1[[#This Row],[Loser]],Ranking!C:D,2,FALSE)</f>
        <v>B10</v>
      </c>
      <c r="L563" s="1">
        <v>77</v>
      </c>
      <c r="N563" s="1">
        <f>Table1[[#This Row],[Winning Score]]-Table1[[#This Row],[Losing Score]]</f>
        <v>6</v>
      </c>
      <c r="O563" s="1">
        <f>Table1[[#This Row],[Losing Seed]]-Table1[[#This Row],[Winning Seed]]</f>
        <v>-1</v>
      </c>
      <c r="P563" s="1" t="str">
        <f>IF(Table1[[#This Row],[SeD]]&lt;-2,Table1[[#This Row],[Winning Seed]]&amp; " over " &amp;Table1[[#This Row],[Losing Seed]],"")</f>
        <v/>
      </c>
      <c r="Q563">
        <f>VLOOKUP(Table1[[#This Row],[Losing Seed]],'Seed History'!$N$4:$O$19,2)</f>
        <v>3.3263888888888888</v>
      </c>
      <c r="R563" s="1">
        <f>IF(Table1[[#This Row],[Round]]="PI",0,Table1[[#This Row],[Round]]-1)</f>
        <v>3</v>
      </c>
      <c r="S563">
        <f>Table1[[#This Row],[LAW]]-Table1[[#This Row],[LEW]]</f>
        <v>-0.32638888888888884</v>
      </c>
    </row>
    <row r="564" spans="1:19" x14ac:dyDescent="0.25">
      <c r="A564" s="66">
        <v>34056</v>
      </c>
      <c r="B564" s="51">
        <f>YEAR(Table1[[#This Row],[Date]])</f>
        <v>1993</v>
      </c>
      <c r="C564" s="1">
        <v>4</v>
      </c>
      <c r="D564" t="s">
        <v>49</v>
      </c>
      <c r="E564" s="1">
        <v>1</v>
      </c>
      <c r="F564" t="s">
        <v>298</v>
      </c>
      <c r="G564" t="str">
        <f>VLOOKUP(Table1[[#This Row],[Winner]],Ranking!C:D,2,FALSE)</f>
        <v>ACC</v>
      </c>
      <c r="H564" s="1">
        <v>75</v>
      </c>
      <c r="I564" s="1">
        <v>2</v>
      </c>
      <c r="J564" t="s">
        <v>28</v>
      </c>
      <c r="K564" t="str">
        <f>VLOOKUP(Table1[[#This Row],[Loser]],Ranking!C:D,2,FALSE)</f>
        <v>Amer</v>
      </c>
      <c r="L564" s="1">
        <v>68</v>
      </c>
      <c r="M564" s="1" t="s">
        <v>462</v>
      </c>
      <c r="N564" s="1">
        <f>Table1[[#This Row],[Winning Score]]-Table1[[#This Row],[Losing Score]]</f>
        <v>7</v>
      </c>
      <c r="O564" s="1">
        <f>Table1[[#This Row],[Losing Seed]]-Table1[[#This Row],[Winning Seed]]</f>
        <v>1</v>
      </c>
      <c r="P564" s="1" t="str">
        <f>IF(Table1[[#This Row],[SeD]]&lt;-2,Table1[[#This Row],[Winning Seed]]&amp; " over " &amp;Table1[[#This Row],[Losing Seed]],"")</f>
        <v/>
      </c>
      <c r="Q564">
        <f>VLOOKUP(Table1[[#This Row],[Losing Seed]],'Seed History'!$N$4:$O$19,2)</f>
        <v>2.3472222222222223</v>
      </c>
      <c r="R564" s="1">
        <f>IF(Table1[[#This Row],[Round]]="PI",0,Table1[[#This Row],[Round]]-1)</f>
        <v>3</v>
      </c>
      <c r="S564">
        <f>Table1[[#This Row],[LAW]]-Table1[[#This Row],[LEW]]</f>
        <v>0.65277777777777768</v>
      </c>
    </row>
    <row r="565" spans="1:19" x14ac:dyDescent="0.25">
      <c r="A565" s="66">
        <v>34056</v>
      </c>
      <c r="B565" s="51">
        <f>YEAR(Table1[[#This Row],[Date]])</f>
        <v>1993</v>
      </c>
      <c r="C565" s="1">
        <v>4</v>
      </c>
      <c r="D565" t="s">
        <v>38</v>
      </c>
      <c r="E565" s="1">
        <v>1</v>
      </c>
      <c r="F565" t="s">
        <v>82</v>
      </c>
      <c r="G565" t="str">
        <f>VLOOKUP(Table1[[#This Row],[Winner]],Ranking!C:D,2,FALSE)</f>
        <v>B10</v>
      </c>
      <c r="H565" s="1">
        <v>77</v>
      </c>
      <c r="I565" s="1">
        <v>7</v>
      </c>
      <c r="J565" t="s">
        <v>373</v>
      </c>
      <c r="K565" t="str">
        <f>VLOOKUP(Table1[[#This Row],[Loser]],Ranking!C:D,2,FALSE)</f>
        <v>Amer</v>
      </c>
      <c r="L565" s="1">
        <v>72</v>
      </c>
      <c r="N565" s="1">
        <f>Table1[[#This Row],[Winning Score]]-Table1[[#This Row],[Losing Score]]</f>
        <v>5</v>
      </c>
      <c r="O565" s="1">
        <f>Table1[[#This Row],[Losing Seed]]-Table1[[#This Row],[Winning Seed]]</f>
        <v>6</v>
      </c>
      <c r="P565" s="1" t="str">
        <f>IF(Table1[[#This Row],[SeD]]&lt;-2,Table1[[#This Row],[Winning Seed]]&amp; " over " &amp;Table1[[#This Row],[Losing Seed]],"")</f>
        <v/>
      </c>
      <c r="Q565">
        <f>VLOOKUP(Table1[[#This Row],[Losing Seed]],'Seed History'!$N$4:$O$19,2)</f>
        <v>0.90277777777777779</v>
      </c>
      <c r="R565" s="1">
        <f>IF(Table1[[#This Row],[Round]]="PI",0,Table1[[#This Row],[Round]]-1)</f>
        <v>3</v>
      </c>
      <c r="S565">
        <f>Table1[[#This Row],[LAW]]-Table1[[#This Row],[LEW]]</f>
        <v>2.0972222222222223</v>
      </c>
    </row>
    <row r="566" spans="1:19" x14ac:dyDescent="0.25">
      <c r="A566" s="66">
        <v>34062</v>
      </c>
      <c r="B566" s="51">
        <f>YEAR(Table1[[#This Row],[Date]])</f>
        <v>1993</v>
      </c>
      <c r="C566" s="1">
        <v>5</v>
      </c>
      <c r="D566" t="s">
        <v>467</v>
      </c>
      <c r="E566" s="1">
        <v>1</v>
      </c>
      <c r="F566" t="s">
        <v>298</v>
      </c>
      <c r="G566" t="str">
        <f>VLOOKUP(Table1[[#This Row],[Winner]],Ranking!C:D,2,FALSE)</f>
        <v>ACC</v>
      </c>
      <c r="H566" s="1">
        <v>78</v>
      </c>
      <c r="I566" s="1">
        <v>2</v>
      </c>
      <c r="J566" t="s">
        <v>37</v>
      </c>
      <c r="K566" t="str">
        <f>VLOOKUP(Table1[[#This Row],[Loser]],Ranking!C:D,2,FALSE)</f>
        <v>B12</v>
      </c>
      <c r="L566" s="1">
        <v>68</v>
      </c>
      <c r="N566" s="1">
        <f>Table1[[#This Row],[Winning Score]]-Table1[[#This Row],[Losing Score]]</f>
        <v>10</v>
      </c>
      <c r="O566" s="1">
        <f>Table1[[#This Row],[Losing Seed]]-Table1[[#This Row],[Winning Seed]]</f>
        <v>1</v>
      </c>
      <c r="P566" s="1" t="str">
        <f>IF(Table1[[#This Row],[SeD]]&lt;-2,Table1[[#This Row],[Winning Seed]]&amp; " over " &amp;Table1[[#This Row],[Losing Seed]],"")</f>
        <v/>
      </c>
      <c r="Q566">
        <f>VLOOKUP(Table1[[#This Row],[Losing Seed]],'Seed History'!$N$4:$O$19,2)</f>
        <v>2.3472222222222223</v>
      </c>
      <c r="R566" s="1">
        <f>IF(Table1[[#This Row],[Round]]="PI",0,Table1[[#This Row],[Round]]-1)</f>
        <v>4</v>
      </c>
      <c r="S566">
        <f>Table1[[#This Row],[LAW]]-Table1[[#This Row],[LEW]]</f>
        <v>1.6527777777777777</v>
      </c>
    </row>
    <row r="567" spans="1:19" x14ac:dyDescent="0.25">
      <c r="A567" s="66">
        <v>34062</v>
      </c>
      <c r="B567" s="51">
        <f>YEAR(Table1[[#This Row],[Date]])</f>
        <v>1993</v>
      </c>
      <c r="C567" s="1">
        <v>5</v>
      </c>
      <c r="D567" t="s">
        <v>467</v>
      </c>
      <c r="E567" s="1">
        <v>1</v>
      </c>
      <c r="F567" t="s">
        <v>82</v>
      </c>
      <c r="G567" t="str">
        <f>VLOOKUP(Table1[[#This Row],[Winner]],Ranking!C:D,2,FALSE)</f>
        <v>B10</v>
      </c>
      <c r="H567" s="1">
        <v>81</v>
      </c>
      <c r="I567" s="1">
        <v>1</v>
      </c>
      <c r="J567" t="s">
        <v>26</v>
      </c>
      <c r="K567" t="str">
        <f>VLOOKUP(Table1[[#This Row],[Loser]],Ranking!C:D,2,FALSE)</f>
        <v>SEC</v>
      </c>
      <c r="L567" s="1">
        <v>78</v>
      </c>
      <c r="M567" s="1" t="s">
        <v>462</v>
      </c>
      <c r="N567" s="1">
        <f>Table1[[#This Row],[Winning Score]]-Table1[[#This Row],[Losing Score]]</f>
        <v>3</v>
      </c>
      <c r="O567" s="1">
        <f>Table1[[#This Row],[Losing Seed]]-Table1[[#This Row],[Winning Seed]]</f>
        <v>0</v>
      </c>
      <c r="P567" s="1" t="str">
        <f>IF(Table1[[#This Row],[SeD]]&lt;-2,Table1[[#This Row],[Winning Seed]]&amp; " over " &amp;Table1[[#This Row],[Losing Seed]],"")</f>
        <v/>
      </c>
      <c r="Q567">
        <f>VLOOKUP(Table1[[#This Row],[Losing Seed]],'Seed History'!$N$4:$O$19,2)</f>
        <v>3.3263888888888888</v>
      </c>
      <c r="R567" s="1">
        <f>IF(Table1[[#This Row],[Round]]="PI",0,Table1[[#This Row],[Round]]-1)</f>
        <v>4</v>
      </c>
      <c r="S567">
        <f>Table1[[#This Row],[LAW]]-Table1[[#This Row],[LEW]]</f>
        <v>0.67361111111111116</v>
      </c>
    </row>
    <row r="568" spans="1:19" x14ac:dyDescent="0.25">
      <c r="A568" s="66">
        <v>34064</v>
      </c>
      <c r="B568" s="51">
        <f>YEAR(Table1[[#This Row],[Date]])</f>
        <v>1993</v>
      </c>
      <c r="C568" s="1">
        <v>6</v>
      </c>
      <c r="D568" t="s">
        <v>468</v>
      </c>
      <c r="E568" s="1">
        <v>1</v>
      </c>
      <c r="F568" t="s">
        <v>298</v>
      </c>
      <c r="G568" t="str">
        <f>VLOOKUP(Table1[[#This Row],[Winner]],Ranking!C:D,2,FALSE)</f>
        <v>ACC</v>
      </c>
      <c r="H568" s="1">
        <v>77</v>
      </c>
      <c r="I568" s="1">
        <v>1</v>
      </c>
      <c r="J568" t="s">
        <v>82</v>
      </c>
      <c r="K568" t="str">
        <f>VLOOKUP(Table1[[#This Row],[Loser]],Ranking!C:D,2,FALSE)</f>
        <v>B10</v>
      </c>
      <c r="L568" s="1">
        <v>71</v>
      </c>
      <c r="N568" s="1">
        <f>Table1[[#This Row],[Winning Score]]-Table1[[#This Row],[Losing Score]]</f>
        <v>6</v>
      </c>
      <c r="O568" s="1">
        <f>Table1[[#This Row],[Losing Seed]]-Table1[[#This Row],[Winning Seed]]</f>
        <v>0</v>
      </c>
      <c r="P568" s="1" t="str">
        <f>IF(Table1[[#This Row],[SeD]]&lt;-2,Table1[[#This Row],[Winning Seed]]&amp; " over " &amp;Table1[[#This Row],[Losing Seed]],"")</f>
        <v/>
      </c>
      <c r="Q568">
        <f>VLOOKUP(Table1[[#This Row],[Losing Seed]],'Seed History'!$N$4:$O$19,2)</f>
        <v>3.3263888888888888</v>
      </c>
      <c r="R568" s="1">
        <f>IF(Table1[[#This Row],[Round]]="PI",0,Table1[[#This Row],[Round]]-1)</f>
        <v>5</v>
      </c>
      <c r="S568">
        <f>Table1[[#This Row],[LAW]]-Table1[[#This Row],[LEW]]</f>
        <v>1.6736111111111112</v>
      </c>
    </row>
    <row r="569" spans="1:19" x14ac:dyDescent="0.25">
      <c r="A569" s="66">
        <v>34410</v>
      </c>
      <c r="B569" s="51">
        <f>YEAR(Table1[[#This Row],[Date]])</f>
        <v>1994</v>
      </c>
      <c r="C569" s="1">
        <v>1</v>
      </c>
      <c r="D569" t="s">
        <v>38</v>
      </c>
      <c r="E569" s="1">
        <v>12</v>
      </c>
      <c r="F569" t="s">
        <v>219</v>
      </c>
      <c r="G569" t="str">
        <f>VLOOKUP(Table1[[#This Row],[Winner]],Ranking!C:D,2,FALSE)</f>
        <v>Horz</v>
      </c>
      <c r="H569" s="1">
        <v>61</v>
      </c>
      <c r="I569" s="1">
        <v>5</v>
      </c>
      <c r="J569" t="s">
        <v>84</v>
      </c>
      <c r="K569" t="str">
        <f>VLOOKUP(Table1[[#This Row],[Loser]],Ranking!C:D,2,FALSE)</f>
        <v>P12</v>
      </c>
      <c r="L569" s="1">
        <v>57</v>
      </c>
      <c r="N569" s="1">
        <f>Table1[[#This Row],[Winning Score]]-Table1[[#This Row],[Losing Score]]</f>
        <v>4</v>
      </c>
      <c r="O569" s="1">
        <f>Table1[[#This Row],[Losing Seed]]-Table1[[#This Row],[Winning Seed]]</f>
        <v>-7</v>
      </c>
      <c r="P569" s="1" t="str">
        <f>IF(Table1[[#This Row],[SeD]]&lt;-2,Table1[[#This Row],[Winning Seed]]&amp; " over " &amp;Table1[[#This Row],[Losing Seed]],"")</f>
        <v>12 over 5</v>
      </c>
      <c r="Q569">
        <f>VLOOKUP(Table1[[#This Row],[Losing Seed]],'Seed History'!$N$4:$O$19,2)</f>
        <v>1.1180555555555556</v>
      </c>
      <c r="R569" s="1">
        <f>IF(Table1[[#This Row],[Round]]="PI",0,Table1[[#This Row],[Round]]-1)</f>
        <v>0</v>
      </c>
      <c r="S569">
        <f>Table1[[#This Row],[LAW]]-Table1[[#This Row],[LEW]]</f>
        <v>-1.1180555555555556</v>
      </c>
    </row>
    <row r="570" spans="1:19" x14ac:dyDescent="0.25">
      <c r="A570" s="66">
        <v>34410</v>
      </c>
      <c r="B570" s="51">
        <f>YEAR(Table1[[#This Row],[Date]])</f>
        <v>1994</v>
      </c>
      <c r="C570" s="1">
        <v>1</v>
      </c>
      <c r="D570" t="s">
        <v>49</v>
      </c>
      <c r="E570" s="1">
        <v>2</v>
      </c>
      <c r="F570" t="s">
        <v>80</v>
      </c>
      <c r="G570" t="str">
        <f>VLOOKUP(Table1[[#This Row],[Winner]],Ranking!C:D,2,FALSE)</f>
        <v>BE</v>
      </c>
      <c r="H570" s="1">
        <v>64</v>
      </c>
      <c r="I570" s="1">
        <v>15</v>
      </c>
      <c r="J570" t="s">
        <v>332</v>
      </c>
      <c r="K570" t="str">
        <f>VLOOKUP(Table1[[#This Row],[Loser]],Ranking!C:D,2,FALSE)</f>
        <v>MAAC</v>
      </c>
      <c r="L570" s="1">
        <v>46</v>
      </c>
      <c r="N570" s="1">
        <f>Table1[[#This Row],[Winning Score]]-Table1[[#This Row],[Losing Score]]</f>
        <v>18</v>
      </c>
      <c r="O570" s="1">
        <f>Table1[[#This Row],[Losing Seed]]-Table1[[#This Row],[Winning Seed]]</f>
        <v>13</v>
      </c>
      <c r="P570" s="1" t="str">
        <f>IF(Table1[[#This Row],[SeD]]&lt;-2,Table1[[#This Row],[Winning Seed]]&amp; " over " &amp;Table1[[#This Row],[Losing Seed]],"")</f>
        <v/>
      </c>
      <c r="Q570">
        <f>VLOOKUP(Table1[[#This Row],[Losing Seed]],'Seed History'!$N$4:$O$19,2)</f>
        <v>7.6388888888888895E-2</v>
      </c>
      <c r="R570" s="1">
        <f>IF(Table1[[#This Row],[Round]]="PI",0,Table1[[#This Row],[Round]]-1)</f>
        <v>0</v>
      </c>
      <c r="S570">
        <f>Table1[[#This Row],[LAW]]-Table1[[#This Row],[LEW]]</f>
        <v>-7.6388888888888895E-2</v>
      </c>
    </row>
    <row r="571" spans="1:19" x14ac:dyDescent="0.25">
      <c r="A571" s="66">
        <v>34410</v>
      </c>
      <c r="B571" s="51">
        <f>YEAR(Table1[[#This Row],[Date]])</f>
        <v>1994</v>
      </c>
      <c r="C571" s="1">
        <v>1</v>
      </c>
      <c r="D571" t="s">
        <v>49</v>
      </c>
      <c r="E571" s="1">
        <v>3</v>
      </c>
      <c r="F571" t="s">
        <v>81</v>
      </c>
      <c r="G571" t="str">
        <f>VLOOKUP(Table1[[#This Row],[Winner]],Ranking!C:D,2,FALSE)</f>
        <v>SEC</v>
      </c>
      <c r="H571" s="1">
        <v>64</v>
      </c>
      <c r="I571" s="1">
        <v>14</v>
      </c>
      <c r="J571" t="s">
        <v>242</v>
      </c>
      <c r="K571" t="str">
        <f>VLOOKUP(Table1[[#This Row],[Loser]],Ranking!C:D,2,FALSE)</f>
        <v>CAA</v>
      </c>
      <c r="L571" s="1">
        <v>62</v>
      </c>
      <c r="N571" s="1">
        <f>Table1[[#This Row],[Winning Score]]-Table1[[#This Row],[Losing Score]]</f>
        <v>2</v>
      </c>
      <c r="O571" s="1">
        <f>Table1[[#This Row],[Losing Seed]]-Table1[[#This Row],[Winning Seed]]</f>
        <v>11</v>
      </c>
      <c r="P571" s="1" t="str">
        <f>IF(Table1[[#This Row],[SeD]]&lt;-2,Table1[[#This Row],[Winning Seed]]&amp; " over " &amp;Table1[[#This Row],[Losing Seed]],"")</f>
        <v/>
      </c>
      <c r="Q571">
        <f>VLOOKUP(Table1[[#This Row],[Losing Seed]],'Seed History'!$N$4:$O$19,2)</f>
        <v>0.16666666666666666</v>
      </c>
      <c r="R571" s="1">
        <f>IF(Table1[[#This Row],[Round]]="PI",0,Table1[[#This Row],[Round]]-1)</f>
        <v>0</v>
      </c>
      <c r="S571">
        <f>Table1[[#This Row],[LAW]]-Table1[[#This Row],[LEW]]</f>
        <v>-0.16666666666666666</v>
      </c>
    </row>
    <row r="572" spans="1:19" x14ac:dyDescent="0.25">
      <c r="A572" s="66">
        <v>34410</v>
      </c>
      <c r="B572" s="51">
        <f>YEAR(Table1[[#This Row],[Date]])</f>
        <v>1994</v>
      </c>
      <c r="C572" s="1">
        <v>1</v>
      </c>
      <c r="D572" t="s">
        <v>439</v>
      </c>
      <c r="E572" s="1">
        <v>2</v>
      </c>
      <c r="F572" t="s">
        <v>265</v>
      </c>
      <c r="G572" t="str">
        <f>VLOOKUP(Table1[[#This Row],[Winner]],Ranking!C:D,2,FALSE)</f>
        <v>A10</v>
      </c>
      <c r="H572" s="1">
        <v>78</v>
      </c>
      <c r="I572" s="1">
        <v>15</v>
      </c>
      <c r="J572" t="s">
        <v>380</v>
      </c>
      <c r="K572" t="str">
        <f>VLOOKUP(Table1[[#This Row],[Loser]],Ranking!C:D,2,FALSE)</f>
        <v>SB</v>
      </c>
      <c r="L572" s="1">
        <v>60</v>
      </c>
      <c r="N572" s="1">
        <f>Table1[[#This Row],[Winning Score]]-Table1[[#This Row],[Losing Score]]</f>
        <v>18</v>
      </c>
      <c r="O572" s="1">
        <f>Table1[[#This Row],[Losing Seed]]-Table1[[#This Row],[Winning Seed]]</f>
        <v>13</v>
      </c>
      <c r="P572" s="1" t="str">
        <f>IF(Table1[[#This Row],[SeD]]&lt;-2,Table1[[#This Row],[Winning Seed]]&amp; " over " &amp;Table1[[#This Row],[Losing Seed]],"")</f>
        <v/>
      </c>
      <c r="Q572">
        <f>VLOOKUP(Table1[[#This Row],[Losing Seed]],'Seed History'!$N$4:$O$19,2)</f>
        <v>7.6388888888888895E-2</v>
      </c>
      <c r="R572" s="1">
        <f>IF(Table1[[#This Row],[Round]]="PI",0,Table1[[#This Row],[Round]]-1)</f>
        <v>0</v>
      </c>
      <c r="S572">
        <f>Table1[[#This Row],[LAW]]-Table1[[#This Row],[LEW]]</f>
        <v>-7.6388888888888895E-2</v>
      </c>
    </row>
    <row r="573" spans="1:19" x14ac:dyDescent="0.25">
      <c r="A573" s="66">
        <v>34410</v>
      </c>
      <c r="B573" s="51">
        <f>YEAR(Table1[[#This Row],[Date]])</f>
        <v>1994</v>
      </c>
      <c r="C573" s="1">
        <v>1</v>
      </c>
      <c r="D573" t="s">
        <v>439</v>
      </c>
      <c r="E573" s="1">
        <v>3</v>
      </c>
      <c r="F573" t="s">
        <v>82</v>
      </c>
      <c r="G573" t="str">
        <f>VLOOKUP(Table1[[#This Row],[Winner]],Ranking!C:D,2,FALSE)</f>
        <v>B10</v>
      </c>
      <c r="H573" s="1">
        <v>78</v>
      </c>
      <c r="I573" s="1">
        <v>14</v>
      </c>
      <c r="J573" t="s">
        <v>323</v>
      </c>
      <c r="K573" t="str">
        <f>VLOOKUP(Table1[[#This Row],[Loser]],Ranking!C:D,2,FALSE)</f>
        <v>WCC</v>
      </c>
      <c r="L573" s="1">
        <v>74</v>
      </c>
      <c r="M573" s="1" t="s">
        <v>462</v>
      </c>
      <c r="N573" s="1">
        <f>Table1[[#This Row],[Winning Score]]-Table1[[#This Row],[Losing Score]]</f>
        <v>4</v>
      </c>
      <c r="O573" s="1">
        <f>Table1[[#This Row],[Losing Seed]]-Table1[[#This Row],[Winning Seed]]</f>
        <v>11</v>
      </c>
      <c r="P573" s="1" t="str">
        <f>IF(Table1[[#This Row],[SeD]]&lt;-2,Table1[[#This Row],[Winning Seed]]&amp; " over " &amp;Table1[[#This Row],[Losing Seed]],"")</f>
        <v/>
      </c>
      <c r="Q573">
        <f>VLOOKUP(Table1[[#This Row],[Losing Seed]],'Seed History'!$N$4:$O$19,2)</f>
        <v>0.16666666666666666</v>
      </c>
      <c r="R573" s="1">
        <f>IF(Table1[[#This Row],[Round]]="PI",0,Table1[[#This Row],[Round]]-1)</f>
        <v>0</v>
      </c>
      <c r="S573">
        <f>Table1[[#This Row],[LAW]]-Table1[[#This Row],[LEW]]</f>
        <v>-0.16666666666666666</v>
      </c>
    </row>
    <row r="574" spans="1:19" x14ac:dyDescent="0.25">
      <c r="A574" s="66">
        <v>34410</v>
      </c>
      <c r="B574" s="51">
        <f>YEAR(Table1[[#This Row],[Date]])</f>
        <v>1994</v>
      </c>
      <c r="C574" s="1">
        <v>1</v>
      </c>
      <c r="D574" t="s">
        <v>439</v>
      </c>
      <c r="E574" s="1">
        <v>6</v>
      </c>
      <c r="F574" t="s">
        <v>34</v>
      </c>
      <c r="G574" t="str">
        <f>VLOOKUP(Table1[[#This Row],[Winner]],Ranking!C:D,2,FALSE)</f>
        <v>B12</v>
      </c>
      <c r="H574" s="1">
        <v>91</v>
      </c>
      <c r="I574" s="1">
        <v>11</v>
      </c>
      <c r="J574" t="s">
        <v>415</v>
      </c>
      <c r="K574" t="str">
        <f>VLOOKUP(Table1[[#This Row],[Loser]],Ranking!C:D,2,FALSE)</f>
        <v>CUSA</v>
      </c>
      <c r="L574" s="1">
        <v>77</v>
      </c>
      <c r="N574" s="1">
        <f>Table1[[#This Row],[Winning Score]]-Table1[[#This Row],[Losing Score]]</f>
        <v>14</v>
      </c>
      <c r="O574" s="1">
        <f>Table1[[#This Row],[Losing Seed]]-Table1[[#This Row],[Winning Seed]]</f>
        <v>5</v>
      </c>
      <c r="P574" s="1" t="str">
        <f>IF(Table1[[#This Row],[SeD]]&lt;-2,Table1[[#This Row],[Winning Seed]]&amp; " over " &amp;Table1[[#This Row],[Losing Seed]],"")</f>
        <v/>
      </c>
      <c r="Q574">
        <f>VLOOKUP(Table1[[#This Row],[Losing Seed]],'Seed History'!$N$4:$O$19,2)</f>
        <v>0.63194444444444442</v>
      </c>
      <c r="R574" s="1">
        <f>IF(Table1[[#This Row],[Round]]="PI",0,Table1[[#This Row],[Round]]-1)</f>
        <v>0</v>
      </c>
      <c r="S574">
        <f>Table1[[#This Row],[LAW]]-Table1[[#This Row],[LEW]]</f>
        <v>-0.63194444444444442</v>
      </c>
    </row>
    <row r="575" spans="1:19" x14ac:dyDescent="0.25">
      <c r="A575" s="66">
        <v>34410</v>
      </c>
      <c r="B575" s="51">
        <f>YEAR(Table1[[#This Row],[Date]])</f>
        <v>1994</v>
      </c>
      <c r="C575" s="1">
        <v>1</v>
      </c>
      <c r="D575" t="s">
        <v>461</v>
      </c>
      <c r="E575" s="1">
        <v>1</v>
      </c>
      <c r="F575" t="s">
        <v>29</v>
      </c>
      <c r="G575" t="str">
        <f>VLOOKUP(Table1[[#This Row],[Winner]],Ranking!C:D,2,FALSE)</f>
        <v>B10</v>
      </c>
      <c r="H575" s="1">
        <v>98</v>
      </c>
      <c r="I575" s="1">
        <v>16</v>
      </c>
      <c r="J575" t="s">
        <v>389</v>
      </c>
      <c r="K575" t="str">
        <f>VLOOKUP(Table1[[#This Row],[Loser]],Ranking!C:D,2,FALSE)</f>
        <v>Amer</v>
      </c>
      <c r="L575" s="1">
        <v>67</v>
      </c>
      <c r="N575" s="1">
        <f>Table1[[#This Row],[Winning Score]]-Table1[[#This Row],[Losing Score]]</f>
        <v>31</v>
      </c>
      <c r="O575" s="1">
        <f>Table1[[#This Row],[Losing Seed]]-Table1[[#This Row],[Winning Seed]]</f>
        <v>15</v>
      </c>
      <c r="P575" s="1" t="str">
        <f>IF(Table1[[#This Row],[SeD]]&lt;-2,Table1[[#This Row],[Winning Seed]]&amp; " over " &amp;Table1[[#This Row],[Losing Seed]],"")</f>
        <v/>
      </c>
      <c r="Q575">
        <f>VLOOKUP(Table1[[#This Row],[Losing Seed]],'Seed History'!$N$4:$O$19,2)</f>
        <v>6.9444444444444441E-3</v>
      </c>
      <c r="R575" s="1">
        <f>IF(Table1[[#This Row],[Round]]="PI",0,Table1[[#This Row],[Round]]-1)</f>
        <v>0</v>
      </c>
      <c r="S575">
        <f>Table1[[#This Row],[LAW]]-Table1[[#This Row],[LEW]]</f>
        <v>-6.9444444444444441E-3</v>
      </c>
    </row>
    <row r="576" spans="1:19" x14ac:dyDescent="0.25">
      <c r="A576" s="66">
        <v>34410</v>
      </c>
      <c r="B576" s="51">
        <f>YEAR(Table1[[#This Row],[Date]])</f>
        <v>1994</v>
      </c>
      <c r="C576" s="1">
        <v>1</v>
      </c>
      <c r="D576" t="s">
        <v>461</v>
      </c>
      <c r="E576" s="1">
        <v>4</v>
      </c>
      <c r="F576" t="s">
        <v>37</v>
      </c>
      <c r="G576" t="str">
        <f>VLOOKUP(Table1[[#This Row],[Winner]],Ranking!C:D,2,FALSE)</f>
        <v>B12</v>
      </c>
      <c r="H576" s="1">
        <v>102</v>
      </c>
      <c r="I576" s="1">
        <v>13</v>
      </c>
      <c r="J576" t="s">
        <v>167</v>
      </c>
      <c r="K576" t="str">
        <f>VLOOKUP(Table1[[#This Row],[Loser]],Ranking!C:D,2,FALSE)</f>
        <v>SC</v>
      </c>
      <c r="L576" s="1">
        <v>73</v>
      </c>
      <c r="N576" s="1">
        <f>Table1[[#This Row],[Winning Score]]-Table1[[#This Row],[Losing Score]]</f>
        <v>29</v>
      </c>
      <c r="O576" s="1">
        <f>Table1[[#This Row],[Losing Seed]]-Table1[[#This Row],[Winning Seed]]</f>
        <v>9</v>
      </c>
      <c r="P576" s="1" t="str">
        <f>IF(Table1[[#This Row],[SeD]]&lt;-2,Table1[[#This Row],[Winning Seed]]&amp; " over " &amp;Table1[[#This Row],[Losing Seed]],"")</f>
        <v/>
      </c>
      <c r="Q576">
        <f>VLOOKUP(Table1[[#This Row],[Losing Seed]],'Seed History'!$N$4:$O$19,2)</f>
        <v>0.25694444444444442</v>
      </c>
      <c r="R576" s="1">
        <f>IF(Table1[[#This Row],[Round]]="PI",0,Table1[[#This Row],[Round]]-1)</f>
        <v>0</v>
      </c>
      <c r="S576">
        <f>Table1[[#This Row],[LAW]]-Table1[[#This Row],[LEW]]</f>
        <v>-0.25694444444444442</v>
      </c>
    </row>
    <row r="577" spans="1:19" x14ac:dyDescent="0.25">
      <c r="A577" s="66">
        <v>34410</v>
      </c>
      <c r="B577" s="51">
        <f>YEAR(Table1[[#This Row],[Date]])</f>
        <v>1994</v>
      </c>
      <c r="C577" s="1">
        <v>1</v>
      </c>
      <c r="D577" t="s">
        <v>461</v>
      </c>
      <c r="E577" s="1">
        <v>5</v>
      </c>
      <c r="F577" t="s">
        <v>408</v>
      </c>
      <c r="G577" t="str">
        <f>VLOOKUP(Table1[[#This Row],[Winner]],Ranking!C:D,2,FALSE)</f>
        <v>ACC</v>
      </c>
      <c r="H577" s="1">
        <v>68</v>
      </c>
      <c r="I577" s="1">
        <v>12</v>
      </c>
      <c r="J577" t="s">
        <v>164</v>
      </c>
      <c r="K577" t="str">
        <f>VLOOKUP(Table1[[#This Row],[Loser]],Ranking!C:D,2,FALSE)</f>
        <v>BSth</v>
      </c>
      <c r="L577" s="1">
        <v>58</v>
      </c>
      <c r="N577" s="1">
        <f>Table1[[#This Row],[Winning Score]]-Table1[[#This Row],[Losing Score]]</f>
        <v>10</v>
      </c>
      <c r="O577" s="1">
        <f>Table1[[#This Row],[Losing Seed]]-Table1[[#This Row],[Winning Seed]]</f>
        <v>7</v>
      </c>
      <c r="P577" s="1" t="str">
        <f>IF(Table1[[#This Row],[SeD]]&lt;-2,Table1[[#This Row],[Winning Seed]]&amp; " over " &amp;Table1[[#This Row],[Losing Seed]],"")</f>
        <v/>
      </c>
      <c r="Q577">
        <f>VLOOKUP(Table1[[#This Row],[Losing Seed]],'Seed History'!$N$4:$O$19,2)</f>
        <v>0.52083333333333337</v>
      </c>
      <c r="R577" s="1">
        <f>IF(Table1[[#This Row],[Round]]="PI",0,Table1[[#This Row],[Round]]-1)</f>
        <v>0</v>
      </c>
      <c r="S577">
        <f>Table1[[#This Row],[LAW]]-Table1[[#This Row],[LEW]]</f>
        <v>-0.52083333333333337</v>
      </c>
    </row>
    <row r="578" spans="1:19" x14ac:dyDescent="0.25">
      <c r="A578" s="66">
        <v>34410</v>
      </c>
      <c r="B578" s="51">
        <f>YEAR(Table1[[#This Row],[Date]])</f>
        <v>1994</v>
      </c>
      <c r="C578" s="1">
        <v>1</v>
      </c>
      <c r="D578" t="s">
        <v>38</v>
      </c>
      <c r="E578" s="1">
        <v>1</v>
      </c>
      <c r="F578" t="s">
        <v>277</v>
      </c>
      <c r="G578" t="str">
        <f>VLOOKUP(Table1[[#This Row],[Winner]],Ranking!C:D,2,FALSE)</f>
        <v>SEC</v>
      </c>
      <c r="H578" s="1">
        <v>76</v>
      </c>
      <c r="I578" s="1">
        <v>16</v>
      </c>
      <c r="J578" t="s">
        <v>286</v>
      </c>
      <c r="K578" t="str">
        <f>VLOOKUP(Table1[[#This Row],[Loser]],Ranking!C:D,2,FALSE)</f>
        <v>Pat</v>
      </c>
      <c r="L578" s="1">
        <v>53</v>
      </c>
      <c r="N578" s="1">
        <f>Table1[[#This Row],[Winning Score]]-Table1[[#This Row],[Losing Score]]</f>
        <v>23</v>
      </c>
      <c r="O578" s="1">
        <f>Table1[[#This Row],[Losing Seed]]-Table1[[#This Row],[Winning Seed]]</f>
        <v>15</v>
      </c>
      <c r="P578" s="1" t="str">
        <f>IF(Table1[[#This Row],[SeD]]&lt;-2,Table1[[#This Row],[Winning Seed]]&amp; " over " &amp;Table1[[#This Row],[Losing Seed]],"")</f>
        <v/>
      </c>
      <c r="Q578">
        <f>VLOOKUP(Table1[[#This Row],[Losing Seed]],'Seed History'!$N$4:$O$19,2)</f>
        <v>6.9444444444444441E-3</v>
      </c>
      <c r="R578" s="1">
        <f>IF(Table1[[#This Row],[Round]]="PI",0,Table1[[#This Row],[Round]]-1)</f>
        <v>0</v>
      </c>
      <c r="S578">
        <f>Table1[[#This Row],[LAW]]-Table1[[#This Row],[LEW]]</f>
        <v>-6.9444444444444441E-3</v>
      </c>
    </row>
    <row r="579" spans="1:19" x14ac:dyDescent="0.25">
      <c r="A579" s="66">
        <v>34410</v>
      </c>
      <c r="B579" s="51">
        <f>YEAR(Table1[[#This Row],[Date]])</f>
        <v>1994</v>
      </c>
      <c r="C579" s="1">
        <v>1</v>
      </c>
      <c r="D579" t="s">
        <v>38</v>
      </c>
      <c r="E579" s="1">
        <v>4</v>
      </c>
      <c r="F579" t="s">
        <v>86</v>
      </c>
      <c r="G579" t="str">
        <f>VLOOKUP(Table1[[#This Row],[Winner]],Ranking!C:D,2,FALSE)</f>
        <v>ACC</v>
      </c>
      <c r="H579" s="1">
        <v>92</v>
      </c>
      <c r="I579" s="1">
        <v>13</v>
      </c>
      <c r="J579" t="s">
        <v>221</v>
      </c>
      <c r="K579" t="str">
        <f>VLOOKUP(Table1[[#This Row],[Loser]],Ranking!C:D,2,FALSE)</f>
        <v>BW</v>
      </c>
      <c r="L579" s="1">
        <v>78</v>
      </c>
      <c r="N579" s="1">
        <f>Table1[[#This Row],[Winning Score]]-Table1[[#This Row],[Losing Score]]</f>
        <v>14</v>
      </c>
      <c r="O579" s="1">
        <f>Table1[[#This Row],[Losing Seed]]-Table1[[#This Row],[Winning Seed]]</f>
        <v>9</v>
      </c>
      <c r="P579" s="1" t="str">
        <f>IF(Table1[[#This Row],[SeD]]&lt;-2,Table1[[#This Row],[Winning Seed]]&amp; " over " &amp;Table1[[#This Row],[Losing Seed]],"")</f>
        <v/>
      </c>
      <c r="Q579">
        <f>VLOOKUP(Table1[[#This Row],[Losing Seed]],'Seed History'!$N$4:$O$19,2)</f>
        <v>0.25694444444444442</v>
      </c>
      <c r="R579" s="1">
        <f>IF(Table1[[#This Row],[Round]]="PI",0,Table1[[#This Row],[Round]]-1)</f>
        <v>0</v>
      </c>
      <c r="S579">
        <f>Table1[[#This Row],[LAW]]-Table1[[#This Row],[LEW]]</f>
        <v>-0.25694444444444442</v>
      </c>
    </row>
    <row r="580" spans="1:19" x14ac:dyDescent="0.25">
      <c r="A580" s="66">
        <v>34410</v>
      </c>
      <c r="B580" s="51">
        <f>YEAR(Table1[[#This Row],[Date]])</f>
        <v>1994</v>
      </c>
      <c r="C580" s="1">
        <v>1</v>
      </c>
      <c r="D580" t="s">
        <v>49</v>
      </c>
      <c r="E580" s="1">
        <v>11</v>
      </c>
      <c r="F580" t="s">
        <v>321</v>
      </c>
      <c r="G580" t="str">
        <f>VLOOKUP(Table1[[#This Row],[Winner]],Ranking!C:D,2,FALSE)</f>
        <v>Ivy</v>
      </c>
      <c r="H580" s="1">
        <v>90</v>
      </c>
      <c r="I580" s="1">
        <v>6</v>
      </c>
      <c r="J580" t="s">
        <v>287</v>
      </c>
      <c r="K580" t="str">
        <f>VLOOKUP(Table1[[#This Row],[Loser]],Ranking!C:D,2,FALSE)</f>
        <v>B10</v>
      </c>
      <c r="L580" s="1">
        <v>80</v>
      </c>
      <c r="N580" s="1">
        <f>Table1[[#This Row],[Winning Score]]-Table1[[#This Row],[Losing Score]]</f>
        <v>10</v>
      </c>
      <c r="O580" s="1">
        <f>Table1[[#This Row],[Losing Seed]]-Table1[[#This Row],[Winning Seed]]</f>
        <v>-5</v>
      </c>
      <c r="P580" s="1" t="str">
        <f>IF(Table1[[#This Row],[SeD]]&lt;-2,Table1[[#This Row],[Winning Seed]]&amp; " over " &amp;Table1[[#This Row],[Losing Seed]],"")</f>
        <v>11 over 6</v>
      </c>
      <c r="Q580">
        <f>VLOOKUP(Table1[[#This Row],[Losing Seed]],'Seed History'!$N$4:$O$19,2)</f>
        <v>1.0625</v>
      </c>
      <c r="R580" s="1">
        <f>IF(Table1[[#This Row],[Round]]="PI",0,Table1[[#This Row],[Round]]-1)</f>
        <v>0</v>
      </c>
      <c r="S580">
        <f>Table1[[#This Row],[LAW]]-Table1[[#This Row],[LEW]]</f>
        <v>-1.0625</v>
      </c>
    </row>
    <row r="581" spans="1:19" x14ac:dyDescent="0.25">
      <c r="A581" s="66">
        <v>34410</v>
      </c>
      <c r="B581" s="51">
        <f>YEAR(Table1[[#This Row],[Date]])</f>
        <v>1994</v>
      </c>
      <c r="C581" s="1">
        <v>1</v>
      </c>
      <c r="D581" t="s">
        <v>49</v>
      </c>
      <c r="E581" s="1">
        <v>10</v>
      </c>
      <c r="F581" t="s">
        <v>213</v>
      </c>
      <c r="G581" t="str">
        <f>VLOOKUP(Table1[[#This Row],[Winner]],Ranking!C:D,2,FALSE)</f>
        <v>A10</v>
      </c>
      <c r="H581" s="1">
        <v>51</v>
      </c>
      <c r="I581" s="1">
        <v>7</v>
      </c>
      <c r="J581" t="s">
        <v>68</v>
      </c>
      <c r="K581" t="str">
        <f>VLOOKUP(Table1[[#This Row],[Loser]],Ranking!C:D,2,FALSE)</f>
        <v>CUSA</v>
      </c>
      <c r="L581" s="1">
        <v>46</v>
      </c>
      <c r="N581" s="1">
        <f>Table1[[#This Row],[Winning Score]]-Table1[[#This Row],[Losing Score]]</f>
        <v>5</v>
      </c>
      <c r="O581" s="1">
        <f>Table1[[#This Row],[Losing Seed]]-Table1[[#This Row],[Winning Seed]]</f>
        <v>-3</v>
      </c>
      <c r="P581" s="1" t="str">
        <f>IF(Table1[[#This Row],[SeD]]&lt;-2,Table1[[#This Row],[Winning Seed]]&amp; " over " &amp;Table1[[#This Row],[Losing Seed]],"")</f>
        <v>10 over 7</v>
      </c>
      <c r="Q581">
        <f>VLOOKUP(Table1[[#This Row],[Losing Seed]],'Seed History'!$N$4:$O$19,2)</f>
        <v>0.90277777777777779</v>
      </c>
      <c r="R581" s="1">
        <f>IF(Table1[[#This Row],[Round]]="PI",0,Table1[[#This Row],[Round]]-1)</f>
        <v>0</v>
      </c>
      <c r="S581">
        <f>Table1[[#This Row],[LAW]]-Table1[[#This Row],[LEW]]</f>
        <v>-0.90277777777777779</v>
      </c>
    </row>
    <row r="582" spans="1:19" x14ac:dyDescent="0.25">
      <c r="A582" s="66">
        <v>34410</v>
      </c>
      <c r="B582" s="51">
        <f>YEAR(Table1[[#This Row],[Date]])</f>
        <v>1994</v>
      </c>
      <c r="C582" s="1">
        <v>1</v>
      </c>
      <c r="D582" t="s">
        <v>439</v>
      </c>
      <c r="E582" s="1">
        <v>10</v>
      </c>
      <c r="F582" t="s">
        <v>31</v>
      </c>
      <c r="G582" t="str">
        <f>VLOOKUP(Table1[[#This Row],[Winner]],Ranking!C:D,2,FALSE)</f>
        <v>B10</v>
      </c>
      <c r="H582" s="1">
        <v>74</v>
      </c>
      <c r="I582" s="1">
        <v>7</v>
      </c>
      <c r="J582" t="s">
        <v>338</v>
      </c>
      <c r="K582" t="str">
        <f>VLOOKUP(Table1[[#This Row],[Loser]],Ranking!C:D,2,FALSE)</f>
        <v>A10</v>
      </c>
      <c r="L582" s="1">
        <v>66</v>
      </c>
      <c r="N582" s="1">
        <f>Table1[[#This Row],[Winning Score]]-Table1[[#This Row],[Losing Score]]</f>
        <v>8</v>
      </c>
      <c r="O582" s="1">
        <f>Table1[[#This Row],[Losing Seed]]-Table1[[#This Row],[Winning Seed]]</f>
        <v>-3</v>
      </c>
      <c r="P582" s="1" t="str">
        <f>IF(Table1[[#This Row],[SeD]]&lt;-2,Table1[[#This Row],[Winning Seed]]&amp; " over " &amp;Table1[[#This Row],[Losing Seed]],"")</f>
        <v>10 over 7</v>
      </c>
      <c r="Q582">
        <f>VLOOKUP(Table1[[#This Row],[Losing Seed]],'Seed History'!$N$4:$O$19,2)</f>
        <v>0.90277777777777779</v>
      </c>
      <c r="R582" s="1">
        <f>IF(Table1[[#This Row],[Round]]="PI",0,Table1[[#This Row],[Round]]-1)</f>
        <v>0</v>
      </c>
      <c r="S582">
        <f>Table1[[#This Row],[LAW]]-Table1[[#This Row],[LEW]]</f>
        <v>-0.90277777777777779</v>
      </c>
    </row>
    <row r="583" spans="1:19" x14ac:dyDescent="0.25">
      <c r="A583" s="66">
        <v>34410</v>
      </c>
      <c r="B583" s="51">
        <f>YEAR(Table1[[#This Row],[Date]])</f>
        <v>1994</v>
      </c>
      <c r="C583" s="1">
        <v>1</v>
      </c>
      <c r="D583" t="s">
        <v>461</v>
      </c>
      <c r="E583" s="1">
        <v>9</v>
      </c>
      <c r="F583" t="s">
        <v>113</v>
      </c>
      <c r="G583" t="str">
        <f>VLOOKUP(Table1[[#This Row],[Winner]],Ranking!C:D,2,FALSE)</f>
        <v>SEC</v>
      </c>
      <c r="H583" s="1">
        <v>76</v>
      </c>
      <c r="I583" s="1">
        <v>8</v>
      </c>
      <c r="J583" t="s">
        <v>56</v>
      </c>
      <c r="K583" t="str">
        <f>VLOOKUP(Table1[[#This Row],[Loser]],Ranking!C:D,2,FALSE)</f>
        <v>BE</v>
      </c>
      <c r="L583" s="1">
        <v>70</v>
      </c>
      <c r="N583" s="1">
        <f>Table1[[#This Row],[Winning Score]]-Table1[[#This Row],[Losing Score]]</f>
        <v>6</v>
      </c>
      <c r="O583" s="1">
        <f>Table1[[#This Row],[Losing Seed]]-Table1[[#This Row],[Winning Seed]]</f>
        <v>-1</v>
      </c>
      <c r="P583" s="1" t="str">
        <f>IF(Table1[[#This Row],[SeD]]&lt;-2,Table1[[#This Row],[Winning Seed]]&amp; " over " &amp;Table1[[#This Row],[Losing Seed]],"")</f>
        <v/>
      </c>
      <c r="Q583">
        <f>VLOOKUP(Table1[[#This Row],[Losing Seed]],'Seed History'!$N$4:$O$19,2)</f>
        <v>0.70833333333333337</v>
      </c>
      <c r="R583" s="1">
        <f>IF(Table1[[#This Row],[Round]]="PI",0,Table1[[#This Row],[Round]]-1)</f>
        <v>0</v>
      </c>
      <c r="S583">
        <f>Table1[[#This Row],[LAW]]-Table1[[#This Row],[LEW]]</f>
        <v>-0.70833333333333337</v>
      </c>
    </row>
    <row r="584" spans="1:19" x14ac:dyDescent="0.25">
      <c r="A584" s="66">
        <v>34410</v>
      </c>
      <c r="B584" s="51">
        <f>YEAR(Table1[[#This Row],[Date]])</f>
        <v>1994</v>
      </c>
      <c r="C584" s="1">
        <v>1</v>
      </c>
      <c r="D584" t="s">
        <v>38</v>
      </c>
      <c r="E584" s="1">
        <v>9</v>
      </c>
      <c r="F584" t="s">
        <v>39</v>
      </c>
      <c r="G584" t="str">
        <f>VLOOKUP(Table1[[#This Row],[Winner]],Ranking!C:D,2,FALSE)</f>
        <v>B10</v>
      </c>
      <c r="H584" s="1">
        <v>80</v>
      </c>
      <c r="I584" s="1">
        <v>8</v>
      </c>
      <c r="J584" t="s">
        <v>28</v>
      </c>
      <c r="K584" t="str">
        <f>VLOOKUP(Table1[[#This Row],[Loser]],Ranking!C:D,2,FALSE)</f>
        <v>Amer</v>
      </c>
      <c r="L584" s="1">
        <v>72</v>
      </c>
      <c r="N584" s="1">
        <f>Table1[[#This Row],[Winning Score]]-Table1[[#This Row],[Losing Score]]</f>
        <v>8</v>
      </c>
      <c r="O584" s="1">
        <f>Table1[[#This Row],[Losing Seed]]-Table1[[#This Row],[Winning Seed]]</f>
        <v>-1</v>
      </c>
      <c r="P584" s="1" t="str">
        <f>IF(Table1[[#This Row],[SeD]]&lt;-2,Table1[[#This Row],[Winning Seed]]&amp; " over " &amp;Table1[[#This Row],[Losing Seed]],"")</f>
        <v/>
      </c>
      <c r="Q584">
        <f>VLOOKUP(Table1[[#This Row],[Losing Seed]],'Seed History'!$N$4:$O$19,2)</f>
        <v>0.70833333333333337</v>
      </c>
      <c r="R584" s="1">
        <f>IF(Table1[[#This Row],[Round]]="PI",0,Table1[[#This Row],[Round]]-1)</f>
        <v>0</v>
      </c>
      <c r="S584">
        <f>Table1[[#This Row],[LAW]]-Table1[[#This Row],[LEW]]</f>
        <v>-0.70833333333333337</v>
      </c>
    </row>
    <row r="585" spans="1:19" x14ac:dyDescent="0.25">
      <c r="A585" s="66">
        <v>34411</v>
      </c>
      <c r="B585" s="51">
        <f>YEAR(Table1[[#This Row],[Date]])</f>
        <v>1994</v>
      </c>
      <c r="C585" s="1">
        <v>1</v>
      </c>
      <c r="D585" t="s">
        <v>439</v>
      </c>
      <c r="E585" s="1">
        <v>12</v>
      </c>
      <c r="F585" t="s">
        <v>94</v>
      </c>
      <c r="G585" t="str">
        <f>VLOOKUP(Table1[[#This Row],[Winner]],Ranking!C:D,2,FALSE)</f>
        <v>Amer</v>
      </c>
      <c r="H585" s="1">
        <v>112</v>
      </c>
      <c r="I585" s="1">
        <v>5</v>
      </c>
      <c r="J585" t="s">
        <v>67</v>
      </c>
      <c r="K585" t="str">
        <f>VLOOKUP(Table1[[#This Row],[Loser]],Ranking!C:D,2,FALSE)</f>
        <v>P12</v>
      </c>
      <c r="L585" s="1">
        <v>102</v>
      </c>
      <c r="N585" s="1">
        <f>Table1[[#This Row],[Winning Score]]-Table1[[#This Row],[Losing Score]]</f>
        <v>10</v>
      </c>
      <c r="O585" s="1">
        <f>Table1[[#This Row],[Losing Seed]]-Table1[[#This Row],[Winning Seed]]</f>
        <v>-7</v>
      </c>
      <c r="P585" s="1" t="str">
        <f>IF(Table1[[#This Row],[SeD]]&lt;-2,Table1[[#This Row],[Winning Seed]]&amp; " over " &amp;Table1[[#This Row],[Losing Seed]],"")</f>
        <v>12 over 5</v>
      </c>
      <c r="Q585">
        <f>VLOOKUP(Table1[[#This Row],[Losing Seed]],'Seed History'!$N$4:$O$19,2)</f>
        <v>1.1180555555555556</v>
      </c>
      <c r="R585" s="1">
        <f>IF(Table1[[#This Row],[Round]]="PI",0,Table1[[#This Row],[Round]]-1)</f>
        <v>0</v>
      </c>
      <c r="S585">
        <f>Table1[[#This Row],[LAW]]-Table1[[#This Row],[LEW]]</f>
        <v>-1.1180555555555556</v>
      </c>
    </row>
    <row r="586" spans="1:19" x14ac:dyDescent="0.25">
      <c r="A586" s="66">
        <v>34411</v>
      </c>
      <c r="B586" s="51">
        <f>YEAR(Table1[[#This Row],[Date]])</f>
        <v>1994</v>
      </c>
      <c r="C586" s="1">
        <v>1</v>
      </c>
      <c r="D586" t="s">
        <v>49</v>
      </c>
      <c r="E586" s="1">
        <v>1</v>
      </c>
      <c r="F586" t="s">
        <v>298</v>
      </c>
      <c r="G586" t="str">
        <f>VLOOKUP(Table1[[#This Row],[Winner]],Ranking!C:D,2,FALSE)</f>
        <v>ACC</v>
      </c>
      <c r="H586" s="1">
        <v>71</v>
      </c>
      <c r="I586" s="1">
        <v>16</v>
      </c>
      <c r="J586" t="s">
        <v>249</v>
      </c>
      <c r="K586" t="str">
        <f>VLOOKUP(Table1[[#This Row],[Loser]],Ranking!C:D,2,FALSE)</f>
        <v>ASun</v>
      </c>
      <c r="L586" s="1">
        <v>51</v>
      </c>
      <c r="N586" s="1">
        <f>Table1[[#This Row],[Winning Score]]-Table1[[#This Row],[Losing Score]]</f>
        <v>20</v>
      </c>
      <c r="O586" s="1">
        <f>Table1[[#This Row],[Losing Seed]]-Table1[[#This Row],[Winning Seed]]</f>
        <v>15</v>
      </c>
      <c r="P586" s="1" t="str">
        <f>IF(Table1[[#This Row],[SeD]]&lt;-2,Table1[[#This Row],[Winning Seed]]&amp; " over " &amp;Table1[[#This Row],[Losing Seed]],"")</f>
        <v/>
      </c>
      <c r="Q586">
        <f>VLOOKUP(Table1[[#This Row],[Losing Seed]],'Seed History'!$N$4:$O$19,2)</f>
        <v>6.9444444444444441E-3</v>
      </c>
      <c r="R586" s="1">
        <f>IF(Table1[[#This Row],[Round]]="PI",0,Table1[[#This Row],[Round]]-1)</f>
        <v>0</v>
      </c>
      <c r="S586">
        <f>Table1[[#This Row],[LAW]]-Table1[[#This Row],[LEW]]</f>
        <v>-6.9444444444444441E-3</v>
      </c>
    </row>
    <row r="587" spans="1:19" x14ac:dyDescent="0.25">
      <c r="A587" s="66">
        <v>34411</v>
      </c>
      <c r="B587" s="51">
        <f>YEAR(Table1[[#This Row],[Date]])</f>
        <v>1994</v>
      </c>
      <c r="C587" s="1">
        <v>1</v>
      </c>
      <c r="D587" t="s">
        <v>49</v>
      </c>
      <c r="E587" s="1">
        <v>4</v>
      </c>
      <c r="F587" t="s">
        <v>373</v>
      </c>
      <c r="G587" t="str">
        <f>VLOOKUP(Table1[[#This Row],[Winner]],Ranking!C:D,2,FALSE)</f>
        <v>Amer</v>
      </c>
      <c r="H587" s="1">
        <v>61</v>
      </c>
      <c r="I587" s="1">
        <v>13</v>
      </c>
      <c r="J587" t="s">
        <v>189</v>
      </c>
      <c r="K587" t="str">
        <f>VLOOKUP(Table1[[#This Row],[Loser]],Ranking!C:D,2,FALSE)</f>
        <v>CAA</v>
      </c>
      <c r="L587" s="1">
        <v>39</v>
      </c>
      <c r="N587" s="1">
        <f>Table1[[#This Row],[Winning Score]]-Table1[[#This Row],[Losing Score]]</f>
        <v>22</v>
      </c>
      <c r="O587" s="1">
        <f>Table1[[#This Row],[Losing Seed]]-Table1[[#This Row],[Winning Seed]]</f>
        <v>9</v>
      </c>
      <c r="P587" s="1" t="str">
        <f>IF(Table1[[#This Row],[SeD]]&lt;-2,Table1[[#This Row],[Winning Seed]]&amp; " over " &amp;Table1[[#This Row],[Losing Seed]],"")</f>
        <v/>
      </c>
      <c r="Q587">
        <f>VLOOKUP(Table1[[#This Row],[Losing Seed]],'Seed History'!$N$4:$O$19,2)</f>
        <v>0.25694444444444442</v>
      </c>
      <c r="R587" s="1">
        <f>IF(Table1[[#This Row],[Round]]="PI",0,Table1[[#This Row],[Round]]-1)</f>
        <v>0</v>
      </c>
      <c r="S587">
        <f>Table1[[#This Row],[LAW]]-Table1[[#This Row],[LEW]]</f>
        <v>-0.25694444444444442</v>
      </c>
    </row>
    <row r="588" spans="1:19" x14ac:dyDescent="0.25">
      <c r="A588" s="66">
        <v>34411</v>
      </c>
      <c r="B588" s="51">
        <f>YEAR(Table1[[#This Row],[Date]])</f>
        <v>1994</v>
      </c>
      <c r="C588" s="1">
        <v>1</v>
      </c>
      <c r="D588" t="s">
        <v>49</v>
      </c>
      <c r="E588" s="1">
        <v>5</v>
      </c>
      <c r="F588" t="s">
        <v>36</v>
      </c>
      <c r="G588" t="str">
        <f>VLOOKUP(Table1[[#This Row],[Winner]],Ranking!C:D,2,FALSE)</f>
        <v>B10</v>
      </c>
      <c r="H588" s="1">
        <v>84</v>
      </c>
      <c r="I588" s="1">
        <v>12</v>
      </c>
      <c r="J588" t="s">
        <v>314</v>
      </c>
      <c r="K588" t="str">
        <f>VLOOKUP(Table1[[#This Row],[Loser]],Ranking!C:D,2,FALSE)</f>
        <v>MAC</v>
      </c>
      <c r="L588" s="1">
        <v>72</v>
      </c>
      <c r="N588" s="1">
        <f>Table1[[#This Row],[Winning Score]]-Table1[[#This Row],[Losing Score]]</f>
        <v>12</v>
      </c>
      <c r="O588" s="1">
        <f>Table1[[#This Row],[Losing Seed]]-Table1[[#This Row],[Winning Seed]]</f>
        <v>7</v>
      </c>
      <c r="P588" s="1" t="str">
        <f>IF(Table1[[#This Row],[SeD]]&lt;-2,Table1[[#This Row],[Winning Seed]]&amp; " over " &amp;Table1[[#This Row],[Losing Seed]],"")</f>
        <v/>
      </c>
      <c r="Q588">
        <f>VLOOKUP(Table1[[#This Row],[Losing Seed]],'Seed History'!$N$4:$O$19,2)</f>
        <v>0.52083333333333337</v>
      </c>
      <c r="R588" s="1">
        <f>IF(Table1[[#This Row],[Round]]="PI",0,Table1[[#This Row],[Round]]-1)</f>
        <v>0</v>
      </c>
      <c r="S588">
        <f>Table1[[#This Row],[LAW]]-Table1[[#This Row],[LEW]]</f>
        <v>-0.52083333333333337</v>
      </c>
    </row>
    <row r="589" spans="1:19" x14ac:dyDescent="0.25">
      <c r="A589" s="66">
        <v>34411</v>
      </c>
      <c r="B589" s="51">
        <f>YEAR(Table1[[#This Row],[Date]])</f>
        <v>1994</v>
      </c>
      <c r="C589" s="1">
        <v>1</v>
      </c>
      <c r="D589" t="s">
        <v>439</v>
      </c>
      <c r="E589" s="1">
        <v>1</v>
      </c>
      <c r="F589" t="s">
        <v>41</v>
      </c>
      <c r="G589" t="str">
        <f>VLOOKUP(Table1[[#This Row],[Winner]],Ranking!C:D,2,FALSE)</f>
        <v>SEC</v>
      </c>
      <c r="H589" s="1">
        <v>94</v>
      </c>
      <c r="I589" s="1">
        <v>16</v>
      </c>
      <c r="J589" t="s">
        <v>299</v>
      </c>
      <c r="K589" t="str">
        <f>VLOOKUP(Table1[[#This Row],[Loser]],Ranking!C:D,2,FALSE)</f>
        <v>MEAC</v>
      </c>
      <c r="L589" s="1">
        <v>79</v>
      </c>
      <c r="N589" s="1">
        <f>Table1[[#This Row],[Winning Score]]-Table1[[#This Row],[Losing Score]]</f>
        <v>15</v>
      </c>
      <c r="O589" s="1">
        <f>Table1[[#This Row],[Losing Seed]]-Table1[[#This Row],[Winning Seed]]</f>
        <v>15</v>
      </c>
      <c r="P589" s="1" t="str">
        <f>IF(Table1[[#This Row],[SeD]]&lt;-2,Table1[[#This Row],[Winning Seed]]&amp; " over " &amp;Table1[[#This Row],[Losing Seed]],"")</f>
        <v/>
      </c>
      <c r="Q589">
        <f>VLOOKUP(Table1[[#This Row],[Losing Seed]],'Seed History'!$N$4:$O$19,2)</f>
        <v>6.9444444444444441E-3</v>
      </c>
      <c r="R589" s="1">
        <f>IF(Table1[[#This Row],[Round]]="PI",0,Table1[[#This Row],[Round]]-1)</f>
        <v>0</v>
      </c>
      <c r="S589">
        <f>Table1[[#This Row],[LAW]]-Table1[[#This Row],[LEW]]</f>
        <v>-6.9444444444444441E-3</v>
      </c>
    </row>
    <row r="590" spans="1:19" x14ac:dyDescent="0.25">
      <c r="A590" s="66">
        <v>34411</v>
      </c>
      <c r="B590" s="51">
        <f>YEAR(Table1[[#This Row],[Date]])</f>
        <v>1994</v>
      </c>
      <c r="C590" s="1">
        <v>1</v>
      </c>
      <c r="D590" t="s">
        <v>439</v>
      </c>
      <c r="E590" s="1">
        <v>4</v>
      </c>
      <c r="F590" t="s">
        <v>316</v>
      </c>
      <c r="G590" t="str">
        <f>VLOOKUP(Table1[[#This Row],[Winner]],Ranking!C:D,2,FALSE)</f>
        <v>B12</v>
      </c>
      <c r="H590" s="1">
        <v>65</v>
      </c>
      <c r="I590" s="1">
        <v>13</v>
      </c>
      <c r="J590" t="s">
        <v>292</v>
      </c>
      <c r="K590" t="str">
        <f>VLOOKUP(Table1[[#This Row],[Loser]],Ranking!C:D,2,FALSE)</f>
        <v>WAC</v>
      </c>
      <c r="L590" s="1">
        <v>55</v>
      </c>
      <c r="N590" s="1">
        <f>Table1[[#This Row],[Winning Score]]-Table1[[#This Row],[Losing Score]]</f>
        <v>10</v>
      </c>
      <c r="O590" s="1">
        <f>Table1[[#This Row],[Losing Seed]]-Table1[[#This Row],[Winning Seed]]</f>
        <v>9</v>
      </c>
      <c r="P590" s="1" t="str">
        <f>IF(Table1[[#This Row],[SeD]]&lt;-2,Table1[[#This Row],[Winning Seed]]&amp; " over " &amp;Table1[[#This Row],[Losing Seed]],"")</f>
        <v/>
      </c>
      <c r="Q590">
        <f>VLOOKUP(Table1[[#This Row],[Losing Seed]],'Seed History'!$N$4:$O$19,2)</f>
        <v>0.25694444444444442</v>
      </c>
      <c r="R590" s="1">
        <f>IF(Table1[[#This Row],[Round]]="PI",0,Table1[[#This Row],[Round]]-1)</f>
        <v>0</v>
      </c>
      <c r="S590">
        <f>Table1[[#This Row],[LAW]]-Table1[[#This Row],[LEW]]</f>
        <v>-0.25694444444444442</v>
      </c>
    </row>
    <row r="591" spans="1:19" x14ac:dyDescent="0.25">
      <c r="A591" s="66">
        <v>34411</v>
      </c>
      <c r="B591" s="51">
        <f>YEAR(Table1[[#This Row],[Date]])</f>
        <v>1994</v>
      </c>
      <c r="C591" s="1">
        <v>1</v>
      </c>
      <c r="D591" t="s">
        <v>461</v>
      </c>
      <c r="E591" s="1">
        <v>2</v>
      </c>
      <c r="F591" t="s">
        <v>64</v>
      </c>
      <c r="G591" t="str">
        <f>VLOOKUP(Table1[[#This Row],[Winner]],Ranking!C:D,2,FALSE)</f>
        <v>ACC</v>
      </c>
      <c r="H591" s="1">
        <v>82</v>
      </c>
      <c r="I591" s="1">
        <v>15</v>
      </c>
      <c r="J591" t="s">
        <v>379</v>
      </c>
      <c r="K591" t="str">
        <f>VLOOKUP(Table1[[#This Row],[Loser]],Ranking!C:D,2,FALSE)</f>
        <v>SWAC</v>
      </c>
      <c r="L591" s="1">
        <v>70</v>
      </c>
      <c r="N591" s="1">
        <f>Table1[[#This Row],[Winning Score]]-Table1[[#This Row],[Losing Score]]</f>
        <v>12</v>
      </c>
      <c r="O591" s="1">
        <f>Table1[[#This Row],[Losing Seed]]-Table1[[#This Row],[Winning Seed]]</f>
        <v>13</v>
      </c>
      <c r="P591" s="1" t="str">
        <f>IF(Table1[[#This Row],[SeD]]&lt;-2,Table1[[#This Row],[Winning Seed]]&amp; " over " &amp;Table1[[#This Row],[Losing Seed]],"")</f>
        <v/>
      </c>
      <c r="Q591">
        <f>VLOOKUP(Table1[[#This Row],[Losing Seed]],'Seed History'!$N$4:$O$19,2)</f>
        <v>7.6388888888888895E-2</v>
      </c>
      <c r="R591" s="1">
        <f>IF(Table1[[#This Row],[Round]]="PI",0,Table1[[#This Row],[Round]]-1)</f>
        <v>0</v>
      </c>
      <c r="S591">
        <f>Table1[[#This Row],[LAW]]-Table1[[#This Row],[LEW]]</f>
        <v>-7.6388888888888895E-2</v>
      </c>
    </row>
    <row r="592" spans="1:19" x14ac:dyDescent="0.25">
      <c r="A592" s="66">
        <v>34411</v>
      </c>
      <c r="B592" s="51">
        <f>YEAR(Table1[[#This Row],[Date]])</f>
        <v>1994</v>
      </c>
      <c r="C592" s="1">
        <v>1</v>
      </c>
      <c r="D592" t="s">
        <v>461</v>
      </c>
      <c r="E592" s="1">
        <v>3</v>
      </c>
      <c r="F592" t="s">
        <v>26</v>
      </c>
      <c r="G592" t="str">
        <f>VLOOKUP(Table1[[#This Row],[Winner]],Ranking!C:D,2,FALSE)</f>
        <v>SEC</v>
      </c>
      <c r="H592" s="1">
        <v>83</v>
      </c>
      <c r="I592" s="1">
        <v>14</v>
      </c>
      <c r="J592" t="s">
        <v>376</v>
      </c>
      <c r="K592" t="str">
        <f>VLOOKUP(Table1[[#This Row],[Loser]],Ranking!C:D,2,FALSE)</f>
        <v>OVC</v>
      </c>
      <c r="L592" s="1">
        <v>70</v>
      </c>
      <c r="N592" s="1">
        <f>Table1[[#This Row],[Winning Score]]-Table1[[#This Row],[Losing Score]]</f>
        <v>13</v>
      </c>
      <c r="O592" s="1">
        <f>Table1[[#This Row],[Losing Seed]]-Table1[[#This Row],[Winning Seed]]</f>
        <v>11</v>
      </c>
      <c r="P592" s="1" t="str">
        <f>IF(Table1[[#This Row],[SeD]]&lt;-2,Table1[[#This Row],[Winning Seed]]&amp; " over " &amp;Table1[[#This Row],[Losing Seed]],"")</f>
        <v/>
      </c>
      <c r="Q592">
        <f>VLOOKUP(Table1[[#This Row],[Losing Seed]],'Seed History'!$N$4:$O$19,2)</f>
        <v>0.16666666666666666</v>
      </c>
      <c r="R592" s="1">
        <f>IF(Table1[[#This Row],[Round]]="PI",0,Table1[[#This Row],[Round]]-1)</f>
        <v>0</v>
      </c>
      <c r="S592">
        <f>Table1[[#This Row],[LAW]]-Table1[[#This Row],[LEW]]</f>
        <v>-0.16666666666666666</v>
      </c>
    </row>
    <row r="593" spans="1:19" x14ac:dyDescent="0.25">
      <c r="A593" s="66">
        <v>34411</v>
      </c>
      <c r="B593" s="51">
        <f>YEAR(Table1[[#This Row],[Date]])</f>
        <v>1994</v>
      </c>
      <c r="C593" s="1">
        <v>1</v>
      </c>
      <c r="D593" t="s">
        <v>461</v>
      </c>
      <c r="E593" s="1">
        <v>6</v>
      </c>
      <c r="F593" t="s">
        <v>262</v>
      </c>
      <c r="G593" t="str">
        <f>VLOOKUP(Table1[[#This Row],[Winner]],Ranking!C:D,2,FALSE)</f>
        <v>BE</v>
      </c>
      <c r="H593" s="1">
        <v>81</v>
      </c>
      <c r="I593" s="1">
        <v>11</v>
      </c>
      <c r="J593" t="s">
        <v>51</v>
      </c>
      <c r="K593" t="str">
        <f>VLOOKUP(Table1[[#This Row],[Loser]],Ranking!C:D,2,FALSE)</f>
        <v>Pat</v>
      </c>
      <c r="L593" s="1">
        <v>59</v>
      </c>
      <c r="N593" s="1">
        <f>Table1[[#This Row],[Winning Score]]-Table1[[#This Row],[Losing Score]]</f>
        <v>22</v>
      </c>
      <c r="O593" s="1">
        <f>Table1[[#This Row],[Losing Seed]]-Table1[[#This Row],[Winning Seed]]</f>
        <v>5</v>
      </c>
      <c r="P593" s="1" t="str">
        <f>IF(Table1[[#This Row],[SeD]]&lt;-2,Table1[[#This Row],[Winning Seed]]&amp; " over " &amp;Table1[[#This Row],[Losing Seed]],"")</f>
        <v/>
      </c>
      <c r="Q593">
        <f>VLOOKUP(Table1[[#This Row],[Losing Seed]],'Seed History'!$N$4:$O$19,2)</f>
        <v>0.63194444444444442</v>
      </c>
      <c r="R593" s="1">
        <f>IF(Table1[[#This Row],[Round]]="PI",0,Table1[[#This Row],[Round]]-1)</f>
        <v>0</v>
      </c>
      <c r="S593">
        <f>Table1[[#This Row],[LAW]]-Table1[[#This Row],[LEW]]</f>
        <v>-0.63194444444444442</v>
      </c>
    </row>
    <row r="594" spans="1:19" x14ac:dyDescent="0.25">
      <c r="A594" s="66">
        <v>34411</v>
      </c>
      <c r="B594" s="51">
        <f>YEAR(Table1[[#This Row],[Date]])</f>
        <v>1994</v>
      </c>
      <c r="C594" s="1">
        <v>1</v>
      </c>
      <c r="D594" t="s">
        <v>461</v>
      </c>
      <c r="E594" s="1">
        <v>7</v>
      </c>
      <c r="F594" t="s">
        <v>271</v>
      </c>
      <c r="G594" t="str">
        <f>VLOOKUP(Table1[[#This Row],[Winner]],Ranking!C:D,2,FALSE)</f>
        <v>B10</v>
      </c>
      <c r="H594" s="1">
        <v>84</v>
      </c>
      <c r="I594" s="1">
        <v>10</v>
      </c>
      <c r="J594" t="s">
        <v>87</v>
      </c>
      <c r="K594" t="str">
        <f>VLOOKUP(Table1[[#This Row],[Loser]],Ranking!C:D,2,FALSE)</f>
        <v>BE</v>
      </c>
      <c r="L594" s="1">
        <v>73</v>
      </c>
      <c r="N594" s="1">
        <f>Table1[[#This Row],[Winning Score]]-Table1[[#This Row],[Losing Score]]</f>
        <v>11</v>
      </c>
      <c r="O594" s="1">
        <f>Table1[[#This Row],[Losing Seed]]-Table1[[#This Row],[Winning Seed]]</f>
        <v>3</v>
      </c>
      <c r="P594" s="1" t="str">
        <f>IF(Table1[[#This Row],[SeD]]&lt;-2,Table1[[#This Row],[Winning Seed]]&amp; " over " &amp;Table1[[#This Row],[Losing Seed]],"")</f>
        <v/>
      </c>
      <c r="Q594">
        <f>VLOOKUP(Table1[[#This Row],[Losing Seed]],'Seed History'!$N$4:$O$19,2)</f>
        <v>0.61805555555555558</v>
      </c>
      <c r="R594" s="1">
        <f>IF(Table1[[#This Row],[Round]]="PI",0,Table1[[#This Row],[Round]]-1)</f>
        <v>0</v>
      </c>
      <c r="S594">
        <f>Table1[[#This Row],[LAW]]-Table1[[#This Row],[LEW]]</f>
        <v>-0.61805555555555558</v>
      </c>
    </row>
    <row r="595" spans="1:19" x14ac:dyDescent="0.25">
      <c r="A595" s="66">
        <v>34411</v>
      </c>
      <c r="B595" s="51">
        <f>YEAR(Table1[[#This Row],[Date]])</f>
        <v>1994</v>
      </c>
      <c r="C595" s="1">
        <v>1</v>
      </c>
      <c r="D595" t="s">
        <v>38</v>
      </c>
      <c r="E595" s="1">
        <v>2</v>
      </c>
      <c r="F595" t="s">
        <v>48</v>
      </c>
      <c r="G595" t="str">
        <f>VLOOKUP(Table1[[#This Row],[Winner]],Ranking!C:D,2,FALSE)</f>
        <v>P12</v>
      </c>
      <c r="H595" s="1">
        <v>81</v>
      </c>
      <c r="I595" s="1">
        <v>15</v>
      </c>
      <c r="J595" t="s">
        <v>259</v>
      </c>
      <c r="K595" t="str">
        <f>VLOOKUP(Table1[[#This Row],[Loser]],Ranking!C:D,2,FALSE)</f>
        <v>Pat</v>
      </c>
      <c r="L595" s="1">
        <v>55</v>
      </c>
      <c r="N595" s="1">
        <f>Table1[[#This Row],[Winning Score]]-Table1[[#This Row],[Losing Score]]</f>
        <v>26</v>
      </c>
      <c r="O595" s="1">
        <f>Table1[[#This Row],[Losing Seed]]-Table1[[#This Row],[Winning Seed]]</f>
        <v>13</v>
      </c>
      <c r="P595" s="1" t="str">
        <f>IF(Table1[[#This Row],[SeD]]&lt;-2,Table1[[#This Row],[Winning Seed]]&amp; " over " &amp;Table1[[#This Row],[Losing Seed]],"")</f>
        <v/>
      </c>
      <c r="Q595">
        <f>VLOOKUP(Table1[[#This Row],[Losing Seed]],'Seed History'!$N$4:$O$19,2)</f>
        <v>7.6388888888888895E-2</v>
      </c>
      <c r="R595" s="1">
        <f>IF(Table1[[#This Row],[Round]]="PI",0,Table1[[#This Row],[Round]]-1)</f>
        <v>0</v>
      </c>
      <c r="S595">
        <f>Table1[[#This Row],[LAW]]-Table1[[#This Row],[LEW]]</f>
        <v>-7.6388888888888895E-2</v>
      </c>
    </row>
    <row r="596" spans="1:19" x14ac:dyDescent="0.25">
      <c r="A596" s="66">
        <v>34411</v>
      </c>
      <c r="B596" s="51">
        <f>YEAR(Table1[[#This Row],[Date]])</f>
        <v>1994</v>
      </c>
      <c r="C596" s="1">
        <v>1</v>
      </c>
      <c r="D596" t="s">
        <v>38</v>
      </c>
      <c r="E596" s="1">
        <v>3</v>
      </c>
      <c r="F596" t="s">
        <v>54</v>
      </c>
      <c r="G596" t="str">
        <f>VLOOKUP(Table1[[#This Row],[Winner]],Ranking!C:D,2,FALSE)</f>
        <v>ACC</v>
      </c>
      <c r="H596" s="1">
        <v>67</v>
      </c>
      <c r="I596" s="1">
        <v>14</v>
      </c>
      <c r="J596" t="s">
        <v>137</v>
      </c>
      <c r="K596" t="str">
        <f>VLOOKUP(Table1[[#This Row],[Loser]],Ranking!C:D,2,FALSE)</f>
        <v>MWC</v>
      </c>
      <c r="L596" s="1">
        <v>58</v>
      </c>
      <c r="N596" s="1">
        <f>Table1[[#This Row],[Winning Score]]-Table1[[#This Row],[Losing Score]]</f>
        <v>9</v>
      </c>
      <c r="O596" s="1">
        <f>Table1[[#This Row],[Losing Seed]]-Table1[[#This Row],[Winning Seed]]</f>
        <v>11</v>
      </c>
      <c r="P596" s="1" t="str">
        <f>IF(Table1[[#This Row],[SeD]]&lt;-2,Table1[[#This Row],[Winning Seed]]&amp; " over " &amp;Table1[[#This Row],[Losing Seed]],"")</f>
        <v/>
      </c>
      <c r="Q596">
        <f>VLOOKUP(Table1[[#This Row],[Losing Seed]],'Seed History'!$N$4:$O$19,2)</f>
        <v>0.16666666666666666</v>
      </c>
      <c r="R596" s="1">
        <f>IF(Table1[[#This Row],[Round]]="PI",0,Table1[[#This Row],[Round]]-1)</f>
        <v>0</v>
      </c>
      <c r="S596">
        <f>Table1[[#This Row],[LAW]]-Table1[[#This Row],[LEW]]</f>
        <v>-0.16666666666666666</v>
      </c>
    </row>
    <row r="597" spans="1:19" x14ac:dyDescent="0.25">
      <c r="A597" s="66">
        <v>34411</v>
      </c>
      <c r="B597" s="51">
        <f>YEAR(Table1[[#This Row],[Date]])</f>
        <v>1994</v>
      </c>
      <c r="C597" s="1">
        <v>1</v>
      </c>
      <c r="D597" t="s">
        <v>38</v>
      </c>
      <c r="E597" s="1">
        <v>6</v>
      </c>
      <c r="F597" t="s">
        <v>274</v>
      </c>
      <c r="G597" t="str">
        <f>VLOOKUP(Table1[[#This Row],[Winner]],Ranking!C:D,2,FALSE)</f>
        <v>B10</v>
      </c>
      <c r="H597" s="1">
        <v>74</v>
      </c>
      <c r="I597" s="1">
        <v>11</v>
      </c>
      <c r="J597" t="s">
        <v>362</v>
      </c>
      <c r="K597" t="str">
        <f>VLOOKUP(Table1[[#This Row],[Loser]],Ranking!C:D,2,FALSE)</f>
        <v>MVC</v>
      </c>
      <c r="L597" s="1">
        <v>60</v>
      </c>
      <c r="N597" s="1">
        <f>Table1[[#This Row],[Winning Score]]-Table1[[#This Row],[Losing Score]]</f>
        <v>14</v>
      </c>
      <c r="O597" s="1">
        <f>Table1[[#This Row],[Losing Seed]]-Table1[[#This Row],[Winning Seed]]</f>
        <v>5</v>
      </c>
      <c r="P597" s="1" t="str">
        <f>IF(Table1[[#This Row],[SeD]]&lt;-2,Table1[[#This Row],[Winning Seed]]&amp; " over " &amp;Table1[[#This Row],[Losing Seed]],"")</f>
        <v/>
      </c>
      <c r="Q597">
        <f>VLOOKUP(Table1[[#This Row],[Losing Seed]],'Seed History'!$N$4:$O$19,2)</f>
        <v>0.63194444444444442</v>
      </c>
      <c r="R597" s="1">
        <f>IF(Table1[[#This Row],[Round]]="PI",0,Table1[[#This Row],[Round]]-1)</f>
        <v>0</v>
      </c>
      <c r="S597">
        <f>Table1[[#This Row],[LAW]]-Table1[[#This Row],[LEW]]</f>
        <v>-0.63194444444444442</v>
      </c>
    </row>
    <row r="598" spans="1:19" x14ac:dyDescent="0.25">
      <c r="A598" s="66">
        <v>34411</v>
      </c>
      <c r="B598" s="51">
        <f>YEAR(Table1[[#This Row],[Date]])</f>
        <v>1994</v>
      </c>
      <c r="C598" s="1">
        <v>1</v>
      </c>
      <c r="D598" t="s">
        <v>38</v>
      </c>
      <c r="E598" s="1">
        <v>7</v>
      </c>
      <c r="F598" t="s">
        <v>61</v>
      </c>
      <c r="G598" t="str">
        <f>VLOOKUP(Table1[[#This Row],[Winner]],Ranking!C:D,2,FALSE)</f>
        <v>ACC</v>
      </c>
      <c r="H598" s="1">
        <v>57</v>
      </c>
      <c r="I598" s="1">
        <v>10</v>
      </c>
      <c r="J598" t="s">
        <v>291</v>
      </c>
      <c r="K598" t="str">
        <f>VLOOKUP(Table1[[#This Row],[Loser]],Ranking!C:D,2,FALSE)</f>
        <v>MWC</v>
      </c>
      <c r="L598" s="1">
        <v>54</v>
      </c>
      <c r="N598" s="1">
        <f>Table1[[#This Row],[Winning Score]]-Table1[[#This Row],[Losing Score]]</f>
        <v>3</v>
      </c>
      <c r="O598" s="1">
        <f>Table1[[#This Row],[Losing Seed]]-Table1[[#This Row],[Winning Seed]]</f>
        <v>3</v>
      </c>
      <c r="P598" s="1" t="str">
        <f>IF(Table1[[#This Row],[SeD]]&lt;-2,Table1[[#This Row],[Winning Seed]]&amp; " over " &amp;Table1[[#This Row],[Losing Seed]],"")</f>
        <v/>
      </c>
      <c r="Q598">
        <f>VLOOKUP(Table1[[#This Row],[Losing Seed]],'Seed History'!$N$4:$O$19,2)</f>
        <v>0.61805555555555558</v>
      </c>
      <c r="R598" s="1">
        <f>IF(Table1[[#This Row],[Round]]="PI",0,Table1[[#This Row],[Round]]-1)</f>
        <v>0</v>
      </c>
      <c r="S598">
        <f>Table1[[#This Row],[LAW]]-Table1[[#This Row],[LEW]]</f>
        <v>-0.61805555555555558</v>
      </c>
    </row>
    <row r="599" spans="1:19" x14ac:dyDescent="0.25">
      <c r="A599" s="66">
        <v>34411</v>
      </c>
      <c r="B599" s="51">
        <f>YEAR(Table1[[#This Row],[Date]])</f>
        <v>1994</v>
      </c>
      <c r="C599" s="1">
        <v>1</v>
      </c>
      <c r="D599" t="s">
        <v>49</v>
      </c>
      <c r="E599" s="1">
        <v>9</v>
      </c>
      <c r="F599" t="s">
        <v>138</v>
      </c>
      <c r="G599" t="str">
        <f>VLOOKUP(Table1[[#This Row],[Winner]],Ranking!C:D,2,FALSE)</f>
        <v>ACC</v>
      </c>
      <c r="H599" s="1">
        <v>67</v>
      </c>
      <c r="I599" s="1">
        <v>8</v>
      </c>
      <c r="J599" t="s">
        <v>410</v>
      </c>
      <c r="K599" t="str">
        <f>VLOOKUP(Table1[[#This Row],[Loser]],Ranking!C:D,2,FALSE)</f>
        <v>P12</v>
      </c>
      <c r="L599" s="1">
        <v>64</v>
      </c>
      <c r="N599" s="1">
        <f>Table1[[#This Row],[Winning Score]]-Table1[[#This Row],[Losing Score]]</f>
        <v>3</v>
      </c>
      <c r="O599" s="1">
        <f>Table1[[#This Row],[Losing Seed]]-Table1[[#This Row],[Winning Seed]]</f>
        <v>-1</v>
      </c>
      <c r="P599" s="1" t="str">
        <f>IF(Table1[[#This Row],[SeD]]&lt;-2,Table1[[#This Row],[Winning Seed]]&amp; " over " &amp;Table1[[#This Row],[Losing Seed]],"")</f>
        <v/>
      </c>
      <c r="Q599">
        <f>VLOOKUP(Table1[[#This Row],[Losing Seed]],'Seed History'!$N$4:$O$19,2)</f>
        <v>0.70833333333333337</v>
      </c>
      <c r="R599" s="1">
        <f>IF(Table1[[#This Row],[Round]]="PI",0,Table1[[#This Row],[Round]]-1)</f>
        <v>0</v>
      </c>
      <c r="S599">
        <f>Table1[[#This Row],[LAW]]-Table1[[#This Row],[LEW]]</f>
        <v>-0.70833333333333337</v>
      </c>
    </row>
    <row r="600" spans="1:19" x14ac:dyDescent="0.25">
      <c r="A600" s="66">
        <v>34411</v>
      </c>
      <c r="B600" s="51">
        <f>YEAR(Table1[[#This Row],[Date]])</f>
        <v>1994</v>
      </c>
      <c r="C600" s="1">
        <v>1</v>
      </c>
      <c r="D600" t="s">
        <v>439</v>
      </c>
      <c r="E600" s="1">
        <v>9</v>
      </c>
      <c r="F600" t="s">
        <v>66</v>
      </c>
      <c r="G600" t="str">
        <f>VLOOKUP(Table1[[#This Row],[Winner]],Ranking!C:D,2,FALSE)</f>
        <v>BE</v>
      </c>
      <c r="H600" s="1">
        <v>84</v>
      </c>
      <c r="I600" s="1">
        <v>8</v>
      </c>
      <c r="J600" t="s">
        <v>230</v>
      </c>
      <c r="K600" t="str">
        <f>VLOOKUP(Table1[[#This Row],[Loser]],Ranking!C:D,2,FALSE)</f>
        <v>B10</v>
      </c>
      <c r="L600" s="1">
        <v>77</v>
      </c>
      <c r="N600" s="1">
        <f>Table1[[#This Row],[Winning Score]]-Table1[[#This Row],[Losing Score]]</f>
        <v>7</v>
      </c>
      <c r="O600" s="1">
        <f>Table1[[#This Row],[Losing Seed]]-Table1[[#This Row],[Winning Seed]]</f>
        <v>-1</v>
      </c>
      <c r="P600" s="1" t="str">
        <f>IF(Table1[[#This Row],[SeD]]&lt;-2,Table1[[#This Row],[Winning Seed]]&amp; " over " &amp;Table1[[#This Row],[Losing Seed]],"")</f>
        <v/>
      </c>
      <c r="Q600">
        <f>VLOOKUP(Table1[[#This Row],[Losing Seed]],'Seed History'!$N$4:$O$19,2)</f>
        <v>0.70833333333333337</v>
      </c>
      <c r="R600" s="1">
        <f>IF(Table1[[#This Row],[Round]]="PI",0,Table1[[#This Row],[Round]]-1)</f>
        <v>0</v>
      </c>
      <c r="S600">
        <f>Table1[[#This Row],[LAW]]-Table1[[#This Row],[LEW]]</f>
        <v>-0.70833333333333337</v>
      </c>
    </row>
    <row r="601" spans="1:19" x14ac:dyDescent="0.25">
      <c r="A601" s="66">
        <v>34412</v>
      </c>
      <c r="B601" s="51">
        <f>YEAR(Table1[[#This Row],[Date]])</f>
        <v>1994</v>
      </c>
      <c r="C601" s="1">
        <v>2</v>
      </c>
      <c r="D601" t="s">
        <v>439</v>
      </c>
      <c r="E601" s="1">
        <v>10</v>
      </c>
      <c r="F601" t="s">
        <v>31</v>
      </c>
      <c r="G601" t="str">
        <f>VLOOKUP(Table1[[#This Row],[Winner]],Ranking!C:D,2,FALSE)</f>
        <v>B10</v>
      </c>
      <c r="H601" s="1">
        <v>95</v>
      </c>
      <c r="I601" s="1">
        <v>2</v>
      </c>
      <c r="J601" t="s">
        <v>265</v>
      </c>
      <c r="K601" t="str">
        <f>VLOOKUP(Table1[[#This Row],[Loser]],Ranking!C:D,2,FALSE)</f>
        <v>A10</v>
      </c>
      <c r="L601" s="1">
        <v>87</v>
      </c>
      <c r="N601" s="1">
        <f>Table1[[#This Row],[Winning Score]]-Table1[[#This Row],[Losing Score]]</f>
        <v>8</v>
      </c>
      <c r="O601" s="1">
        <f>Table1[[#This Row],[Losing Seed]]-Table1[[#This Row],[Winning Seed]]</f>
        <v>-8</v>
      </c>
      <c r="P601" s="1" t="str">
        <f>IF(Table1[[#This Row],[SeD]]&lt;-2,Table1[[#This Row],[Winning Seed]]&amp; " over " &amp;Table1[[#This Row],[Losing Seed]],"")</f>
        <v>10 over 2</v>
      </c>
      <c r="Q601">
        <f>VLOOKUP(Table1[[#This Row],[Losing Seed]],'Seed History'!$N$4:$O$19,2)</f>
        <v>2.3472222222222223</v>
      </c>
      <c r="R601" s="1">
        <f>IF(Table1[[#This Row],[Round]]="PI",0,Table1[[#This Row],[Round]]-1)</f>
        <v>1</v>
      </c>
      <c r="S601">
        <f>Table1[[#This Row],[LAW]]-Table1[[#This Row],[LEW]]</f>
        <v>-1.3472222222222223</v>
      </c>
    </row>
    <row r="602" spans="1:19" x14ac:dyDescent="0.25">
      <c r="A602" s="66">
        <v>34412</v>
      </c>
      <c r="B602" s="51">
        <f>YEAR(Table1[[#This Row],[Date]])</f>
        <v>1994</v>
      </c>
      <c r="C602" s="1">
        <v>2</v>
      </c>
      <c r="D602" t="s">
        <v>49</v>
      </c>
      <c r="E602" s="1">
        <v>2</v>
      </c>
      <c r="F602" t="s">
        <v>80</v>
      </c>
      <c r="G602" t="str">
        <f>VLOOKUP(Table1[[#This Row],[Winner]],Ranking!C:D,2,FALSE)</f>
        <v>BE</v>
      </c>
      <c r="H602" s="1">
        <v>75</v>
      </c>
      <c r="I602" s="1">
        <v>10</v>
      </c>
      <c r="J602" t="s">
        <v>213</v>
      </c>
      <c r="K602" t="str">
        <f>VLOOKUP(Table1[[#This Row],[Loser]],Ranking!C:D,2,FALSE)</f>
        <v>A10</v>
      </c>
      <c r="L602" s="1">
        <v>63</v>
      </c>
      <c r="N602" s="1">
        <f>Table1[[#This Row],[Winning Score]]-Table1[[#This Row],[Losing Score]]</f>
        <v>12</v>
      </c>
      <c r="O602" s="1">
        <f>Table1[[#This Row],[Losing Seed]]-Table1[[#This Row],[Winning Seed]]</f>
        <v>8</v>
      </c>
      <c r="P602" s="1" t="str">
        <f>IF(Table1[[#This Row],[SeD]]&lt;-2,Table1[[#This Row],[Winning Seed]]&amp; " over " &amp;Table1[[#This Row],[Losing Seed]],"")</f>
        <v/>
      </c>
      <c r="Q602">
        <f>VLOOKUP(Table1[[#This Row],[Losing Seed]],'Seed History'!$N$4:$O$19,2)</f>
        <v>0.61805555555555558</v>
      </c>
      <c r="R602" s="1">
        <f>IF(Table1[[#This Row],[Round]]="PI",0,Table1[[#This Row],[Round]]-1)</f>
        <v>1</v>
      </c>
      <c r="S602">
        <f>Table1[[#This Row],[LAW]]-Table1[[#This Row],[LEW]]</f>
        <v>0.38194444444444442</v>
      </c>
    </row>
    <row r="603" spans="1:19" x14ac:dyDescent="0.25">
      <c r="A603" s="66">
        <v>34412</v>
      </c>
      <c r="B603" s="51">
        <f>YEAR(Table1[[#This Row],[Date]])</f>
        <v>1994</v>
      </c>
      <c r="C603" s="1">
        <v>2</v>
      </c>
      <c r="D603" t="s">
        <v>49</v>
      </c>
      <c r="E603" s="1">
        <v>3</v>
      </c>
      <c r="F603" t="s">
        <v>81</v>
      </c>
      <c r="G603" t="str">
        <f>VLOOKUP(Table1[[#This Row],[Winner]],Ranking!C:D,2,FALSE)</f>
        <v>SEC</v>
      </c>
      <c r="H603" s="1">
        <v>70</v>
      </c>
      <c r="I603" s="1">
        <v>11</v>
      </c>
      <c r="J603" t="s">
        <v>321</v>
      </c>
      <c r="K603" t="str">
        <f>VLOOKUP(Table1[[#This Row],[Loser]],Ranking!C:D,2,FALSE)</f>
        <v>Ivy</v>
      </c>
      <c r="L603" s="1">
        <v>58</v>
      </c>
      <c r="N603" s="1">
        <f>Table1[[#This Row],[Winning Score]]-Table1[[#This Row],[Losing Score]]</f>
        <v>12</v>
      </c>
      <c r="O603" s="1">
        <f>Table1[[#This Row],[Losing Seed]]-Table1[[#This Row],[Winning Seed]]</f>
        <v>8</v>
      </c>
      <c r="P603" s="1" t="str">
        <f>IF(Table1[[#This Row],[SeD]]&lt;-2,Table1[[#This Row],[Winning Seed]]&amp; " over " &amp;Table1[[#This Row],[Losing Seed]],"")</f>
        <v/>
      </c>
      <c r="Q603">
        <f>VLOOKUP(Table1[[#This Row],[Losing Seed]],'Seed History'!$N$4:$O$19,2)</f>
        <v>0.63194444444444442</v>
      </c>
      <c r="R603" s="1">
        <f>IF(Table1[[#This Row],[Round]]="PI",0,Table1[[#This Row],[Round]]-1)</f>
        <v>1</v>
      </c>
      <c r="S603">
        <f>Table1[[#This Row],[LAW]]-Table1[[#This Row],[LEW]]</f>
        <v>0.36805555555555558</v>
      </c>
    </row>
    <row r="604" spans="1:19" x14ac:dyDescent="0.25">
      <c r="A604" s="66">
        <v>34412</v>
      </c>
      <c r="B604" s="51">
        <f>YEAR(Table1[[#This Row],[Date]])</f>
        <v>1994</v>
      </c>
      <c r="C604" s="1">
        <v>2</v>
      </c>
      <c r="D604" t="s">
        <v>439</v>
      </c>
      <c r="E604" s="1">
        <v>3</v>
      </c>
      <c r="F604" t="s">
        <v>82</v>
      </c>
      <c r="G604" t="str">
        <f>VLOOKUP(Table1[[#This Row],[Winner]],Ranking!C:D,2,FALSE)</f>
        <v>B10</v>
      </c>
      <c r="H604" s="1">
        <v>84</v>
      </c>
      <c r="I604" s="1">
        <v>6</v>
      </c>
      <c r="J604" t="s">
        <v>34</v>
      </c>
      <c r="K604" t="str">
        <f>VLOOKUP(Table1[[#This Row],[Loser]],Ranking!C:D,2,FALSE)</f>
        <v>B12</v>
      </c>
      <c r="L604" s="1">
        <v>79</v>
      </c>
      <c r="N604" s="1">
        <f>Table1[[#This Row],[Winning Score]]-Table1[[#This Row],[Losing Score]]</f>
        <v>5</v>
      </c>
      <c r="O604" s="1">
        <f>Table1[[#This Row],[Losing Seed]]-Table1[[#This Row],[Winning Seed]]</f>
        <v>3</v>
      </c>
      <c r="P604" s="1" t="str">
        <f>IF(Table1[[#This Row],[SeD]]&lt;-2,Table1[[#This Row],[Winning Seed]]&amp; " over " &amp;Table1[[#This Row],[Losing Seed]],"")</f>
        <v/>
      </c>
      <c r="Q604">
        <f>VLOOKUP(Table1[[#This Row],[Losing Seed]],'Seed History'!$N$4:$O$19,2)</f>
        <v>1.0625</v>
      </c>
      <c r="R604" s="1">
        <f>IF(Table1[[#This Row],[Round]]="PI",0,Table1[[#This Row],[Round]]-1)</f>
        <v>1</v>
      </c>
      <c r="S604">
        <f>Table1[[#This Row],[LAW]]-Table1[[#This Row],[LEW]]</f>
        <v>-6.25E-2</v>
      </c>
    </row>
    <row r="605" spans="1:19" x14ac:dyDescent="0.25">
      <c r="A605" s="66">
        <v>34412</v>
      </c>
      <c r="B605" s="51">
        <f>YEAR(Table1[[#This Row],[Date]])</f>
        <v>1994</v>
      </c>
      <c r="C605" s="1">
        <v>2</v>
      </c>
      <c r="D605" t="s">
        <v>461</v>
      </c>
      <c r="E605" s="1">
        <v>1</v>
      </c>
      <c r="F605" t="s">
        <v>29</v>
      </c>
      <c r="G605" t="str">
        <f>VLOOKUP(Table1[[#This Row],[Winner]],Ranking!C:D,2,FALSE)</f>
        <v>B10</v>
      </c>
      <c r="H605" s="1">
        <v>83</v>
      </c>
      <c r="I605" s="1">
        <v>9</v>
      </c>
      <c r="J605" t="s">
        <v>113</v>
      </c>
      <c r="K605" t="str">
        <f>VLOOKUP(Table1[[#This Row],[Loser]],Ranking!C:D,2,FALSE)</f>
        <v>SEC</v>
      </c>
      <c r="L605" s="1">
        <v>73</v>
      </c>
      <c r="N605" s="1">
        <f>Table1[[#This Row],[Winning Score]]-Table1[[#This Row],[Losing Score]]</f>
        <v>10</v>
      </c>
      <c r="O605" s="1">
        <f>Table1[[#This Row],[Losing Seed]]-Table1[[#This Row],[Winning Seed]]</f>
        <v>8</v>
      </c>
      <c r="P605" s="1" t="str">
        <f>IF(Table1[[#This Row],[SeD]]&lt;-2,Table1[[#This Row],[Winning Seed]]&amp; " over " &amp;Table1[[#This Row],[Losing Seed]],"")</f>
        <v/>
      </c>
      <c r="Q605">
        <f>VLOOKUP(Table1[[#This Row],[Losing Seed]],'Seed History'!$N$4:$O$19,2)</f>
        <v>0.59027777777777779</v>
      </c>
      <c r="R605" s="1">
        <f>IF(Table1[[#This Row],[Round]]="PI",0,Table1[[#This Row],[Round]]-1)</f>
        <v>1</v>
      </c>
      <c r="S605">
        <f>Table1[[#This Row],[LAW]]-Table1[[#This Row],[LEW]]</f>
        <v>0.40972222222222221</v>
      </c>
    </row>
    <row r="606" spans="1:19" x14ac:dyDescent="0.25">
      <c r="A606" s="66">
        <v>34412</v>
      </c>
      <c r="B606" s="51">
        <f>YEAR(Table1[[#This Row],[Date]])</f>
        <v>1994</v>
      </c>
      <c r="C606" s="1">
        <v>2</v>
      </c>
      <c r="D606" t="s">
        <v>461</v>
      </c>
      <c r="E606" s="1">
        <v>4</v>
      </c>
      <c r="F606" t="s">
        <v>37</v>
      </c>
      <c r="G606" t="str">
        <f>VLOOKUP(Table1[[#This Row],[Winner]],Ranking!C:D,2,FALSE)</f>
        <v>B12</v>
      </c>
      <c r="H606" s="1">
        <v>69</v>
      </c>
      <c r="I606" s="1">
        <v>5</v>
      </c>
      <c r="J606" t="s">
        <v>408</v>
      </c>
      <c r="K606" t="str">
        <f>VLOOKUP(Table1[[#This Row],[Loser]],Ranking!C:D,2,FALSE)</f>
        <v>ACC</v>
      </c>
      <c r="L606" s="1">
        <v>58</v>
      </c>
      <c r="N606" s="1">
        <f>Table1[[#This Row],[Winning Score]]-Table1[[#This Row],[Losing Score]]</f>
        <v>11</v>
      </c>
      <c r="O606" s="1">
        <f>Table1[[#This Row],[Losing Seed]]-Table1[[#This Row],[Winning Seed]]</f>
        <v>1</v>
      </c>
      <c r="P606" s="1" t="str">
        <f>IF(Table1[[#This Row],[SeD]]&lt;-2,Table1[[#This Row],[Winning Seed]]&amp; " over " &amp;Table1[[#This Row],[Losing Seed]],"")</f>
        <v/>
      </c>
      <c r="Q606">
        <f>VLOOKUP(Table1[[#This Row],[Losing Seed]],'Seed History'!$N$4:$O$19,2)</f>
        <v>1.1180555555555556</v>
      </c>
      <c r="R606" s="1">
        <f>IF(Table1[[#This Row],[Round]]="PI",0,Table1[[#This Row],[Round]]-1)</f>
        <v>1</v>
      </c>
      <c r="S606">
        <f>Table1[[#This Row],[LAW]]-Table1[[#This Row],[LEW]]</f>
        <v>-0.11805555555555558</v>
      </c>
    </row>
    <row r="607" spans="1:19" x14ac:dyDescent="0.25">
      <c r="A607" s="66">
        <v>34412</v>
      </c>
      <c r="B607" s="51">
        <f>YEAR(Table1[[#This Row],[Date]])</f>
        <v>1994</v>
      </c>
      <c r="C607" s="1">
        <v>2</v>
      </c>
      <c r="D607" t="s">
        <v>38</v>
      </c>
      <c r="E607" s="1">
        <v>1</v>
      </c>
      <c r="F607" t="s">
        <v>277</v>
      </c>
      <c r="G607" t="str">
        <f>VLOOKUP(Table1[[#This Row],[Winner]],Ranking!C:D,2,FALSE)</f>
        <v>SEC</v>
      </c>
      <c r="H607" s="1">
        <v>109</v>
      </c>
      <c r="I607" s="1">
        <v>9</v>
      </c>
      <c r="J607" t="s">
        <v>39</v>
      </c>
      <c r="K607" t="str">
        <f>VLOOKUP(Table1[[#This Row],[Loser]],Ranking!C:D,2,FALSE)</f>
        <v>B10</v>
      </c>
      <c r="L607" s="1">
        <v>96</v>
      </c>
      <c r="N607" s="1">
        <f>Table1[[#This Row],[Winning Score]]-Table1[[#This Row],[Losing Score]]</f>
        <v>13</v>
      </c>
      <c r="O607" s="1">
        <f>Table1[[#This Row],[Losing Seed]]-Table1[[#This Row],[Winning Seed]]</f>
        <v>8</v>
      </c>
      <c r="P607" s="1" t="str">
        <f>IF(Table1[[#This Row],[SeD]]&lt;-2,Table1[[#This Row],[Winning Seed]]&amp; " over " &amp;Table1[[#This Row],[Losing Seed]],"")</f>
        <v/>
      </c>
      <c r="Q607">
        <f>VLOOKUP(Table1[[#This Row],[Losing Seed]],'Seed History'!$N$4:$O$19,2)</f>
        <v>0.59027777777777779</v>
      </c>
      <c r="R607" s="1">
        <f>IF(Table1[[#This Row],[Round]]="PI",0,Table1[[#This Row],[Round]]-1)</f>
        <v>1</v>
      </c>
      <c r="S607">
        <f>Table1[[#This Row],[LAW]]-Table1[[#This Row],[LEW]]</f>
        <v>0.40972222222222221</v>
      </c>
    </row>
    <row r="608" spans="1:19" x14ac:dyDescent="0.25">
      <c r="A608" s="66">
        <v>34412</v>
      </c>
      <c r="B608" s="51">
        <f>YEAR(Table1[[#This Row],[Date]])</f>
        <v>1994</v>
      </c>
      <c r="C608" s="1">
        <v>2</v>
      </c>
      <c r="D608" t="s">
        <v>38</v>
      </c>
      <c r="E608" s="1">
        <v>4</v>
      </c>
      <c r="F608" t="s">
        <v>86</v>
      </c>
      <c r="G608" t="str">
        <f>VLOOKUP(Table1[[#This Row],[Winner]],Ranking!C:D,2,FALSE)</f>
        <v>ACC</v>
      </c>
      <c r="H608" s="1">
        <v>64</v>
      </c>
      <c r="I608" s="1">
        <v>12</v>
      </c>
      <c r="J608" t="s">
        <v>219</v>
      </c>
      <c r="K608" t="str">
        <f>VLOOKUP(Table1[[#This Row],[Loser]],Ranking!C:D,2,FALSE)</f>
        <v>Horz</v>
      </c>
      <c r="L608" s="1">
        <v>59</v>
      </c>
      <c r="N608" s="1">
        <f>Table1[[#This Row],[Winning Score]]-Table1[[#This Row],[Losing Score]]</f>
        <v>5</v>
      </c>
      <c r="O608" s="1">
        <f>Table1[[#This Row],[Losing Seed]]-Table1[[#This Row],[Winning Seed]]</f>
        <v>8</v>
      </c>
      <c r="P608" s="1" t="str">
        <f>IF(Table1[[#This Row],[SeD]]&lt;-2,Table1[[#This Row],[Winning Seed]]&amp; " over " &amp;Table1[[#This Row],[Losing Seed]],"")</f>
        <v/>
      </c>
      <c r="Q608">
        <f>VLOOKUP(Table1[[#This Row],[Losing Seed]],'Seed History'!$N$4:$O$19,2)</f>
        <v>0.52083333333333337</v>
      </c>
      <c r="R608" s="1">
        <f>IF(Table1[[#This Row],[Round]]="PI",0,Table1[[#This Row],[Round]]-1)</f>
        <v>1</v>
      </c>
      <c r="S608">
        <f>Table1[[#This Row],[LAW]]-Table1[[#This Row],[LEW]]</f>
        <v>0.47916666666666663</v>
      </c>
    </row>
    <row r="609" spans="1:19" x14ac:dyDescent="0.25">
      <c r="A609" s="66">
        <v>34413</v>
      </c>
      <c r="B609" s="51">
        <f>YEAR(Table1[[#This Row],[Date]])</f>
        <v>1994</v>
      </c>
      <c r="C609" s="1">
        <v>2</v>
      </c>
      <c r="D609" t="s">
        <v>49</v>
      </c>
      <c r="E609" s="1">
        <v>9</v>
      </c>
      <c r="F609" t="s">
        <v>138</v>
      </c>
      <c r="G609" t="str">
        <f>VLOOKUP(Table1[[#This Row],[Winner]],Ranking!C:D,2,FALSE)</f>
        <v>ACC</v>
      </c>
      <c r="H609" s="1">
        <v>75</v>
      </c>
      <c r="I609" s="1">
        <v>1</v>
      </c>
      <c r="J609" t="s">
        <v>298</v>
      </c>
      <c r="K609" t="str">
        <f>VLOOKUP(Table1[[#This Row],[Loser]],Ranking!C:D,2,FALSE)</f>
        <v>ACC</v>
      </c>
      <c r="L609" s="1">
        <v>72</v>
      </c>
      <c r="N609" s="1">
        <f>Table1[[#This Row],[Winning Score]]-Table1[[#This Row],[Losing Score]]</f>
        <v>3</v>
      </c>
      <c r="O609" s="1">
        <f>Table1[[#This Row],[Losing Seed]]-Table1[[#This Row],[Winning Seed]]</f>
        <v>-8</v>
      </c>
      <c r="P609" s="1" t="str">
        <f>IF(Table1[[#This Row],[SeD]]&lt;-2,Table1[[#This Row],[Winning Seed]]&amp; " over " &amp;Table1[[#This Row],[Losing Seed]],"")</f>
        <v>9 over 1</v>
      </c>
      <c r="Q609">
        <f>VLOOKUP(Table1[[#This Row],[Losing Seed]],'Seed History'!$N$4:$O$19,2)</f>
        <v>3.3263888888888888</v>
      </c>
      <c r="R609" s="1">
        <f>IF(Table1[[#This Row],[Round]]="PI",0,Table1[[#This Row],[Round]]-1)</f>
        <v>1</v>
      </c>
      <c r="S609">
        <f>Table1[[#This Row],[LAW]]-Table1[[#This Row],[LEW]]</f>
        <v>-2.3263888888888888</v>
      </c>
    </row>
    <row r="610" spans="1:19" x14ac:dyDescent="0.25">
      <c r="A610" s="66">
        <v>34413</v>
      </c>
      <c r="B610" s="51">
        <f>YEAR(Table1[[#This Row],[Date]])</f>
        <v>1994</v>
      </c>
      <c r="C610" s="1">
        <v>2</v>
      </c>
      <c r="D610" t="s">
        <v>439</v>
      </c>
      <c r="E610" s="1">
        <v>12</v>
      </c>
      <c r="F610" t="s">
        <v>94</v>
      </c>
      <c r="G610" t="str">
        <f>VLOOKUP(Table1[[#This Row],[Winner]],Ranking!C:D,2,FALSE)</f>
        <v>Amer</v>
      </c>
      <c r="H610" s="1">
        <v>82</v>
      </c>
      <c r="I610" s="1">
        <v>4</v>
      </c>
      <c r="J610" t="s">
        <v>316</v>
      </c>
      <c r="K610" t="str">
        <f>VLOOKUP(Table1[[#This Row],[Loser]],Ranking!C:D,2,FALSE)</f>
        <v>B12</v>
      </c>
      <c r="L610" s="1">
        <v>80</v>
      </c>
      <c r="N610" s="1">
        <f>Table1[[#This Row],[Winning Score]]-Table1[[#This Row],[Losing Score]]</f>
        <v>2</v>
      </c>
      <c r="O610" s="1">
        <f>Table1[[#This Row],[Losing Seed]]-Table1[[#This Row],[Winning Seed]]</f>
        <v>-8</v>
      </c>
      <c r="P610" s="1" t="str">
        <f>IF(Table1[[#This Row],[SeD]]&lt;-2,Table1[[#This Row],[Winning Seed]]&amp; " over " &amp;Table1[[#This Row],[Losing Seed]],"")</f>
        <v>12 over 4</v>
      </c>
      <c r="Q610">
        <f>VLOOKUP(Table1[[#This Row],[Losing Seed]],'Seed History'!$N$4:$O$19,2)</f>
        <v>1.5208333333333333</v>
      </c>
      <c r="R610" s="1">
        <f>IF(Table1[[#This Row],[Round]]="PI",0,Table1[[#This Row],[Round]]-1)</f>
        <v>1</v>
      </c>
      <c r="S610">
        <f>Table1[[#This Row],[LAW]]-Table1[[#This Row],[LEW]]</f>
        <v>-0.52083333333333326</v>
      </c>
    </row>
    <row r="611" spans="1:19" x14ac:dyDescent="0.25">
      <c r="A611" s="66">
        <v>34413</v>
      </c>
      <c r="B611" s="51">
        <f>YEAR(Table1[[#This Row],[Date]])</f>
        <v>1994</v>
      </c>
      <c r="C611" s="1">
        <v>2</v>
      </c>
      <c r="D611" t="s">
        <v>439</v>
      </c>
      <c r="E611" s="1">
        <v>1</v>
      </c>
      <c r="F611" t="s">
        <v>41</v>
      </c>
      <c r="G611" t="str">
        <f>VLOOKUP(Table1[[#This Row],[Winner]],Ranking!C:D,2,FALSE)</f>
        <v>SEC</v>
      </c>
      <c r="H611" s="1">
        <v>85</v>
      </c>
      <c r="I611" s="1">
        <v>9</v>
      </c>
      <c r="J611" t="s">
        <v>66</v>
      </c>
      <c r="K611" t="str">
        <f>VLOOKUP(Table1[[#This Row],[Loser]],Ranking!C:D,2,FALSE)</f>
        <v>BE</v>
      </c>
      <c r="L611" s="1">
        <v>73</v>
      </c>
      <c r="N611" s="1">
        <f>Table1[[#This Row],[Winning Score]]-Table1[[#This Row],[Losing Score]]</f>
        <v>12</v>
      </c>
      <c r="O611" s="1">
        <f>Table1[[#This Row],[Losing Seed]]-Table1[[#This Row],[Winning Seed]]</f>
        <v>8</v>
      </c>
      <c r="P611" s="1" t="str">
        <f>IF(Table1[[#This Row],[SeD]]&lt;-2,Table1[[#This Row],[Winning Seed]]&amp; " over " &amp;Table1[[#This Row],[Losing Seed]],"")</f>
        <v/>
      </c>
      <c r="Q611">
        <f>VLOOKUP(Table1[[#This Row],[Losing Seed]],'Seed History'!$N$4:$O$19,2)</f>
        <v>0.59027777777777779</v>
      </c>
      <c r="R611" s="1">
        <f>IF(Table1[[#This Row],[Round]]="PI",0,Table1[[#This Row],[Round]]-1)</f>
        <v>1</v>
      </c>
      <c r="S611">
        <f>Table1[[#This Row],[LAW]]-Table1[[#This Row],[LEW]]</f>
        <v>0.40972222222222221</v>
      </c>
    </row>
    <row r="612" spans="1:19" x14ac:dyDescent="0.25">
      <c r="A612" s="66">
        <v>34413</v>
      </c>
      <c r="B612" s="51">
        <f>YEAR(Table1[[#This Row],[Date]])</f>
        <v>1994</v>
      </c>
      <c r="C612" s="1">
        <v>2</v>
      </c>
      <c r="D612" t="s">
        <v>461</v>
      </c>
      <c r="E612" s="1">
        <v>2</v>
      </c>
      <c r="F612" t="s">
        <v>64</v>
      </c>
      <c r="G612" t="str">
        <f>VLOOKUP(Table1[[#This Row],[Winner]],Ranking!C:D,2,FALSE)</f>
        <v>ACC</v>
      </c>
      <c r="H612" s="1">
        <v>85</v>
      </c>
      <c r="I612" s="1">
        <v>7</v>
      </c>
      <c r="J612" t="s">
        <v>271</v>
      </c>
      <c r="K612" t="str">
        <f>VLOOKUP(Table1[[#This Row],[Loser]],Ranking!C:D,2,FALSE)</f>
        <v>B10</v>
      </c>
      <c r="L612" s="1">
        <v>74</v>
      </c>
      <c r="N612" s="1">
        <f>Table1[[#This Row],[Winning Score]]-Table1[[#This Row],[Losing Score]]</f>
        <v>11</v>
      </c>
      <c r="O612" s="1">
        <f>Table1[[#This Row],[Losing Seed]]-Table1[[#This Row],[Winning Seed]]</f>
        <v>5</v>
      </c>
      <c r="P612" s="1" t="str">
        <f>IF(Table1[[#This Row],[SeD]]&lt;-2,Table1[[#This Row],[Winning Seed]]&amp; " over " &amp;Table1[[#This Row],[Losing Seed]],"")</f>
        <v/>
      </c>
      <c r="Q612">
        <f>VLOOKUP(Table1[[#This Row],[Losing Seed]],'Seed History'!$N$4:$O$19,2)</f>
        <v>0.90277777777777779</v>
      </c>
      <c r="R612" s="1">
        <f>IF(Table1[[#This Row],[Round]]="PI",0,Table1[[#This Row],[Round]]-1)</f>
        <v>1</v>
      </c>
      <c r="S612">
        <f>Table1[[#This Row],[LAW]]-Table1[[#This Row],[LEW]]</f>
        <v>9.722222222222221E-2</v>
      </c>
    </row>
    <row r="613" spans="1:19" x14ac:dyDescent="0.25">
      <c r="A613" s="66">
        <v>34413</v>
      </c>
      <c r="B613" s="51">
        <f>YEAR(Table1[[#This Row],[Date]])</f>
        <v>1994</v>
      </c>
      <c r="C613" s="1">
        <v>2</v>
      </c>
      <c r="D613" t="s">
        <v>38</v>
      </c>
      <c r="E613" s="1">
        <v>2</v>
      </c>
      <c r="F613" t="s">
        <v>48</v>
      </c>
      <c r="G613" t="str">
        <f>VLOOKUP(Table1[[#This Row],[Winner]],Ranking!C:D,2,FALSE)</f>
        <v>P12</v>
      </c>
      <c r="H613" s="1">
        <v>71</v>
      </c>
      <c r="I613" s="1">
        <v>7</v>
      </c>
      <c r="J613" t="s">
        <v>61</v>
      </c>
      <c r="K613" t="str">
        <f>VLOOKUP(Table1[[#This Row],[Loser]],Ranking!C:D,2,FALSE)</f>
        <v>ACC</v>
      </c>
      <c r="L613" s="1">
        <v>58</v>
      </c>
      <c r="N613" s="1">
        <f>Table1[[#This Row],[Winning Score]]-Table1[[#This Row],[Losing Score]]</f>
        <v>13</v>
      </c>
      <c r="O613" s="1">
        <f>Table1[[#This Row],[Losing Seed]]-Table1[[#This Row],[Winning Seed]]</f>
        <v>5</v>
      </c>
      <c r="P613" s="1" t="str">
        <f>IF(Table1[[#This Row],[SeD]]&lt;-2,Table1[[#This Row],[Winning Seed]]&amp; " over " &amp;Table1[[#This Row],[Losing Seed]],"")</f>
        <v/>
      </c>
      <c r="Q613">
        <f>VLOOKUP(Table1[[#This Row],[Losing Seed]],'Seed History'!$N$4:$O$19,2)</f>
        <v>0.90277777777777779</v>
      </c>
      <c r="R613" s="1">
        <f>IF(Table1[[#This Row],[Round]]="PI",0,Table1[[#This Row],[Round]]-1)</f>
        <v>1</v>
      </c>
      <c r="S613">
        <f>Table1[[#This Row],[LAW]]-Table1[[#This Row],[LEW]]</f>
        <v>9.722222222222221E-2</v>
      </c>
    </row>
    <row r="614" spans="1:19" x14ac:dyDescent="0.25">
      <c r="A614" s="66">
        <v>34413</v>
      </c>
      <c r="B614" s="51">
        <f>YEAR(Table1[[#This Row],[Date]])</f>
        <v>1994</v>
      </c>
      <c r="C614" s="1">
        <v>2</v>
      </c>
      <c r="D614" t="s">
        <v>38</v>
      </c>
      <c r="E614" s="1">
        <v>3</v>
      </c>
      <c r="F614" t="s">
        <v>54</v>
      </c>
      <c r="G614" t="str">
        <f>VLOOKUP(Table1[[#This Row],[Winner]],Ranking!C:D,2,FALSE)</f>
        <v>ACC</v>
      </c>
      <c r="H614" s="1">
        <v>60</v>
      </c>
      <c r="I614" s="1">
        <v>6</v>
      </c>
      <c r="J614" t="s">
        <v>274</v>
      </c>
      <c r="K614" t="str">
        <f>VLOOKUP(Table1[[#This Row],[Loser]],Ranking!C:D,2,FALSE)</f>
        <v>B10</v>
      </c>
      <c r="L614" s="1">
        <v>55</v>
      </c>
      <c r="N614" s="1">
        <f>Table1[[#This Row],[Winning Score]]-Table1[[#This Row],[Losing Score]]</f>
        <v>5</v>
      </c>
      <c r="O614" s="1">
        <f>Table1[[#This Row],[Losing Seed]]-Table1[[#This Row],[Winning Seed]]</f>
        <v>3</v>
      </c>
      <c r="P614" s="1" t="str">
        <f>IF(Table1[[#This Row],[SeD]]&lt;-2,Table1[[#This Row],[Winning Seed]]&amp; " over " &amp;Table1[[#This Row],[Losing Seed]],"")</f>
        <v/>
      </c>
      <c r="Q614">
        <f>VLOOKUP(Table1[[#This Row],[Losing Seed]],'Seed History'!$N$4:$O$19,2)</f>
        <v>1.0625</v>
      </c>
      <c r="R614" s="1">
        <f>IF(Table1[[#This Row],[Round]]="PI",0,Table1[[#This Row],[Round]]-1)</f>
        <v>1</v>
      </c>
      <c r="S614">
        <f>Table1[[#This Row],[LAW]]-Table1[[#This Row],[LEW]]</f>
        <v>-6.25E-2</v>
      </c>
    </row>
    <row r="615" spans="1:19" x14ac:dyDescent="0.25">
      <c r="A615" s="66">
        <v>34413</v>
      </c>
      <c r="B615" s="51">
        <f>YEAR(Table1[[#This Row],[Date]])</f>
        <v>1994</v>
      </c>
      <c r="C615" s="1">
        <v>2</v>
      </c>
      <c r="D615" t="s">
        <v>461</v>
      </c>
      <c r="E615" s="1">
        <v>6</v>
      </c>
      <c r="F615" t="s">
        <v>262</v>
      </c>
      <c r="G615" t="str">
        <f>VLOOKUP(Table1[[#This Row],[Winner]],Ranking!C:D,2,FALSE)</f>
        <v>BE</v>
      </c>
      <c r="H615" s="1">
        <v>75</v>
      </c>
      <c r="I615" s="1">
        <v>3</v>
      </c>
      <c r="J615" t="s">
        <v>26</v>
      </c>
      <c r="K615" t="str">
        <f>VLOOKUP(Table1[[#This Row],[Loser]],Ranking!C:D,2,FALSE)</f>
        <v>SEC</v>
      </c>
      <c r="L615" s="1">
        <v>63</v>
      </c>
      <c r="N615" s="1">
        <f>Table1[[#This Row],[Winning Score]]-Table1[[#This Row],[Losing Score]]</f>
        <v>12</v>
      </c>
      <c r="O615" s="1">
        <f>Table1[[#This Row],[Losing Seed]]-Table1[[#This Row],[Winning Seed]]</f>
        <v>-3</v>
      </c>
      <c r="P615" s="1" t="str">
        <f>IF(Table1[[#This Row],[SeD]]&lt;-2,Table1[[#This Row],[Winning Seed]]&amp; " over " &amp;Table1[[#This Row],[Losing Seed]],"")</f>
        <v>6 over 3</v>
      </c>
      <c r="Q615">
        <f>VLOOKUP(Table1[[#This Row],[Losing Seed]],'Seed History'!$N$4:$O$19,2)</f>
        <v>1.8472222222222223</v>
      </c>
      <c r="R615" s="1">
        <f>IF(Table1[[#This Row],[Round]]="PI",0,Table1[[#This Row],[Round]]-1)</f>
        <v>1</v>
      </c>
      <c r="S615">
        <f>Table1[[#This Row],[LAW]]-Table1[[#This Row],[LEW]]</f>
        <v>-0.84722222222222232</v>
      </c>
    </row>
    <row r="616" spans="1:19" x14ac:dyDescent="0.25">
      <c r="A616" s="66">
        <v>34413</v>
      </c>
      <c r="B616" s="51">
        <f>YEAR(Table1[[#This Row],[Date]])</f>
        <v>1994</v>
      </c>
      <c r="C616" s="1">
        <v>2</v>
      </c>
      <c r="D616" t="s">
        <v>49</v>
      </c>
      <c r="E616" s="1">
        <v>5</v>
      </c>
      <c r="F616" t="s">
        <v>36</v>
      </c>
      <c r="G616" t="str">
        <f>VLOOKUP(Table1[[#This Row],[Winner]],Ranking!C:D,2,FALSE)</f>
        <v>B10</v>
      </c>
      <c r="H616" s="1">
        <v>67</v>
      </c>
      <c r="I616" s="1">
        <v>4</v>
      </c>
      <c r="J616" t="s">
        <v>373</v>
      </c>
      <c r="K616" t="str">
        <f>VLOOKUP(Table1[[#This Row],[Loser]],Ranking!C:D,2,FALSE)</f>
        <v>Amer</v>
      </c>
      <c r="L616" s="1">
        <v>58</v>
      </c>
      <c r="N616" s="1">
        <f>Table1[[#This Row],[Winning Score]]-Table1[[#This Row],[Losing Score]]</f>
        <v>9</v>
      </c>
      <c r="O616" s="1">
        <f>Table1[[#This Row],[Losing Seed]]-Table1[[#This Row],[Winning Seed]]</f>
        <v>-1</v>
      </c>
      <c r="P616" s="1" t="str">
        <f>IF(Table1[[#This Row],[SeD]]&lt;-2,Table1[[#This Row],[Winning Seed]]&amp; " over " &amp;Table1[[#This Row],[Losing Seed]],"")</f>
        <v/>
      </c>
      <c r="Q616">
        <f>VLOOKUP(Table1[[#This Row],[Losing Seed]],'Seed History'!$N$4:$O$19,2)</f>
        <v>1.5208333333333333</v>
      </c>
      <c r="R616" s="1">
        <f>IF(Table1[[#This Row],[Round]]="PI",0,Table1[[#This Row],[Round]]-1)</f>
        <v>1</v>
      </c>
      <c r="S616">
        <f>Table1[[#This Row],[LAW]]-Table1[[#This Row],[LEW]]</f>
        <v>-0.52083333333333326</v>
      </c>
    </row>
    <row r="617" spans="1:19" x14ac:dyDescent="0.25">
      <c r="A617" s="66">
        <v>34417</v>
      </c>
      <c r="B617" s="51">
        <f>YEAR(Table1[[#This Row],[Date]])</f>
        <v>1994</v>
      </c>
      <c r="C617" s="1">
        <v>3</v>
      </c>
      <c r="D617" t="s">
        <v>461</v>
      </c>
      <c r="E617" s="1">
        <v>1</v>
      </c>
      <c r="F617" t="s">
        <v>29</v>
      </c>
      <c r="G617" t="str">
        <f>VLOOKUP(Table1[[#This Row],[Winner]],Ranking!C:D,2,FALSE)</f>
        <v>B10</v>
      </c>
      <c r="H617" s="1">
        <v>83</v>
      </c>
      <c r="I617" s="1">
        <v>4</v>
      </c>
      <c r="J617" t="s">
        <v>37</v>
      </c>
      <c r="K617" t="str">
        <f>VLOOKUP(Table1[[#This Row],[Loser]],Ranking!C:D,2,FALSE)</f>
        <v>B12</v>
      </c>
      <c r="L617" s="1">
        <v>78</v>
      </c>
      <c r="N617" s="1">
        <f>Table1[[#This Row],[Winning Score]]-Table1[[#This Row],[Losing Score]]</f>
        <v>5</v>
      </c>
      <c r="O617" s="1">
        <f>Table1[[#This Row],[Losing Seed]]-Table1[[#This Row],[Winning Seed]]</f>
        <v>3</v>
      </c>
      <c r="P617" s="1" t="str">
        <f>IF(Table1[[#This Row],[SeD]]&lt;-2,Table1[[#This Row],[Winning Seed]]&amp; " over " &amp;Table1[[#This Row],[Losing Seed]],"")</f>
        <v/>
      </c>
      <c r="Q617">
        <f>VLOOKUP(Table1[[#This Row],[Losing Seed]],'Seed History'!$N$4:$O$19,2)</f>
        <v>1.5208333333333333</v>
      </c>
      <c r="R617" s="1">
        <f>IF(Table1[[#This Row],[Round]]="PI",0,Table1[[#This Row],[Round]]-1)</f>
        <v>2</v>
      </c>
      <c r="S617">
        <f>Table1[[#This Row],[LAW]]-Table1[[#This Row],[LEW]]</f>
        <v>0.47916666666666674</v>
      </c>
    </row>
    <row r="618" spans="1:19" x14ac:dyDescent="0.25">
      <c r="A618" s="66">
        <v>34417</v>
      </c>
      <c r="B618" s="51">
        <f>YEAR(Table1[[#This Row],[Date]])</f>
        <v>1994</v>
      </c>
      <c r="C618" s="1">
        <v>3</v>
      </c>
      <c r="D618" t="s">
        <v>461</v>
      </c>
      <c r="E618" s="1">
        <v>2</v>
      </c>
      <c r="F618" t="s">
        <v>64</v>
      </c>
      <c r="G618" t="str">
        <f>VLOOKUP(Table1[[#This Row],[Winner]],Ranking!C:D,2,FALSE)</f>
        <v>ACC</v>
      </c>
      <c r="H618" s="1">
        <v>59</v>
      </c>
      <c r="I618" s="1">
        <v>6</v>
      </c>
      <c r="J618" t="s">
        <v>262</v>
      </c>
      <c r="K618" t="str">
        <f>VLOOKUP(Table1[[#This Row],[Loser]],Ranking!C:D,2,FALSE)</f>
        <v>BE</v>
      </c>
      <c r="L618" s="1">
        <v>49</v>
      </c>
      <c r="N618" s="1">
        <f>Table1[[#This Row],[Winning Score]]-Table1[[#This Row],[Losing Score]]</f>
        <v>10</v>
      </c>
      <c r="O618" s="1">
        <f>Table1[[#This Row],[Losing Seed]]-Table1[[#This Row],[Winning Seed]]</f>
        <v>4</v>
      </c>
      <c r="P618" s="1" t="str">
        <f>IF(Table1[[#This Row],[SeD]]&lt;-2,Table1[[#This Row],[Winning Seed]]&amp; " over " &amp;Table1[[#This Row],[Losing Seed]],"")</f>
        <v/>
      </c>
      <c r="Q618">
        <f>VLOOKUP(Table1[[#This Row],[Losing Seed]],'Seed History'!$N$4:$O$19,2)</f>
        <v>1.0625</v>
      </c>
      <c r="R618" s="1">
        <f>IF(Table1[[#This Row],[Round]]="PI",0,Table1[[#This Row],[Round]]-1)</f>
        <v>2</v>
      </c>
      <c r="S618">
        <f>Table1[[#This Row],[LAW]]-Table1[[#This Row],[LEW]]</f>
        <v>0.9375</v>
      </c>
    </row>
    <row r="619" spans="1:19" x14ac:dyDescent="0.25">
      <c r="A619" s="66">
        <v>34417</v>
      </c>
      <c r="B619" s="51">
        <f>YEAR(Table1[[#This Row],[Date]])</f>
        <v>1994</v>
      </c>
      <c r="C619" s="1">
        <v>3</v>
      </c>
      <c r="D619" t="s">
        <v>38</v>
      </c>
      <c r="E619" s="1">
        <v>1</v>
      </c>
      <c r="F619" t="s">
        <v>277</v>
      </c>
      <c r="G619" t="str">
        <f>VLOOKUP(Table1[[#This Row],[Winner]],Ranking!C:D,2,FALSE)</f>
        <v>SEC</v>
      </c>
      <c r="H619" s="1">
        <v>98</v>
      </c>
      <c r="I619" s="1">
        <v>4</v>
      </c>
      <c r="J619" t="s">
        <v>86</v>
      </c>
      <c r="K619" t="str">
        <f>VLOOKUP(Table1[[#This Row],[Loser]],Ranking!C:D,2,FALSE)</f>
        <v>ACC</v>
      </c>
      <c r="L619" s="1">
        <v>88</v>
      </c>
      <c r="M619" s="1" t="s">
        <v>462</v>
      </c>
      <c r="N619" s="1">
        <f>Table1[[#This Row],[Winning Score]]-Table1[[#This Row],[Losing Score]]</f>
        <v>10</v>
      </c>
      <c r="O619" s="1">
        <f>Table1[[#This Row],[Losing Seed]]-Table1[[#This Row],[Winning Seed]]</f>
        <v>3</v>
      </c>
      <c r="P619" s="1" t="str">
        <f>IF(Table1[[#This Row],[SeD]]&lt;-2,Table1[[#This Row],[Winning Seed]]&amp; " over " &amp;Table1[[#This Row],[Losing Seed]],"")</f>
        <v/>
      </c>
      <c r="Q619">
        <f>VLOOKUP(Table1[[#This Row],[Losing Seed]],'Seed History'!$N$4:$O$19,2)</f>
        <v>1.5208333333333333</v>
      </c>
      <c r="R619" s="1">
        <f>IF(Table1[[#This Row],[Round]]="PI",0,Table1[[#This Row],[Round]]-1)</f>
        <v>2</v>
      </c>
      <c r="S619">
        <f>Table1[[#This Row],[LAW]]-Table1[[#This Row],[LEW]]</f>
        <v>0.47916666666666674</v>
      </c>
    </row>
    <row r="620" spans="1:19" x14ac:dyDescent="0.25">
      <c r="A620" s="66">
        <v>34417</v>
      </c>
      <c r="B620" s="51">
        <f>YEAR(Table1[[#This Row],[Date]])</f>
        <v>1994</v>
      </c>
      <c r="C620" s="1">
        <v>3</v>
      </c>
      <c r="D620" t="s">
        <v>38</v>
      </c>
      <c r="E620" s="1">
        <v>2</v>
      </c>
      <c r="F620" t="s">
        <v>48</v>
      </c>
      <c r="G620" t="str">
        <f>VLOOKUP(Table1[[#This Row],[Winner]],Ranking!C:D,2,FALSE)</f>
        <v>P12</v>
      </c>
      <c r="H620" s="1">
        <v>82</v>
      </c>
      <c r="I620" s="1">
        <v>3</v>
      </c>
      <c r="J620" t="s">
        <v>54</v>
      </c>
      <c r="K620" t="str">
        <f>VLOOKUP(Table1[[#This Row],[Loser]],Ranking!C:D,2,FALSE)</f>
        <v>ACC</v>
      </c>
      <c r="L620" s="1">
        <v>70</v>
      </c>
      <c r="N620" s="1">
        <f>Table1[[#This Row],[Winning Score]]-Table1[[#This Row],[Losing Score]]</f>
        <v>12</v>
      </c>
      <c r="O620" s="1">
        <f>Table1[[#This Row],[Losing Seed]]-Table1[[#This Row],[Winning Seed]]</f>
        <v>1</v>
      </c>
      <c r="P620" s="1" t="str">
        <f>IF(Table1[[#This Row],[SeD]]&lt;-2,Table1[[#This Row],[Winning Seed]]&amp; " over " &amp;Table1[[#This Row],[Losing Seed]],"")</f>
        <v/>
      </c>
      <c r="Q620">
        <f>VLOOKUP(Table1[[#This Row],[Losing Seed]],'Seed History'!$N$4:$O$19,2)</f>
        <v>1.8472222222222223</v>
      </c>
      <c r="R620" s="1">
        <f>IF(Table1[[#This Row],[Round]]="PI",0,Table1[[#This Row],[Round]]-1)</f>
        <v>2</v>
      </c>
      <c r="S620">
        <f>Table1[[#This Row],[LAW]]-Table1[[#This Row],[LEW]]</f>
        <v>0.15277777777777768</v>
      </c>
    </row>
    <row r="621" spans="1:19" x14ac:dyDescent="0.25">
      <c r="A621" s="66">
        <v>34418</v>
      </c>
      <c r="B621" s="51">
        <f>YEAR(Table1[[#This Row],[Date]])</f>
        <v>1994</v>
      </c>
      <c r="C621" s="1">
        <v>3</v>
      </c>
      <c r="D621" t="s">
        <v>439</v>
      </c>
      <c r="E621" s="1">
        <v>1</v>
      </c>
      <c r="F621" t="s">
        <v>41</v>
      </c>
      <c r="G621" t="str">
        <f>VLOOKUP(Table1[[#This Row],[Winner]],Ranking!C:D,2,FALSE)</f>
        <v>SEC</v>
      </c>
      <c r="H621" s="1">
        <v>103</v>
      </c>
      <c r="I621" s="1">
        <v>12</v>
      </c>
      <c r="J621" t="s">
        <v>94</v>
      </c>
      <c r="K621" t="str">
        <f>VLOOKUP(Table1[[#This Row],[Loser]],Ranking!C:D,2,FALSE)</f>
        <v>Amer</v>
      </c>
      <c r="L621" s="1">
        <v>84</v>
      </c>
      <c r="N621" s="1">
        <f>Table1[[#This Row],[Winning Score]]-Table1[[#This Row],[Losing Score]]</f>
        <v>19</v>
      </c>
      <c r="O621" s="1">
        <f>Table1[[#This Row],[Losing Seed]]-Table1[[#This Row],[Winning Seed]]</f>
        <v>11</v>
      </c>
      <c r="P621" s="1" t="str">
        <f>IF(Table1[[#This Row],[SeD]]&lt;-2,Table1[[#This Row],[Winning Seed]]&amp; " over " &amp;Table1[[#This Row],[Losing Seed]],"")</f>
        <v/>
      </c>
      <c r="Q621">
        <f>VLOOKUP(Table1[[#This Row],[Losing Seed]],'Seed History'!$N$4:$O$19,2)</f>
        <v>0.52083333333333337</v>
      </c>
      <c r="R621" s="1">
        <f>IF(Table1[[#This Row],[Round]]="PI",0,Table1[[#This Row],[Round]]-1)</f>
        <v>2</v>
      </c>
      <c r="S621">
        <f>Table1[[#This Row],[LAW]]-Table1[[#This Row],[LEW]]</f>
        <v>1.4791666666666665</v>
      </c>
    </row>
    <row r="622" spans="1:19" x14ac:dyDescent="0.25">
      <c r="A622" s="66">
        <v>34418</v>
      </c>
      <c r="B622" s="51">
        <f>YEAR(Table1[[#This Row],[Date]])</f>
        <v>1994</v>
      </c>
      <c r="C622" s="1">
        <v>3</v>
      </c>
      <c r="D622" t="s">
        <v>439</v>
      </c>
      <c r="E622" s="1">
        <v>3</v>
      </c>
      <c r="F622" t="s">
        <v>82</v>
      </c>
      <c r="G622" t="str">
        <f>VLOOKUP(Table1[[#This Row],[Winner]],Ranking!C:D,2,FALSE)</f>
        <v>B10</v>
      </c>
      <c r="H622" s="1">
        <v>78</v>
      </c>
      <c r="I622" s="1">
        <v>10</v>
      </c>
      <c r="J622" t="s">
        <v>31</v>
      </c>
      <c r="K622" t="str">
        <f>VLOOKUP(Table1[[#This Row],[Loser]],Ranking!C:D,2,FALSE)</f>
        <v>B10</v>
      </c>
      <c r="L622" s="1">
        <v>71</v>
      </c>
      <c r="N622" s="1">
        <f>Table1[[#This Row],[Winning Score]]-Table1[[#This Row],[Losing Score]]</f>
        <v>7</v>
      </c>
      <c r="O622" s="1">
        <f>Table1[[#This Row],[Losing Seed]]-Table1[[#This Row],[Winning Seed]]</f>
        <v>7</v>
      </c>
      <c r="P622" s="1" t="str">
        <f>IF(Table1[[#This Row],[SeD]]&lt;-2,Table1[[#This Row],[Winning Seed]]&amp; " over " &amp;Table1[[#This Row],[Losing Seed]],"")</f>
        <v/>
      </c>
      <c r="Q622">
        <f>VLOOKUP(Table1[[#This Row],[Losing Seed]],'Seed History'!$N$4:$O$19,2)</f>
        <v>0.61805555555555558</v>
      </c>
      <c r="R622" s="1">
        <f>IF(Table1[[#This Row],[Round]]="PI",0,Table1[[#This Row],[Round]]-1)</f>
        <v>2</v>
      </c>
      <c r="S622">
        <f>Table1[[#This Row],[LAW]]-Table1[[#This Row],[LEW]]</f>
        <v>1.3819444444444444</v>
      </c>
    </row>
    <row r="623" spans="1:19" x14ac:dyDescent="0.25">
      <c r="A623" s="66">
        <v>34418</v>
      </c>
      <c r="B623" s="51">
        <f>YEAR(Table1[[#This Row],[Date]])</f>
        <v>1994</v>
      </c>
      <c r="C623" s="1">
        <v>3</v>
      </c>
      <c r="D623" t="s">
        <v>49</v>
      </c>
      <c r="E623" s="1">
        <v>9</v>
      </c>
      <c r="F623" t="s">
        <v>138</v>
      </c>
      <c r="G623" t="str">
        <f>VLOOKUP(Table1[[#This Row],[Winner]],Ranking!C:D,2,FALSE)</f>
        <v>ACC</v>
      </c>
      <c r="H623" s="1">
        <v>77</v>
      </c>
      <c r="I623" s="1">
        <v>5</v>
      </c>
      <c r="J623" t="s">
        <v>36</v>
      </c>
      <c r="K623" t="str">
        <f>VLOOKUP(Table1[[#This Row],[Loser]],Ranking!C:D,2,FALSE)</f>
        <v>B10</v>
      </c>
      <c r="L623" s="1">
        <v>68</v>
      </c>
      <c r="N623" s="1">
        <f>Table1[[#This Row],[Winning Score]]-Table1[[#This Row],[Losing Score]]</f>
        <v>9</v>
      </c>
      <c r="O623" s="1">
        <f>Table1[[#This Row],[Losing Seed]]-Table1[[#This Row],[Winning Seed]]</f>
        <v>-4</v>
      </c>
      <c r="P623" s="1" t="str">
        <f>IF(Table1[[#This Row],[SeD]]&lt;-2,Table1[[#This Row],[Winning Seed]]&amp; " over " &amp;Table1[[#This Row],[Losing Seed]],"")</f>
        <v>9 over 5</v>
      </c>
      <c r="Q623">
        <f>VLOOKUP(Table1[[#This Row],[Losing Seed]],'Seed History'!$N$4:$O$19,2)</f>
        <v>1.1180555555555556</v>
      </c>
      <c r="R623" s="1">
        <f>IF(Table1[[#This Row],[Round]]="PI",0,Table1[[#This Row],[Round]]-1)</f>
        <v>2</v>
      </c>
      <c r="S623">
        <f>Table1[[#This Row],[LAW]]-Table1[[#This Row],[LEW]]</f>
        <v>0.88194444444444442</v>
      </c>
    </row>
    <row r="624" spans="1:19" x14ac:dyDescent="0.25">
      <c r="A624" s="66">
        <v>34418</v>
      </c>
      <c r="B624" s="51">
        <f>YEAR(Table1[[#This Row],[Date]])</f>
        <v>1994</v>
      </c>
      <c r="C624" s="1">
        <v>3</v>
      </c>
      <c r="D624" t="s">
        <v>49</v>
      </c>
      <c r="E624" s="1">
        <v>3</v>
      </c>
      <c r="F624" t="s">
        <v>81</v>
      </c>
      <c r="G624" t="str">
        <f>VLOOKUP(Table1[[#This Row],[Winner]],Ranking!C:D,2,FALSE)</f>
        <v>SEC</v>
      </c>
      <c r="H624" s="1">
        <v>69</v>
      </c>
      <c r="I624" s="1">
        <v>2</v>
      </c>
      <c r="J624" t="s">
        <v>80</v>
      </c>
      <c r="K624" t="str">
        <f>VLOOKUP(Table1[[#This Row],[Loser]],Ranking!C:D,2,FALSE)</f>
        <v>BE</v>
      </c>
      <c r="L624" s="1">
        <v>60</v>
      </c>
      <c r="M624" s="1" t="s">
        <v>462</v>
      </c>
      <c r="N624" s="1">
        <f>Table1[[#This Row],[Winning Score]]-Table1[[#This Row],[Losing Score]]</f>
        <v>9</v>
      </c>
      <c r="O624" s="1">
        <f>Table1[[#This Row],[Losing Seed]]-Table1[[#This Row],[Winning Seed]]</f>
        <v>-1</v>
      </c>
      <c r="P624" s="1" t="str">
        <f>IF(Table1[[#This Row],[SeD]]&lt;-2,Table1[[#This Row],[Winning Seed]]&amp; " over " &amp;Table1[[#This Row],[Losing Seed]],"")</f>
        <v/>
      </c>
      <c r="Q624">
        <f>VLOOKUP(Table1[[#This Row],[Losing Seed]],'Seed History'!$N$4:$O$19,2)</f>
        <v>2.3472222222222223</v>
      </c>
      <c r="R624" s="1">
        <f>IF(Table1[[#This Row],[Round]]="PI",0,Table1[[#This Row],[Round]]-1)</f>
        <v>2</v>
      </c>
      <c r="S624">
        <f>Table1[[#This Row],[LAW]]-Table1[[#This Row],[LEW]]</f>
        <v>-0.34722222222222232</v>
      </c>
    </row>
    <row r="625" spans="1:19" x14ac:dyDescent="0.25">
      <c r="A625" s="66">
        <v>34419</v>
      </c>
      <c r="B625" s="51">
        <f>YEAR(Table1[[#This Row],[Date]])</f>
        <v>1994</v>
      </c>
      <c r="C625" s="1">
        <v>4</v>
      </c>
      <c r="D625" t="s">
        <v>461</v>
      </c>
      <c r="E625" s="1">
        <v>2</v>
      </c>
      <c r="F625" t="s">
        <v>64</v>
      </c>
      <c r="G625" t="str">
        <f>VLOOKUP(Table1[[#This Row],[Winner]],Ranking!C:D,2,FALSE)</f>
        <v>ACC</v>
      </c>
      <c r="H625" s="1">
        <v>69</v>
      </c>
      <c r="I625" s="1">
        <v>1</v>
      </c>
      <c r="J625" t="s">
        <v>29</v>
      </c>
      <c r="K625" t="str">
        <f>VLOOKUP(Table1[[#This Row],[Loser]],Ranking!C:D,2,FALSE)</f>
        <v>B10</v>
      </c>
      <c r="L625" s="1">
        <v>60</v>
      </c>
      <c r="N625" s="1">
        <f>Table1[[#This Row],[Winning Score]]-Table1[[#This Row],[Losing Score]]</f>
        <v>9</v>
      </c>
      <c r="O625" s="1">
        <f>Table1[[#This Row],[Losing Seed]]-Table1[[#This Row],[Winning Seed]]</f>
        <v>-1</v>
      </c>
      <c r="P625" s="1" t="str">
        <f>IF(Table1[[#This Row],[SeD]]&lt;-2,Table1[[#This Row],[Winning Seed]]&amp; " over " &amp;Table1[[#This Row],[Losing Seed]],"")</f>
        <v/>
      </c>
      <c r="Q625">
        <f>VLOOKUP(Table1[[#This Row],[Losing Seed]],'Seed History'!$N$4:$O$19,2)</f>
        <v>3.3263888888888888</v>
      </c>
      <c r="R625" s="1">
        <f>IF(Table1[[#This Row],[Round]]="PI",0,Table1[[#This Row],[Round]]-1)</f>
        <v>3</v>
      </c>
      <c r="S625">
        <f>Table1[[#This Row],[LAW]]-Table1[[#This Row],[LEW]]</f>
        <v>-0.32638888888888884</v>
      </c>
    </row>
    <row r="626" spans="1:19" x14ac:dyDescent="0.25">
      <c r="A626" s="66">
        <v>34419</v>
      </c>
      <c r="B626" s="51">
        <f>YEAR(Table1[[#This Row],[Date]])</f>
        <v>1994</v>
      </c>
      <c r="C626" s="1">
        <v>4</v>
      </c>
      <c r="D626" t="s">
        <v>38</v>
      </c>
      <c r="E626" s="1">
        <v>2</v>
      </c>
      <c r="F626" t="s">
        <v>48</v>
      </c>
      <c r="G626" t="str">
        <f>VLOOKUP(Table1[[#This Row],[Winner]],Ranking!C:D,2,FALSE)</f>
        <v>P12</v>
      </c>
      <c r="H626" s="1">
        <v>92</v>
      </c>
      <c r="I626" s="1">
        <v>1</v>
      </c>
      <c r="J626" t="s">
        <v>277</v>
      </c>
      <c r="K626" t="str">
        <f>VLOOKUP(Table1[[#This Row],[Loser]],Ranking!C:D,2,FALSE)</f>
        <v>SEC</v>
      </c>
      <c r="L626" s="1">
        <v>72</v>
      </c>
      <c r="N626" s="1">
        <f>Table1[[#This Row],[Winning Score]]-Table1[[#This Row],[Losing Score]]</f>
        <v>20</v>
      </c>
      <c r="O626" s="1">
        <f>Table1[[#This Row],[Losing Seed]]-Table1[[#This Row],[Winning Seed]]</f>
        <v>-1</v>
      </c>
      <c r="P626" s="1" t="str">
        <f>IF(Table1[[#This Row],[SeD]]&lt;-2,Table1[[#This Row],[Winning Seed]]&amp; " over " &amp;Table1[[#This Row],[Losing Seed]],"")</f>
        <v/>
      </c>
      <c r="Q626">
        <f>VLOOKUP(Table1[[#This Row],[Losing Seed]],'Seed History'!$N$4:$O$19,2)</f>
        <v>3.3263888888888888</v>
      </c>
      <c r="R626" s="1">
        <f>IF(Table1[[#This Row],[Round]]="PI",0,Table1[[#This Row],[Round]]-1)</f>
        <v>3</v>
      </c>
      <c r="S626">
        <f>Table1[[#This Row],[LAW]]-Table1[[#This Row],[LEW]]</f>
        <v>-0.32638888888888884</v>
      </c>
    </row>
    <row r="627" spans="1:19" x14ac:dyDescent="0.25">
      <c r="A627" s="66">
        <v>34420</v>
      </c>
      <c r="B627" s="51">
        <f>YEAR(Table1[[#This Row],[Date]])</f>
        <v>1994</v>
      </c>
      <c r="C627" s="1">
        <v>4</v>
      </c>
      <c r="D627" t="s">
        <v>49</v>
      </c>
      <c r="E627" s="1">
        <v>3</v>
      </c>
      <c r="F627" t="s">
        <v>81</v>
      </c>
      <c r="G627" t="str">
        <f>VLOOKUP(Table1[[#This Row],[Winner]],Ranking!C:D,2,FALSE)</f>
        <v>SEC</v>
      </c>
      <c r="H627" s="1">
        <v>74</v>
      </c>
      <c r="I627" s="1">
        <v>9</v>
      </c>
      <c r="J627" t="s">
        <v>138</v>
      </c>
      <c r="K627" t="str">
        <f>VLOOKUP(Table1[[#This Row],[Loser]],Ranking!C:D,2,FALSE)</f>
        <v>ACC</v>
      </c>
      <c r="L627" s="1">
        <v>66</v>
      </c>
      <c r="N627" s="1">
        <f>Table1[[#This Row],[Winning Score]]-Table1[[#This Row],[Losing Score]]</f>
        <v>8</v>
      </c>
      <c r="O627" s="1">
        <f>Table1[[#This Row],[Losing Seed]]-Table1[[#This Row],[Winning Seed]]</f>
        <v>6</v>
      </c>
      <c r="P627" s="1" t="str">
        <f>IF(Table1[[#This Row],[SeD]]&lt;-2,Table1[[#This Row],[Winning Seed]]&amp; " over " &amp;Table1[[#This Row],[Losing Seed]],"")</f>
        <v/>
      </c>
      <c r="Q627">
        <f>VLOOKUP(Table1[[#This Row],[Losing Seed]],'Seed History'!$N$4:$O$19,2)</f>
        <v>0.59027777777777779</v>
      </c>
      <c r="R627" s="1">
        <f>IF(Table1[[#This Row],[Round]]="PI",0,Table1[[#This Row],[Round]]-1)</f>
        <v>3</v>
      </c>
      <c r="S627">
        <f>Table1[[#This Row],[LAW]]-Table1[[#This Row],[LEW]]</f>
        <v>2.4097222222222223</v>
      </c>
    </row>
    <row r="628" spans="1:19" x14ac:dyDescent="0.25">
      <c r="A628" s="66">
        <v>34420</v>
      </c>
      <c r="B628" s="51">
        <f>YEAR(Table1[[#This Row],[Date]])</f>
        <v>1994</v>
      </c>
      <c r="C628" s="1">
        <v>4</v>
      </c>
      <c r="D628" t="s">
        <v>439</v>
      </c>
      <c r="E628" s="1">
        <v>1</v>
      </c>
      <c r="F628" t="s">
        <v>41</v>
      </c>
      <c r="G628" t="str">
        <f>VLOOKUP(Table1[[#This Row],[Winner]],Ranking!C:D,2,FALSE)</f>
        <v>SEC</v>
      </c>
      <c r="H628" s="1">
        <v>76</v>
      </c>
      <c r="I628" s="1">
        <v>3</v>
      </c>
      <c r="J628" t="s">
        <v>82</v>
      </c>
      <c r="K628" t="str">
        <f>VLOOKUP(Table1[[#This Row],[Loser]],Ranking!C:D,2,FALSE)</f>
        <v>B10</v>
      </c>
      <c r="L628" s="1">
        <v>68</v>
      </c>
      <c r="N628" s="1">
        <f>Table1[[#This Row],[Winning Score]]-Table1[[#This Row],[Losing Score]]</f>
        <v>8</v>
      </c>
      <c r="O628" s="1">
        <f>Table1[[#This Row],[Losing Seed]]-Table1[[#This Row],[Winning Seed]]</f>
        <v>2</v>
      </c>
      <c r="P628" s="1" t="str">
        <f>IF(Table1[[#This Row],[SeD]]&lt;-2,Table1[[#This Row],[Winning Seed]]&amp; " over " &amp;Table1[[#This Row],[Losing Seed]],"")</f>
        <v/>
      </c>
      <c r="Q628">
        <f>VLOOKUP(Table1[[#This Row],[Losing Seed]],'Seed History'!$N$4:$O$19,2)</f>
        <v>1.8472222222222223</v>
      </c>
      <c r="R628" s="1">
        <f>IF(Table1[[#This Row],[Round]]="PI",0,Table1[[#This Row],[Round]]-1)</f>
        <v>3</v>
      </c>
      <c r="S628">
        <f>Table1[[#This Row],[LAW]]-Table1[[#This Row],[LEW]]</f>
        <v>1.1527777777777777</v>
      </c>
    </row>
    <row r="629" spans="1:19" x14ac:dyDescent="0.25">
      <c r="A629" s="66">
        <v>34426</v>
      </c>
      <c r="B629" s="51">
        <f>YEAR(Table1[[#This Row],[Date]])</f>
        <v>1994</v>
      </c>
      <c r="C629" s="1">
        <v>5</v>
      </c>
      <c r="D629" t="s">
        <v>467</v>
      </c>
      <c r="E629" s="1">
        <v>1</v>
      </c>
      <c r="F629" t="s">
        <v>41</v>
      </c>
      <c r="G629" t="str">
        <f>VLOOKUP(Table1[[#This Row],[Winner]],Ranking!C:D,2,FALSE)</f>
        <v>SEC</v>
      </c>
      <c r="H629" s="1">
        <v>91</v>
      </c>
      <c r="I629" s="1">
        <v>2</v>
      </c>
      <c r="J629" t="s">
        <v>48</v>
      </c>
      <c r="K629" t="str">
        <f>VLOOKUP(Table1[[#This Row],[Loser]],Ranking!C:D,2,FALSE)</f>
        <v>P12</v>
      </c>
      <c r="L629" s="1">
        <v>82</v>
      </c>
      <c r="N629" s="1">
        <f>Table1[[#This Row],[Winning Score]]-Table1[[#This Row],[Losing Score]]</f>
        <v>9</v>
      </c>
      <c r="O629" s="1">
        <f>Table1[[#This Row],[Losing Seed]]-Table1[[#This Row],[Winning Seed]]</f>
        <v>1</v>
      </c>
      <c r="P629" s="1" t="str">
        <f>IF(Table1[[#This Row],[SeD]]&lt;-2,Table1[[#This Row],[Winning Seed]]&amp; " over " &amp;Table1[[#This Row],[Losing Seed]],"")</f>
        <v/>
      </c>
      <c r="Q629">
        <f>VLOOKUP(Table1[[#This Row],[Losing Seed]],'Seed History'!$N$4:$O$19,2)</f>
        <v>2.3472222222222223</v>
      </c>
      <c r="R629" s="1">
        <f>IF(Table1[[#This Row],[Round]]="PI",0,Table1[[#This Row],[Round]]-1)</f>
        <v>4</v>
      </c>
      <c r="S629">
        <f>Table1[[#This Row],[LAW]]-Table1[[#This Row],[LEW]]</f>
        <v>1.6527777777777777</v>
      </c>
    </row>
    <row r="630" spans="1:19" x14ac:dyDescent="0.25">
      <c r="A630" s="66">
        <v>34426</v>
      </c>
      <c r="B630" s="51">
        <f>YEAR(Table1[[#This Row],[Date]])</f>
        <v>1994</v>
      </c>
      <c r="C630" s="1">
        <v>5</v>
      </c>
      <c r="D630" t="s">
        <v>467</v>
      </c>
      <c r="E630" s="1">
        <v>2</v>
      </c>
      <c r="F630" t="s">
        <v>64</v>
      </c>
      <c r="G630" t="str">
        <f>VLOOKUP(Table1[[#This Row],[Winner]],Ranking!C:D,2,FALSE)</f>
        <v>ACC</v>
      </c>
      <c r="H630" s="1">
        <v>70</v>
      </c>
      <c r="I630" s="1">
        <v>3</v>
      </c>
      <c r="J630" t="s">
        <v>81</v>
      </c>
      <c r="K630" t="str">
        <f>VLOOKUP(Table1[[#This Row],[Loser]],Ranking!C:D,2,FALSE)</f>
        <v>SEC</v>
      </c>
      <c r="L630" s="1">
        <v>65</v>
      </c>
      <c r="N630" s="1">
        <f>Table1[[#This Row],[Winning Score]]-Table1[[#This Row],[Losing Score]]</f>
        <v>5</v>
      </c>
      <c r="O630" s="1">
        <f>Table1[[#This Row],[Losing Seed]]-Table1[[#This Row],[Winning Seed]]</f>
        <v>1</v>
      </c>
      <c r="P630" s="1" t="str">
        <f>IF(Table1[[#This Row],[SeD]]&lt;-2,Table1[[#This Row],[Winning Seed]]&amp; " over " &amp;Table1[[#This Row],[Losing Seed]],"")</f>
        <v/>
      </c>
      <c r="Q630">
        <f>VLOOKUP(Table1[[#This Row],[Losing Seed]],'Seed History'!$N$4:$O$19,2)</f>
        <v>1.8472222222222223</v>
      </c>
      <c r="R630" s="1">
        <f>IF(Table1[[#This Row],[Round]]="PI",0,Table1[[#This Row],[Round]]-1)</f>
        <v>4</v>
      </c>
      <c r="S630">
        <f>Table1[[#This Row],[LAW]]-Table1[[#This Row],[LEW]]</f>
        <v>2.1527777777777777</v>
      </c>
    </row>
    <row r="631" spans="1:19" x14ac:dyDescent="0.25">
      <c r="A631" s="66">
        <v>34428</v>
      </c>
      <c r="B631" s="51">
        <f>YEAR(Table1[[#This Row],[Date]])</f>
        <v>1994</v>
      </c>
      <c r="C631" s="1">
        <v>6</v>
      </c>
      <c r="D631" t="s">
        <v>468</v>
      </c>
      <c r="E631" s="1">
        <v>1</v>
      </c>
      <c r="F631" t="s">
        <v>41</v>
      </c>
      <c r="G631" t="str">
        <f>VLOOKUP(Table1[[#This Row],[Winner]],Ranking!C:D,2,FALSE)</f>
        <v>SEC</v>
      </c>
      <c r="H631" s="1">
        <v>76</v>
      </c>
      <c r="I631" s="1">
        <v>2</v>
      </c>
      <c r="J631" t="s">
        <v>64</v>
      </c>
      <c r="K631" t="str">
        <f>VLOOKUP(Table1[[#This Row],[Loser]],Ranking!C:D,2,FALSE)</f>
        <v>ACC</v>
      </c>
      <c r="L631" s="1">
        <v>72</v>
      </c>
      <c r="N631" s="1">
        <f>Table1[[#This Row],[Winning Score]]-Table1[[#This Row],[Losing Score]]</f>
        <v>4</v>
      </c>
      <c r="O631" s="1">
        <f>Table1[[#This Row],[Losing Seed]]-Table1[[#This Row],[Winning Seed]]</f>
        <v>1</v>
      </c>
      <c r="P631" s="1" t="str">
        <f>IF(Table1[[#This Row],[SeD]]&lt;-2,Table1[[#This Row],[Winning Seed]]&amp; " over " &amp;Table1[[#This Row],[Losing Seed]],"")</f>
        <v/>
      </c>
      <c r="Q631">
        <f>VLOOKUP(Table1[[#This Row],[Losing Seed]],'Seed History'!$N$4:$O$19,2)</f>
        <v>2.3472222222222223</v>
      </c>
      <c r="R631" s="1">
        <f>IF(Table1[[#This Row],[Round]]="PI",0,Table1[[#This Row],[Round]]-1)</f>
        <v>5</v>
      </c>
      <c r="S631">
        <f>Table1[[#This Row],[LAW]]-Table1[[#This Row],[LEW]]</f>
        <v>2.6527777777777777</v>
      </c>
    </row>
    <row r="632" spans="1:19" x14ac:dyDescent="0.25">
      <c r="A632" s="66">
        <v>34774</v>
      </c>
      <c r="B632" s="51">
        <f>YEAR(Table1[[#This Row],[Date]])</f>
        <v>1995</v>
      </c>
      <c r="C632" s="1">
        <v>1</v>
      </c>
      <c r="D632" t="s">
        <v>461</v>
      </c>
      <c r="E632" s="1">
        <v>13</v>
      </c>
      <c r="F632" t="s">
        <v>73</v>
      </c>
      <c r="G632" t="str">
        <f>VLOOKUP(Table1[[#This Row],[Winner]],Ranking!C:D,2,FALSE)</f>
        <v>MAAC</v>
      </c>
      <c r="H632" s="1">
        <v>77</v>
      </c>
      <c r="I632" s="1">
        <v>4</v>
      </c>
      <c r="J632" t="s">
        <v>58</v>
      </c>
      <c r="K632" t="str">
        <f>VLOOKUP(Table1[[#This Row],[Loser]],Ranking!C:D,2,FALSE)</f>
        <v>B12</v>
      </c>
      <c r="L632" s="1">
        <v>67</v>
      </c>
      <c r="N632" s="1">
        <f>Table1[[#This Row],[Winning Score]]-Table1[[#This Row],[Losing Score]]</f>
        <v>10</v>
      </c>
      <c r="O632" s="1">
        <f>Table1[[#This Row],[Losing Seed]]-Table1[[#This Row],[Winning Seed]]</f>
        <v>-9</v>
      </c>
      <c r="P632" s="1" t="str">
        <f>IF(Table1[[#This Row],[SeD]]&lt;-2,Table1[[#This Row],[Winning Seed]]&amp; " over " &amp;Table1[[#This Row],[Losing Seed]],"")</f>
        <v>13 over 4</v>
      </c>
      <c r="Q632">
        <f>VLOOKUP(Table1[[#This Row],[Losing Seed]],'Seed History'!$N$4:$O$19,2)</f>
        <v>1.5208333333333333</v>
      </c>
      <c r="R632" s="1">
        <f>IF(Table1[[#This Row],[Round]]="PI",0,Table1[[#This Row],[Round]]-1)</f>
        <v>0</v>
      </c>
      <c r="S632">
        <f>Table1[[#This Row],[LAW]]-Table1[[#This Row],[LEW]]</f>
        <v>-1.5208333333333333</v>
      </c>
    </row>
    <row r="633" spans="1:19" x14ac:dyDescent="0.25">
      <c r="A633" s="66">
        <v>34774</v>
      </c>
      <c r="B633" s="51">
        <f>YEAR(Table1[[#This Row],[Date]])</f>
        <v>1995</v>
      </c>
      <c r="C633" s="1">
        <v>1</v>
      </c>
      <c r="D633" t="s">
        <v>439</v>
      </c>
      <c r="E633" s="1">
        <v>12</v>
      </c>
      <c r="F633" t="s">
        <v>270</v>
      </c>
      <c r="G633" t="str">
        <f>VLOOKUP(Table1[[#This Row],[Winner]],Ranking!C:D,2,FALSE)</f>
        <v>MAC</v>
      </c>
      <c r="H633" s="1">
        <v>71</v>
      </c>
      <c r="I633" s="1">
        <v>5</v>
      </c>
      <c r="J633" t="s">
        <v>48</v>
      </c>
      <c r="K633" t="str">
        <f>VLOOKUP(Table1[[#This Row],[Loser]],Ranking!C:D,2,FALSE)</f>
        <v>P12</v>
      </c>
      <c r="L633" s="1">
        <v>62</v>
      </c>
      <c r="N633" s="1">
        <f>Table1[[#This Row],[Winning Score]]-Table1[[#This Row],[Losing Score]]</f>
        <v>9</v>
      </c>
      <c r="O633" s="1">
        <f>Table1[[#This Row],[Losing Seed]]-Table1[[#This Row],[Winning Seed]]</f>
        <v>-7</v>
      </c>
      <c r="P633" s="1" t="str">
        <f>IF(Table1[[#This Row],[SeD]]&lt;-2,Table1[[#This Row],[Winning Seed]]&amp; " over " &amp;Table1[[#This Row],[Losing Seed]],"")</f>
        <v>12 over 5</v>
      </c>
      <c r="Q633">
        <f>VLOOKUP(Table1[[#This Row],[Losing Seed]],'Seed History'!$N$4:$O$19,2)</f>
        <v>1.1180555555555556</v>
      </c>
      <c r="R633" s="1">
        <f>IF(Table1[[#This Row],[Round]]="PI",0,Table1[[#This Row],[Round]]-1)</f>
        <v>0</v>
      </c>
      <c r="S633">
        <f>Table1[[#This Row],[LAW]]-Table1[[#This Row],[LEW]]</f>
        <v>-1.1180555555555556</v>
      </c>
    </row>
    <row r="634" spans="1:19" x14ac:dyDescent="0.25">
      <c r="A634" s="66">
        <v>34774</v>
      </c>
      <c r="B634" s="51">
        <f>YEAR(Table1[[#This Row],[Date]])</f>
        <v>1995</v>
      </c>
      <c r="C634" s="1">
        <v>1</v>
      </c>
      <c r="D634" t="s">
        <v>49</v>
      </c>
      <c r="E634" s="1">
        <v>1</v>
      </c>
      <c r="F634" t="s">
        <v>408</v>
      </c>
      <c r="G634" t="str">
        <f>VLOOKUP(Table1[[#This Row],[Winner]],Ranking!C:D,2,FALSE)</f>
        <v>ACC</v>
      </c>
      <c r="H634" s="1">
        <v>79</v>
      </c>
      <c r="I634" s="1">
        <v>16</v>
      </c>
      <c r="J634" t="s">
        <v>299</v>
      </c>
      <c r="K634" t="str">
        <f>VLOOKUP(Table1[[#This Row],[Loser]],Ranking!C:D,2,FALSE)</f>
        <v>MEAC</v>
      </c>
      <c r="L634" s="1">
        <v>47</v>
      </c>
      <c r="N634" s="1">
        <f>Table1[[#This Row],[Winning Score]]-Table1[[#This Row],[Losing Score]]</f>
        <v>32</v>
      </c>
      <c r="O634" s="1">
        <f>Table1[[#This Row],[Losing Seed]]-Table1[[#This Row],[Winning Seed]]</f>
        <v>15</v>
      </c>
      <c r="P634" s="1" t="str">
        <f>IF(Table1[[#This Row],[SeD]]&lt;-2,Table1[[#This Row],[Winning Seed]]&amp; " over " &amp;Table1[[#This Row],[Losing Seed]],"")</f>
        <v/>
      </c>
      <c r="Q634">
        <f>VLOOKUP(Table1[[#This Row],[Losing Seed]],'Seed History'!$N$4:$O$19,2)</f>
        <v>6.9444444444444441E-3</v>
      </c>
      <c r="R634" s="1">
        <f>IF(Table1[[#This Row],[Round]]="PI",0,Table1[[#This Row],[Round]]-1)</f>
        <v>0</v>
      </c>
      <c r="S634">
        <f>Table1[[#This Row],[LAW]]-Table1[[#This Row],[LEW]]</f>
        <v>-6.9444444444444441E-3</v>
      </c>
    </row>
    <row r="635" spans="1:19" x14ac:dyDescent="0.25">
      <c r="A635" s="66">
        <v>34774</v>
      </c>
      <c r="B635" s="51">
        <f>YEAR(Table1[[#This Row],[Date]])</f>
        <v>1995</v>
      </c>
      <c r="C635" s="1">
        <v>1</v>
      </c>
      <c r="D635" t="s">
        <v>49</v>
      </c>
      <c r="E635" s="1">
        <v>4</v>
      </c>
      <c r="F635" t="s">
        <v>316</v>
      </c>
      <c r="G635" t="str">
        <f>VLOOKUP(Table1[[#This Row],[Winner]],Ranking!C:D,2,FALSE)</f>
        <v>B12</v>
      </c>
      <c r="H635" s="1">
        <v>73</v>
      </c>
      <c r="I635" s="1">
        <v>13</v>
      </c>
      <c r="J635" t="s">
        <v>189</v>
      </c>
      <c r="K635" t="str">
        <f>VLOOKUP(Table1[[#This Row],[Loser]],Ranking!C:D,2,FALSE)</f>
        <v>CAA</v>
      </c>
      <c r="L635" s="1">
        <v>49</v>
      </c>
      <c r="N635" s="1">
        <f>Table1[[#This Row],[Winning Score]]-Table1[[#This Row],[Losing Score]]</f>
        <v>24</v>
      </c>
      <c r="O635" s="1">
        <f>Table1[[#This Row],[Losing Seed]]-Table1[[#This Row],[Winning Seed]]</f>
        <v>9</v>
      </c>
      <c r="P635" s="1" t="str">
        <f>IF(Table1[[#This Row],[SeD]]&lt;-2,Table1[[#This Row],[Winning Seed]]&amp; " over " &amp;Table1[[#This Row],[Losing Seed]],"")</f>
        <v/>
      </c>
      <c r="Q635">
        <f>VLOOKUP(Table1[[#This Row],[Losing Seed]],'Seed History'!$N$4:$O$19,2)</f>
        <v>0.25694444444444442</v>
      </c>
      <c r="R635" s="1">
        <f>IF(Table1[[#This Row],[Round]]="PI",0,Table1[[#This Row],[Round]]-1)</f>
        <v>0</v>
      </c>
      <c r="S635">
        <f>Table1[[#This Row],[LAW]]-Table1[[#This Row],[LEW]]</f>
        <v>-0.25694444444444442</v>
      </c>
    </row>
    <row r="636" spans="1:19" x14ac:dyDescent="0.25">
      <c r="A636" s="66">
        <v>34774</v>
      </c>
      <c r="B636" s="51">
        <f>YEAR(Table1[[#This Row],[Date]])</f>
        <v>1995</v>
      </c>
      <c r="C636" s="1">
        <v>1</v>
      </c>
      <c r="D636" t="s">
        <v>49</v>
      </c>
      <c r="E636" s="1">
        <v>5</v>
      </c>
      <c r="F636" t="s">
        <v>113</v>
      </c>
      <c r="G636" t="str">
        <f>VLOOKUP(Table1[[#This Row],[Winner]],Ranking!C:D,2,FALSE)</f>
        <v>SEC</v>
      </c>
      <c r="H636" s="1">
        <v>91</v>
      </c>
      <c r="I636" s="1">
        <v>12</v>
      </c>
      <c r="J636" t="s">
        <v>321</v>
      </c>
      <c r="K636" t="str">
        <f>VLOOKUP(Table1[[#This Row],[Loser]],Ranking!C:D,2,FALSE)</f>
        <v>Ivy</v>
      </c>
      <c r="L636" s="1">
        <v>85</v>
      </c>
      <c r="M636" s="1" t="s">
        <v>462</v>
      </c>
      <c r="N636" s="1">
        <f>Table1[[#This Row],[Winning Score]]-Table1[[#This Row],[Losing Score]]</f>
        <v>6</v>
      </c>
      <c r="O636" s="1">
        <f>Table1[[#This Row],[Losing Seed]]-Table1[[#This Row],[Winning Seed]]</f>
        <v>7</v>
      </c>
      <c r="P636" s="1" t="str">
        <f>IF(Table1[[#This Row],[SeD]]&lt;-2,Table1[[#This Row],[Winning Seed]]&amp; " over " &amp;Table1[[#This Row],[Losing Seed]],"")</f>
        <v/>
      </c>
      <c r="Q636">
        <f>VLOOKUP(Table1[[#This Row],[Losing Seed]],'Seed History'!$N$4:$O$19,2)</f>
        <v>0.52083333333333337</v>
      </c>
      <c r="R636" s="1">
        <f>IF(Table1[[#This Row],[Round]]="PI",0,Table1[[#This Row],[Round]]-1)</f>
        <v>0</v>
      </c>
      <c r="S636">
        <f>Table1[[#This Row],[LAW]]-Table1[[#This Row],[LEW]]</f>
        <v>-0.52083333333333337</v>
      </c>
    </row>
    <row r="637" spans="1:19" x14ac:dyDescent="0.25">
      <c r="A637" s="66">
        <v>34774</v>
      </c>
      <c r="B637" s="51">
        <f>YEAR(Table1[[#This Row],[Date]])</f>
        <v>1995</v>
      </c>
      <c r="C637" s="1">
        <v>1</v>
      </c>
      <c r="D637" t="s">
        <v>439</v>
      </c>
      <c r="E637" s="1">
        <v>1</v>
      </c>
      <c r="F637" t="s">
        <v>37</v>
      </c>
      <c r="G637" t="str">
        <f>VLOOKUP(Table1[[#This Row],[Winner]],Ranking!C:D,2,FALSE)</f>
        <v>B12</v>
      </c>
      <c r="H637" s="1">
        <v>82</v>
      </c>
      <c r="I637" s="1">
        <v>16</v>
      </c>
      <c r="J637" t="s">
        <v>174</v>
      </c>
      <c r="K637" t="str">
        <f>VLOOKUP(Table1[[#This Row],[Loser]],Ranking!C:D,2,FALSE)</f>
        <v>Pat</v>
      </c>
      <c r="L637" s="1">
        <v>68</v>
      </c>
      <c r="N637" s="1">
        <f>Table1[[#This Row],[Winning Score]]-Table1[[#This Row],[Losing Score]]</f>
        <v>14</v>
      </c>
      <c r="O637" s="1">
        <f>Table1[[#This Row],[Losing Seed]]-Table1[[#This Row],[Winning Seed]]</f>
        <v>15</v>
      </c>
      <c r="P637" s="1" t="str">
        <f>IF(Table1[[#This Row],[SeD]]&lt;-2,Table1[[#This Row],[Winning Seed]]&amp; " over " &amp;Table1[[#This Row],[Losing Seed]],"")</f>
        <v/>
      </c>
      <c r="Q637">
        <f>VLOOKUP(Table1[[#This Row],[Losing Seed]],'Seed History'!$N$4:$O$19,2)</f>
        <v>6.9444444444444441E-3</v>
      </c>
      <c r="R637" s="1">
        <f>IF(Table1[[#This Row],[Round]]="PI",0,Table1[[#This Row],[Round]]-1)</f>
        <v>0</v>
      </c>
      <c r="S637">
        <f>Table1[[#This Row],[LAW]]-Table1[[#This Row],[LEW]]</f>
        <v>-6.9444444444444441E-3</v>
      </c>
    </row>
    <row r="638" spans="1:19" x14ac:dyDescent="0.25">
      <c r="A638" s="66">
        <v>34774</v>
      </c>
      <c r="B638" s="51">
        <f>YEAR(Table1[[#This Row],[Date]])</f>
        <v>1995</v>
      </c>
      <c r="C638" s="1">
        <v>1</v>
      </c>
      <c r="D638" t="s">
        <v>439</v>
      </c>
      <c r="E638" s="1">
        <v>4</v>
      </c>
      <c r="F638" t="s">
        <v>61</v>
      </c>
      <c r="G638" t="str">
        <f>VLOOKUP(Table1[[#This Row],[Winner]],Ranking!C:D,2,FALSE)</f>
        <v>ACC</v>
      </c>
      <c r="H638" s="1">
        <v>96</v>
      </c>
      <c r="I638" s="1">
        <v>13</v>
      </c>
      <c r="J638" t="s">
        <v>295</v>
      </c>
      <c r="K638" t="str">
        <f>VLOOKUP(Table1[[#This Row],[Loser]],Ranking!C:D,2,FALSE)</f>
        <v>Slnd</v>
      </c>
      <c r="L638" s="1">
        <v>72</v>
      </c>
      <c r="N638" s="1">
        <f>Table1[[#This Row],[Winning Score]]-Table1[[#This Row],[Losing Score]]</f>
        <v>24</v>
      </c>
      <c r="O638" s="1">
        <f>Table1[[#This Row],[Losing Seed]]-Table1[[#This Row],[Winning Seed]]</f>
        <v>9</v>
      </c>
      <c r="P638" s="1" t="str">
        <f>IF(Table1[[#This Row],[SeD]]&lt;-2,Table1[[#This Row],[Winning Seed]]&amp; " over " &amp;Table1[[#This Row],[Losing Seed]],"")</f>
        <v/>
      </c>
      <c r="Q638">
        <f>VLOOKUP(Table1[[#This Row],[Losing Seed]],'Seed History'!$N$4:$O$19,2)</f>
        <v>0.25694444444444442</v>
      </c>
      <c r="R638" s="1">
        <f>IF(Table1[[#This Row],[Round]]="PI",0,Table1[[#This Row],[Round]]-1)</f>
        <v>0</v>
      </c>
      <c r="S638">
        <f>Table1[[#This Row],[LAW]]-Table1[[#This Row],[LEW]]</f>
        <v>-0.25694444444444442</v>
      </c>
    </row>
    <row r="639" spans="1:19" x14ac:dyDescent="0.25">
      <c r="A639" s="66">
        <v>34774</v>
      </c>
      <c r="B639" s="51">
        <f>YEAR(Table1[[#This Row],[Date]])</f>
        <v>1995</v>
      </c>
      <c r="C639" s="1">
        <v>1</v>
      </c>
      <c r="D639" t="s">
        <v>439</v>
      </c>
      <c r="E639" s="1">
        <v>8</v>
      </c>
      <c r="F639" t="s">
        <v>415</v>
      </c>
      <c r="G639" t="str">
        <f>VLOOKUP(Table1[[#This Row],[Winner]],Ranking!C:D,2,FALSE)</f>
        <v>CUSA</v>
      </c>
      <c r="H639" s="1">
        <v>82</v>
      </c>
      <c r="I639" s="1">
        <v>9</v>
      </c>
      <c r="J639" t="s">
        <v>82</v>
      </c>
      <c r="K639" t="str">
        <f>VLOOKUP(Table1[[#This Row],[Loser]],Ranking!C:D,2,FALSE)</f>
        <v>B10</v>
      </c>
      <c r="L639" s="1">
        <v>76</v>
      </c>
      <c r="M639" s="1" t="s">
        <v>462</v>
      </c>
      <c r="N639" s="1">
        <f>Table1[[#This Row],[Winning Score]]-Table1[[#This Row],[Losing Score]]</f>
        <v>6</v>
      </c>
      <c r="O639" s="1">
        <f>Table1[[#This Row],[Losing Seed]]-Table1[[#This Row],[Winning Seed]]</f>
        <v>1</v>
      </c>
      <c r="P639" s="1" t="str">
        <f>IF(Table1[[#This Row],[SeD]]&lt;-2,Table1[[#This Row],[Winning Seed]]&amp; " over " &amp;Table1[[#This Row],[Losing Seed]],"")</f>
        <v/>
      </c>
      <c r="Q639">
        <f>VLOOKUP(Table1[[#This Row],[Losing Seed]],'Seed History'!$N$4:$O$19,2)</f>
        <v>0.59027777777777779</v>
      </c>
      <c r="R639" s="1">
        <f>IF(Table1[[#This Row],[Round]]="PI",0,Table1[[#This Row],[Round]]-1)</f>
        <v>0</v>
      </c>
      <c r="S639">
        <f>Table1[[#This Row],[LAW]]-Table1[[#This Row],[LEW]]</f>
        <v>-0.59027777777777779</v>
      </c>
    </row>
    <row r="640" spans="1:19" x14ac:dyDescent="0.25">
      <c r="A640" s="66">
        <v>34774</v>
      </c>
      <c r="B640" s="51">
        <f>YEAR(Table1[[#This Row],[Date]])</f>
        <v>1995</v>
      </c>
      <c r="C640" s="1">
        <v>1</v>
      </c>
      <c r="D640" t="s">
        <v>461</v>
      </c>
      <c r="E640" s="1">
        <v>1</v>
      </c>
      <c r="F640" t="s">
        <v>26</v>
      </c>
      <c r="G640" t="str">
        <f>VLOOKUP(Table1[[#This Row],[Winner]],Ranking!C:D,2,FALSE)</f>
        <v>SEC</v>
      </c>
      <c r="H640" s="1">
        <v>113</v>
      </c>
      <c r="I640" s="1">
        <v>16</v>
      </c>
      <c r="J640" t="s">
        <v>284</v>
      </c>
      <c r="K640" t="str">
        <f>VLOOKUP(Table1[[#This Row],[Loser]],Ranking!C:D,2,FALSE)</f>
        <v>NEC</v>
      </c>
      <c r="L640" s="1">
        <v>67</v>
      </c>
      <c r="N640" s="1">
        <f>Table1[[#This Row],[Winning Score]]-Table1[[#This Row],[Losing Score]]</f>
        <v>46</v>
      </c>
      <c r="O640" s="1">
        <f>Table1[[#This Row],[Losing Seed]]-Table1[[#This Row],[Winning Seed]]</f>
        <v>15</v>
      </c>
      <c r="P640" s="1" t="str">
        <f>IF(Table1[[#This Row],[SeD]]&lt;-2,Table1[[#This Row],[Winning Seed]]&amp; " over " &amp;Table1[[#This Row],[Losing Seed]],"")</f>
        <v/>
      </c>
      <c r="Q640">
        <f>VLOOKUP(Table1[[#This Row],[Losing Seed]],'Seed History'!$N$4:$O$19,2)</f>
        <v>6.9444444444444441E-3</v>
      </c>
      <c r="R640" s="1">
        <f>IF(Table1[[#This Row],[Round]]="PI",0,Table1[[#This Row],[Round]]-1)</f>
        <v>0</v>
      </c>
      <c r="S640">
        <f>Table1[[#This Row],[LAW]]-Table1[[#This Row],[LEW]]</f>
        <v>-6.9444444444444441E-3</v>
      </c>
    </row>
    <row r="641" spans="1:19" x14ac:dyDescent="0.25">
      <c r="A641" s="66">
        <v>34774</v>
      </c>
      <c r="B641" s="51">
        <f>YEAR(Table1[[#This Row],[Date]])</f>
        <v>1995</v>
      </c>
      <c r="C641" s="1">
        <v>1</v>
      </c>
      <c r="D641" t="s">
        <v>461</v>
      </c>
      <c r="E641" s="1">
        <v>5</v>
      </c>
      <c r="F641" t="s">
        <v>125</v>
      </c>
      <c r="G641" t="str">
        <f>VLOOKUP(Table1[[#This Row],[Winner]],Ranking!C:D,2,FALSE)</f>
        <v>P12</v>
      </c>
      <c r="H641" s="1">
        <v>81</v>
      </c>
      <c r="I641" s="1">
        <v>12</v>
      </c>
      <c r="J641" t="s">
        <v>132</v>
      </c>
      <c r="K641" t="str">
        <f>VLOOKUP(Table1[[#This Row],[Loser]],Ranking!C:D,2,FALSE)</f>
        <v>MAC</v>
      </c>
      <c r="L641" s="1">
        <v>66</v>
      </c>
      <c r="N641" s="1">
        <f>Table1[[#This Row],[Winning Score]]-Table1[[#This Row],[Losing Score]]</f>
        <v>15</v>
      </c>
      <c r="O641" s="1">
        <f>Table1[[#This Row],[Losing Seed]]-Table1[[#This Row],[Winning Seed]]</f>
        <v>7</v>
      </c>
      <c r="P641" s="1" t="str">
        <f>IF(Table1[[#This Row],[SeD]]&lt;-2,Table1[[#This Row],[Winning Seed]]&amp; " over " &amp;Table1[[#This Row],[Losing Seed]],"")</f>
        <v/>
      </c>
      <c r="Q641">
        <f>VLOOKUP(Table1[[#This Row],[Losing Seed]],'Seed History'!$N$4:$O$19,2)</f>
        <v>0.52083333333333337</v>
      </c>
      <c r="R641" s="1">
        <f>IF(Table1[[#This Row],[Round]]="PI",0,Table1[[#This Row],[Round]]-1)</f>
        <v>0</v>
      </c>
      <c r="S641">
        <f>Table1[[#This Row],[LAW]]-Table1[[#This Row],[LEW]]</f>
        <v>-0.52083333333333337</v>
      </c>
    </row>
    <row r="642" spans="1:19" x14ac:dyDescent="0.25">
      <c r="A642" s="66">
        <v>34774</v>
      </c>
      <c r="B642" s="51">
        <f>YEAR(Table1[[#This Row],[Date]])</f>
        <v>1995</v>
      </c>
      <c r="C642" s="1">
        <v>1</v>
      </c>
      <c r="D642" t="s">
        <v>38</v>
      </c>
      <c r="E642" s="1">
        <v>2</v>
      </c>
      <c r="F642" t="s">
        <v>80</v>
      </c>
      <c r="G642" t="str">
        <f>VLOOKUP(Table1[[#This Row],[Winner]],Ranking!C:D,2,FALSE)</f>
        <v>BE</v>
      </c>
      <c r="H642" s="1">
        <v>100</v>
      </c>
      <c r="I642" s="1">
        <v>15</v>
      </c>
      <c r="J642" t="s">
        <v>167</v>
      </c>
      <c r="K642" t="str">
        <f>VLOOKUP(Table1[[#This Row],[Loser]],Ranking!C:D,2,FALSE)</f>
        <v>SC</v>
      </c>
      <c r="L642" s="1">
        <v>71</v>
      </c>
      <c r="N642" s="1">
        <f>Table1[[#This Row],[Winning Score]]-Table1[[#This Row],[Losing Score]]</f>
        <v>29</v>
      </c>
      <c r="O642" s="1">
        <f>Table1[[#This Row],[Losing Seed]]-Table1[[#This Row],[Winning Seed]]</f>
        <v>13</v>
      </c>
      <c r="P642" s="1" t="str">
        <f>IF(Table1[[#This Row],[SeD]]&lt;-2,Table1[[#This Row],[Winning Seed]]&amp; " over " &amp;Table1[[#This Row],[Losing Seed]],"")</f>
        <v/>
      </c>
      <c r="Q642">
        <f>VLOOKUP(Table1[[#This Row],[Losing Seed]],'Seed History'!$N$4:$O$19,2)</f>
        <v>7.6388888888888895E-2</v>
      </c>
      <c r="R642" s="1">
        <f>IF(Table1[[#This Row],[Round]]="PI",0,Table1[[#This Row],[Round]]-1)</f>
        <v>0</v>
      </c>
      <c r="S642">
        <f>Table1[[#This Row],[LAW]]-Table1[[#This Row],[LEW]]</f>
        <v>-7.6388888888888895E-2</v>
      </c>
    </row>
    <row r="643" spans="1:19" x14ac:dyDescent="0.25">
      <c r="A643" s="66">
        <v>34774</v>
      </c>
      <c r="B643" s="51">
        <f>YEAR(Table1[[#This Row],[Date]])</f>
        <v>1995</v>
      </c>
      <c r="C643" s="1">
        <v>1</v>
      </c>
      <c r="D643" t="s">
        <v>38</v>
      </c>
      <c r="E643" s="1">
        <v>3</v>
      </c>
      <c r="F643" t="s">
        <v>31</v>
      </c>
      <c r="G643" t="str">
        <f>VLOOKUP(Table1[[#This Row],[Winner]],Ranking!C:D,2,FALSE)</f>
        <v>B10</v>
      </c>
      <c r="H643" s="1">
        <v>87</v>
      </c>
      <c r="I643" s="1">
        <v>14</v>
      </c>
      <c r="J643" t="s">
        <v>71</v>
      </c>
      <c r="K643" t="str">
        <f>VLOOKUP(Table1[[#This Row],[Loser]],Ranking!C:D,2,FALSE)</f>
        <v>WCC</v>
      </c>
      <c r="L643" s="1">
        <v>63</v>
      </c>
      <c r="N643" s="1">
        <f>Table1[[#This Row],[Winning Score]]-Table1[[#This Row],[Losing Score]]</f>
        <v>24</v>
      </c>
      <c r="O643" s="1">
        <f>Table1[[#This Row],[Losing Seed]]-Table1[[#This Row],[Winning Seed]]</f>
        <v>11</v>
      </c>
      <c r="P643" s="1" t="str">
        <f>IF(Table1[[#This Row],[SeD]]&lt;-2,Table1[[#This Row],[Winning Seed]]&amp; " over " &amp;Table1[[#This Row],[Losing Seed]],"")</f>
        <v/>
      </c>
      <c r="Q643">
        <f>VLOOKUP(Table1[[#This Row],[Losing Seed]],'Seed History'!$N$4:$O$19,2)</f>
        <v>0.16666666666666666</v>
      </c>
      <c r="R643" s="1">
        <f>IF(Table1[[#This Row],[Round]]="PI",0,Table1[[#This Row],[Round]]-1)</f>
        <v>0</v>
      </c>
      <c r="S643">
        <f>Table1[[#This Row],[LAW]]-Table1[[#This Row],[LEW]]</f>
        <v>-0.16666666666666666</v>
      </c>
    </row>
    <row r="644" spans="1:19" x14ac:dyDescent="0.25">
      <c r="A644" s="66">
        <v>34774</v>
      </c>
      <c r="B644" s="51">
        <f>YEAR(Table1[[#This Row],[Date]])</f>
        <v>1995</v>
      </c>
      <c r="C644" s="1">
        <v>1</v>
      </c>
      <c r="D644" t="s">
        <v>38</v>
      </c>
      <c r="E644" s="1">
        <v>7</v>
      </c>
      <c r="F644" t="s">
        <v>28</v>
      </c>
      <c r="G644" t="str">
        <f>VLOOKUP(Table1[[#This Row],[Winner]],Ranking!C:D,2,FALSE)</f>
        <v>Amer</v>
      </c>
      <c r="H644" s="1">
        <v>77</v>
      </c>
      <c r="I644" s="1">
        <v>10</v>
      </c>
      <c r="J644" t="s">
        <v>373</v>
      </c>
      <c r="K644" t="str">
        <f>VLOOKUP(Table1[[#This Row],[Loser]],Ranking!C:D,2,FALSE)</f>
        <v>Amer</v>
      </c>
      <c r="L644" s="1">
        <v>71</v>
      </c>
      <c r="N644" s="1">
        <f>Table1[[#This Row],[Winning Score]]-Table1[[#This Row],[Losing Score]]</f>
        <v>6</v>
      </c>
      <c r="O644" s="1">
        <f>Table1[[#This Row],[Losing Seed]]-Table1[[#This Row],[Winning Seed]]</f>
        <v>3</v>
      </c>
      <c r="P644" s="1" t="str">
        <f>IF(Table1[[#This Row],[SeD]]&lt;-2,Table1[[#This Row],[Winning Seed]]&amp; " over " &amp;Table1[[#This Row],[Losing Seed]],"")</f>
        <v/>
      </c>
      <c r="Q644">
        <f>VLOOKUP(Table1[[#This Row],[Losing Seed]],'Seed History'!$N$4:$O$19,2)</f>
        <v>0.61805555555555558</v>
      </c>
      <c r="R644" s="1">
        <f>IF(Table1[[#This Row],[Round]]="PI",0,Table1[[#This Row],[Round]]-1)</f>
        <v>0</v>
      </c>
      <c r="S644">
        <f>Table1[[#This Row],[LAW]]-Table1[[#This Row],[LEW]]</f>
        <v>-0.61805555555555558</v>
      </c>
    </row>
    <row r="645" spans="1:19" x14ac:dyDescent="0.25">
      <c r="A645" s="66">
        <v>34774</v>
      </c>
      <c r="B645" s="51">
        <f>YEAR(Table1[[#This Row],[Date]])</f>
        <v>1995</v>
      </c>
      <c r="C645" s="1">
        <v>1</v>
      </c>
      <c r="D645" t="s">
        <v>38</v>
      </c>
      <c r="E645" s="1">
        <v>11</v>
      </c>
      <c r="F645" t="s">
        <v>34</v>
      </c>
      <c r="G645" t="str">
        <f>VLOOKUP(Table1[[#This Row],[Winner]],Ranking!C:D,2,FALSE)</f>
        <v>B12</v>
      </c>
      <c r="H645" s="1">
        <v>90</v>
      </c>
      <c r="I645" s="1">
        <v>6</v>
      </c>
      <c r="J645" t="s">
        <v>40</v>
      </c>
      <c r="K645" t="str">
        <f>VLOOKUP(Table1[[#This Row],[Loser]],Ranking!C:D,2,FALSE)</f>
        <v>P12</v>
      </c>
      <c r="L645" s="1">
        <v>73</v>
      </c>
      <c r="N645" s="1">
        <f>Table1[[#This Row],[Winning Score]]-Table1[[#This Row],[Losing Score]]</f>
        <v>17</v>
      </c>
      <c r="O645" s="1">
        <f>Table1[[#This Row],[Losing Seed]]-Table1[[#This Row],[Winning Seed]]</f>
        <v>-5</v>
      </c>
      <c r="P645" s="1" t="str">
        <f>IF(Table1[[#This Row],[SeD]]&lt;-2,Table1[[#This Row],[Winning Seed]]&amp; " over " &amp;Table1[[#This Row],[Losing Seed]],"")</f>
        <v>11 over 6</v>
      </c>
      <c r="Q645">
        <f>VLOOKUP(Table1[[#This Row],[Losing Seed]],'Seed History'!$N$4:$O$19,2)</f>
        <v>1.0625</v>
      </c>
      <c r="R645" s="1">
        <f>IF(Table1[[#This Row],[Round]]="PI",0,Table1[[#This Row],[Round]]-1)</f>
        <v>0</v>
      </c>
      <c r="S645">
        <f>Table1[[#This Row],[LAW]]-Table1[[#This Row],[LEW]]</f>
        <v>-1.0625</v>
      </c>
    </row>
    <row r="646" spans="1:19" x14ac:dyDescent="0.25">
      <c r="A646" s="66">
        <v>34774</v>
      </c>
      <c r="B646" s="51">
        <f>YEAR(Table1[[#This Row],[Date]])</f>
        <v>1995</v>
      </c>
      <c r="C646" s="1">
        <v>1</v>
      </c>
      <c r="D646" t="s">
        <v>49</v>
      </c>
      <c r="E646" s="1">
        <v>9</v>
      </c>
      <c r="F646" t="s">
        <v>338</v>
      </c>
      <c r="G646" t="str">
        <f>VLOOKUP(Table1[[#This Row],[Winner]],Ranking!C:D,2,FALSE)</f>
        <v>A10</v>
      </c>
      <c r="H646" s="1">
        <v>64</v>
      </c>
      <c r="I646" s="1">
        <v>8</v>
      </c>
      <c r="J646" t="s">
        <v>274</v>
      </c>
      <c r="K646" t="str">
        <f>VLOOKUP(Table1[[#This Row],[Loser]],Ranking!C:D,2,FALSE)</f>
        <v>B10</v>
      </c>
      <c r="L646" s="1">
        <v>61</v>
      </c>
      <c r="M646" s="1" t="s">
        <v>462</v>
      </c>
      <c r="N646" s="1">
        <f>Table1[[#This Row],[Winning Score]]-Table1[[#This Row],[Losing Score]]</f>
        <v>3</v>
      </c>
      <c r="O646" s="1">
        <f>Table1[[#This Row],[Losing Seed]]-Table1[[#This Row],[Winning Seed]]</f>
        <v>-1</v>
      </c>
      <c r="P646" s="1" t="str">
        <f>IF(Table1[[#This Row],[SeD]]&lt;-2,Table1[[#This Row],[Winning Seed]]&amp; " over " &amp;Table1[[#This Row],[Losing Seed]],"")</f>
        <v/>
      </c>
      <c r="Q646">
        <f>VLOOKUP(Table1[[#This Row],[Losing Seed]],'Seed History'!$N$4:$O$19,2)</f>
        <v>0.70833333333333337</v>
      </c>
      <c r="R646" s="1">
        <f>IF(Table1[[#This Row],[Round]]="PI",0,Table1[[#This Row],[Round]]-1)</f>
        <v>0</v>
      </c>
      <c r="S646">
        <f>Table1[[#This Row],[LAW]]-Table1[[#This Row],[LEW]]</f>
        <v>-0.70833333333333337</v>
      </c>
    </row>
    <row r="647" spans="1:19" x14ac:dyDescent="0.25">
      <c r="A647" s="66">
        <v>34774</v>
      </c>
      <c r="B647" s="51">
        <f>YEAR(Table1[[#This Row],[Date]])</f>
        <v>1995</v>
      </c>
      <c r="C647" s="1">
        <v>1</v>
      </c>
      <c r="D647" t="s">
        <v>461</v>
      </c>
      <c r="E647" s="1">
        <v>9</v>
      </c>
      <c r="F647" t="s">
        <v>385</v>
      </c>
      <c r="G647" t="str">
        <f>VLOOKUP(Table1[[#This Row],[Winner]],Ranking!C:D,2,FALSE)</f>
        <v>Amer</v>
      </c>
      <c r="H647" s="1">
        <v>76</v>
      </c>
      <c r="I647" s="1">
        <v>8</v>
      </c>
      <c r="J647" t="s">
        <v>72</v>
      </c>
      <c r="K647" t="str">
        <f>VLOOKUP(Table1[[#This Row],[Loser]],Ranking!C:D,2,FALSE)</f>
        <v>WCC</v>
      </c>
      <c r="L647" s="1">
        <v>70</v>
      </c>
      <c r="N647" s="1">
        <f>Table1[[#This Row],[Winning Score]]-Table1[[#This Row],[Losing Score]]</f>
        <v>6</v>
      </c>
      <c r="O647" s="1">
        <f>Table1[[#This Row],[Losing Seed]]-Table1[[#This Row],[Winning Seed]]</f>
        <v>-1</v>
      </c>
      <c r="P647" s="1" t="str">
        <f>IF(Table1[[#This Row],[SeD]]&lt;-2,Table1[[#This Row],[Winning Seed]]&amp; " over " &amp;Table1[[#This Row],[Losing Seed]],"")</f>
        <v/>
      </c>
      <c r="Q647">
        <f>VLOOKUP(Table1[[#This Row],[Losing Seed]],'Seed History'!$N$4:$O$19,2)</f>
        <v>0.70833333333333337</v>
      </c>
      <c r="R647" s="1">
        <f>IF(Table1[[#This Row],[Round]]="PI",0,Table1[[#This Row],[Round]]-1)</f>
        <v>0</v>
      </c>
      <c r="S647">
        <f>Table1[[#This Row],[LAW]]-Table1[[#This Row],[LEW]]</f>
        <v>-0.70833333333333337</v>
      </c>
    </row>
    <row r="648" spans="1:19" x14ac:dyDescent="0.25">
      <c r="A648" s="66">
        <v>34775</v>
      </c>
      <c r="B648" s="51">
        <f>YEAR(Table1[[#This Row],[Date]])</f>
        <v>1995</v>
      </c>
      <c r="C648" s="1">
        <v>1</v>
      </c>
      <c r="D648" t="s">
        <v>49</v>
      </c>
      <c r="E648" s="1">
        <v>14</v>
      </c>
      <c r="F648" t="s">
        <v>317</v>
      </c>
      <c r="G648" t="str">
        <f>VLOOKUP(Table1[[#This Row],[Winner]],Ranking!C:D,2,FALSE)</f>
        <v>CUSA</v>
      </c>
      <c r="H648" s="1">
        <v>89</v>
      </c>
      <c r="I648" s="1">
        <v>3</v>
      </c>
      <c r="J648" t="s">
        <v>50</v>
      </c>
      <c r="K648" t="str">
        <f>VLOOKUP(Table1[[#This Row],[Loser]],Ranking!C:D,2,FALSE)</f>
        <v>BE</v>
      </c>
      <c r="L648" s="1">
        <v>81</v>
      </c>
      <c r="M648" s="1" t="s">
        <v>464</v>
      </c>
      <c r="N648" s="1">
        <f>Table1[[#This Row],[Winning Score]]-Table1[[#This Row],[Losing Score]]</f>
        <v>8</v>
      </c>
      <c r="O648" s="1">
        <f>Table1[[#This Row],[Losing Seed]]-Table1[[#This Row],[Winning Seed]]</f>
        <v>-11</v>
      </c>
      <c r="P648" s="1" t="str">
        <f>IF(Table1[[#This Row],[SeD]]&lt;-2,Table1[[#This Row],[Winning Seed]]&amp; " over " &amp;Table1[[#This Row],[Losing Seed]],"")</f>
        <v>14 over 3</v>
      </c>
      <c r="Q648">
        <f>VLOOKUP(Table1[[#This Row],[Losing Seed]],'Seed History'!$N$4:$O$19,2)</f>
        <v>1.8472222222222223</v>
      </c>
      <c r="R648" s="1">
        <f>IF(Table1[[#This Row],[Round]]="PI",0,Table1[[#This Row],[Round]]-1)</f>
        <v>0</v>
      </c>
      <c r="S648">
        <f>Table1[[#This Row],[LAW]]-Table1[[#This Row],[LEW]]</f>
        <v>-1.8472222222222223</v>
      </c>
    </row>
    <row r="649" spans="1:19" x14ac:dyDescent="0.25">
      <c r="A649" s="66">
        <v>34775</v>
      </c>
      <c r="B649" s="51">
        <f>YEAR(Table1[[#This Row],[Date]])</f>
        <v>1995</v>
      </c>
      <c r="C649" s="1">
        <v>1</v>
      </c>
      <c r="D649" t="s">
        <v>461</v>
      </c>
      <c r="E649" s="1">
        <v>14</v>
      </c>
      <c r="F649" t="s">
        <v>411</v>
      </c>
      <c r="G649" t="str">
        <f>VLOOKUP(Table1[[#This Row],[Winner]],Ranking!C:D,2,FALSE)</f>
        <v>BSky</v>
      </c>
      <c r="H649" s="1">
        <v>79</v>
      </c>
      <c r="I649" s="1">
        <v>3</v>
      </c>
      <c r="J649" t="s">
        <v>271</v>
      </c>
      <c r="K649" t="str">
        <f>VLOOKUP(Table1[[#This Row],[Loser]],Ranking!C:D,2,FALSE)</f>
        <v>B10</v>
      </c>
      <c r="L649" s="1">
        <v>72</v>
      </c>
      <c r="N649" s="1">
        <f>Table1[[#This Row],[Winning Score]]-Table1[[#This Row],[Losing Score]]</f>
        <v>7</v>
      </c>
      <c r="O649" s="1">
        <f>Table1[[#This Row],[Losing Seed]]-Table1[[#This Row],[Winning Seed]]</f>
        <v>-11</v>
      </c>
      <c r="P649" s="1" t="str">
        <f>IF(Table1[[#This Row],[SeD]]&lt;-2,Table1[[#This Row],[Winning Seed]]&amp; " over " &amp;Table1[[#This Row],[Losing Seed]],"")</f>
        <v>14 over 3</v>
      </c>
      <c r="Q649">
        <f>VLOOKUP(Table1[[#This Row],[Losing Seed]],'Seed History'!$N$4:$O$19,2)</f>
        <v>1.8472222222222223</v>
      </c>
      <c r="R649" s="1">
        <f>IF(Table1[[#This Row],[Round]]="PI",0,Table1[[#This Row],[Round]]-1)</f>
        <v>0</v>
      </c>
      <c r="S649">
        <f>Table1[[#This Row],[LAW]]-Table1[[#This Row],[LEW]]</f>
        <v>-1.8472222222222223</v>
      </c>
    </row>
    <row r="650" spans="1:19" x14ac:dyDescent="0.25">
      <c r="A650" s="66">
        <v>34775</v>
      </c>
      <c r="B650" s="51">
        <f>YEAR(Table1[[#This Row],[Date]])</f>
        <v>1995</v>
      </c>
      <c r="C650" s="1">
        <v>1</v>
      </c>
      <c r="D650" t="s">
        <v>49</v>
      </c>
      <c r="E650" s="1">
        <v>2</v>
      </c>
      <c r="F650" t="s">
        <v>265</v>
      </c>
      <c r="G650" t="str">
        <f>VLOOKUP(Table1[[#This Row],[Winner]],Ranking!C:D,2,FALSE)</f>
        <v>A10</v>
      </c>
      <c r="H650" s="1">
        <v>68</v>
      </c>
      <c r="I650" s="1">
        <v>15</v>
      </c>
      <c r="J650" t="s">
        <v>340</v>
      </c>
      <c r="K650" t="str">
        <f>VLOOKUP(Table1[[#This Row],[Loser]],Ranking!C:D,2,FALSE)</f>
        <v>MAAC</v>
      </c>
      <c r="L650" s="1">
        <v>51</v>
      </c>
      <c r="N650" s="1">
        <f>Table1[[#This Row],[Winning Score]]-Table1[[#This Row],[Losing Score]]</f>
        <v>17</v>
      </c>
      <c r="O650" s="1">
        <f>Table1[[#This Row],[Losing Seed]]-Table1[[#This Row],[Winning Seed]]</f>
        <v>13</v>
      </c>
      <c r="P650" s="1" t="str">
        <f>IF(Table1[[#This Row],[SeD]]&lt;-2,Table1[[#This Row],[Winning Seed]]&amp; " over " &amp;Table1[[#This Row],[Losing Seed]],"")</f>
        <v/>
      </c>
      <c r="Q650">
        <f>VLOOKUP(Table1[[#This Row],[Losing Seed]],'Seed History'!$N$4:$O$19,2)</f>
        <v>7.6388888888888895E-2</v>
      </c>
      <c r="R650" s="1">
        <f>IF(Table1[[#This Row],[Round]]="PI",0,Table1[[#This Row],[Round]]-1)</f>
        <v>0</v>
      </c>
      <c r="S650">
        <f>Table1[[#This Row],[LAW]]-Table1[[#This Row],[LEW]]</f>
        <v>-7.6388888888888895E-2</v>
      </c>
    </row>
    <row r="651" spans="1:19" x14ac:dyDescent="0.25">
      <c r="A651" s="66">
        <v>34775</v>
      </c>
      <c r="B651" s="51">
        <f>YEAR(Table1[[#This Row],[Date]])</f>
        <v>1995</v>
      </c>
      <c r="C651" s="1">
        <v>1</v>
      </c>
      <c r="D651" t="s">
        <v>49</v>
      </c>
      <c r="E651" s="1">
        <v>6</v>
      </c>
      <c r="F651" t="s">
        <v>94</v>
      </c>
      <c r="G651" t="str">
        <f>VLOOKUP(Table1[[#This Row],[Winner]],Ranking!C:D,2,FALSE)</f>
        <v>Amer</v>
      </c>
      <c r="H651" s="1">
        <v>68</v>
      </c>
      <c r="I651" s="1">
        <v>11</v>
      </c>
      <c r="J651" t="s">
        <v>230</v>
      </c>
      <c r="K651" t="str">
        <f>VLOOKUP(Table1[[#This Row],[Loser]],Ranking!C:D,2,FALSE)</f>
        <v>B10</v>
      </c>
      <c r="L651" s="1">
        <v>62</v>
      </c>
      <c r="N651" s="1">
        <f>Table1[[#This Row],[Winning Score]]-Table1[[#This Row],[Losing Score]]</f>
        <v>6</v>
      </c>
      <c r="O651" s="1">
        <f>Table1[[#This Row],[Losing Seed]]-Table1[[#This Row],[Winning Seed]]</f>
        <v>5</v>
      </c>
      <c r="P651" s="1" t="str">
        <f>IF(Table1[[#This Row],[SeD]]&lt;-2,Table1[[#This Row],[Winning Seed]]&amp; " over " &amp;Table1[[#This Row],[Losing Seed]],"")</f>
        <v/>
      </c>
      <c r="Q651">
        <f>VLOOKUP(Table1[[#This Row],[Losing Seed]],'Seed History'!$N$4:$O$19,2)</f>
        <v>0.63194444444444442</v>
      </c>
      <c r="R651" s="1">
        <f>IF(Table1[[#This Row],[Round]]="PI",0,Table1[[#This Row],[Round]]-1)</f>
        <v>0</v>
      </c>
      <c r="S651">
        <f>Table1[[#This Row],[LAW]]-Table1[[#This Row],[LEW]]</f>
        <v>-0.63194444444444442</v>
      </c>
    </row>
    <row r="652" spans="1:19" x14ac:dyDescent="0.25">
      <c r="A652" s="66">
        <v>34775</v>
      </c>
      <c r="B652" s="51">
        <f>YEAR(Table1[[#This Row],[Date]])</f>
        <v>1995</v>
      </c>
      <c r="C652" s="1">
        <v>1</v>
      </c>
      <c r="D652" t="s">
        <v>439</v>
      </c>
      <c r="E652" s="1">
        <v>2</v>
      </c>
      <c r="F652" t="s">
        <v>41</v>
      </c>
      <c r="G652" t="str">
        <f>VLOOKUP(Table1[[#This Row],[Winner]],Ranking!C:D,2,FALSE)</f>
        <v>SEC</v>
      </c>
      <c r="H652" s="1">
        <v>79</v>
      </c>
      <c r="I652" s="1">
        <v>15</v>
      </c>
      <c r="J652" t="s">
        <v>379</v>
      </c>
      <c r="K652" t="str">
        <f>VLOOKUP(Table1[[#This Row],[Loser]],Ranking!C:D,2,FALSE)</f>
        <v>SWAC</v>
      </c>
      <c r="L652" s="1">
        <v>78</v>
      </c>
      <c r="N652" s="1">
        <f>Table1[[#This Row],[Winning Score]]-Table1[[#This Row],[Losing Score]]</f>
        <v>1</v>
      </c>
      <c r="O652" s="1">
        <f>Table1[[#This Row],[Losing Seed]]-Table1[[#This Row],[Winning Seed]]</f>
        <v>13</v>
      </c>
      <c r="P652" s="1" t="str">
        <f>IF(Table1[[#This Row],[SeD]]&lt;-2,Table1[[#This Row],[Winning Seed]]&amp; " over " &amp;Table1[[#This Row],[Losing Seed]],"")</f>
        <v/>
      </c>
      <c r="Q652">
        <f>VLOOKUP(Table1[[#This Row],[Losing Seed]],'Seed History'!$N$4:$O$19,2)</f>
        <v>7.6388888888888895E-2</v>
      </c>
      <c r="R652" s="1">
        <f>IF(Table1[[#This Row],[Round]]="PI",0,Table1[[#This Row],[Round]]-1)</f>
        <v>0</v>
      </c>
      <c r="S652">
        <f>Table1[[#This Row],[LAW]]-Table1[[#This Row],[LEW]]</f>
        <v>-7.6388888888888895E-2</v>
      </c>
    </row>
    <row r="653" spans="1:19" x14ac:dyDescent="0.25">
      <c r="A653" s="66">
        <v>34775</v>
      </c>
      <c r="B653" s="51">
        <f>YEAR(Table1[[#This Row],[Date]])</f>
        <v>1995</v>
      </c>
      <c r="C653" s="1">
        <v>1</v>
      </c>
      <c r="D653" t="s">
        <v>439</v>
      </c>
      <c r="E653" s="1">
        <v>3</v>
      </c>
      <c r="F653" t="s">
        <v>29</v>
      </c>
      <c r="G653" t="str">
        <f>VLOOKUP(Table1[[#This Row],[Winner]],Ranking!C:D,2,FALSE)</f>
        <v>B10</v>
      </c>
      <c r="H653" s="1">
        <v>49</v>
      </c>
      <c r="I653" s="1">
        <v>14</v>
      </c>
      <c r="J653" t="s">
        <v>219</v>
      </c>
      <c r="K653" t="str">
        <f>VLOOKUP(Table1[[#This Row],[Loser]],Ranking!C:D,2,FALSE)</f>
        <v>Horz</v>
      </c>
      <c r="L653" s="1">
        <v>48</v>
      </c>
      <c r="N653" s="1">
        <f>Table1[[#This Row],[Winning Score]]-Table1[[#This Row],[Losing Score]]</f>
        <v>1</v>
      </c>
      <c r="O653" s="1">
        <f>Table1[[#This Row],[Losing Seed]]-Table1[[#This Row],[Winning Seed]]</f>
        <v>11</v>
      </c>
      <c r="P653" s="1" t="str">
        <f>IF(Table1[[#This Row],[SeD]]&lt;-2,Table1[[#This Row],[Winning Seed]]&amp; " over " &amp;Table1[[#This Row],[Losing Seed]],"")</f>
        <v/>
      </c>
      <c r="Q653">
        <f>VLOOKUP(Table1[[#This Row],[Losing Seed]],'Seed History'!$N$4:$O$19,2)</f>
        <v>0.16666666666666666</v>
      </c>
      <c r="R653" s="1">
        <f>IF(Table1[[#This Row],[Round]]="PI",0,Table1[[#This Row],[Round]]-1)</f>
        <v>0</v>
      </c>
      <c r="S653">
        <f>Table1[[#This Row],[LAW]]-Table1[[#This Row],[LEW]]</f>
        <v>-0.16666666666666666</v>
      </c>
    </row>
    <row r="654" spans="1:19" x14ac:dyDescent="0.25">
      <c r="A654" s="66">
        <v>34775</v>
      </c>
      <c r="B654" s="51">
        <f>YEAR(Table1[[#This Row],[Date]])</f>
        <v>1995</v>
      </c>
      <c r="C654" s="1">
        <v>1</v>
      </c>
      <c r="D654" t="s">
        <v>439</v>
      </c>
      <c r="E654" s="1">
        <v>6</v>
      </c>
      <c r="F654" t="s">
        <v>267</v>
      </c>
      <c r="G654" t="str">
        <f>VLOOKUP(Table1[[#This Row],[Winner]],Ranking!C:D,2,FALSE)</f>
        <v>Amer</v>
      </c>
      <c r="H654" s="1">
        <v>77</v>
      </c>
      <c r="I654" s="1">
        <v>11</v>
      </c>
      <c r="J654" t="s">
        <v>54</v>
      </c>
      <c r="K654" t="str">
        <f>VLOOKUP(Table1[[#This Row],[Loser]],Ranking!C:D,2,FALSE)</f>
        <v>ACC</v>
      </c>
      <c r="L654" s="1">
        <v>56</v>
      </c>
      <c r="N654" s="1">
        <f>Table1[[#This Row],[Winning Score]]-Table1[[#This Row],[Losing Score]]</f>
        <v>21</v>
      </c>
      <c r="O654" s="1">
        <f>Table1[[#This Row],[Losing Seed]]-Table1[[#This Row],[Winning Seed]]</f>
        <v>5</v>
      </c>
      <c r="P654" s="1" t="str">
        <f>IF(Table1[[#This Row],[SeD]]&lt;-2,Table1[[#This Row],[Winning Seed]]&amp; " over " &amp;Table1[[#This Row],[Losing Seed]],"")</f>
        <v/>
      </c>
      <c r="Q654">
        <f>VLOOKUP(Table1[[#This Row],[Losing Seed]],'Seed History'!$N$4:$O$19,2)</f>
        <v>0.63194444444444442</v>
      </c>
      <c r="R654" s="1">
        <f>IF(Table1[[#This Row],[Round]]="PI",0,Table1[[#This Row],[Round]]-1)</f>
        <v>0</v>
      </c>
      <c r="S654">
        <f>Table1[[#This Row],[LAW]]-Table1[[#This Row],[LEW]]</f>
        <v>-0.63194444444444442</v>
      </c>
    </row>
    <row r="655" spans="1:19" x14ac:dyDescent="0.25">
      <c r="A655" s="66">
        <v>34775</v>
      </c>
      <c r="B655" s="51">
        <f>YEAR(Table1[[#This Row],[Date]])</f>
        <v>1995</v>
      </c>
      <c r="C655" s="1">
        <v>1</v>
      </c>
      <c r="D655" t="s">
        <v>439</v>
      </c>
      <c r="E655" s="1">
        <v>7</v>
      </c>
      <c r="F655" t="s">
        <v>86</v>
      </c>
      <c r="G655" t="str">
        <f>VLOOKUP(Table1[[#This Row],[Winner]],Ranking!C:D,2,FALSE)</f>
        <v>ACC</v>
      </c>
      <c r="H655" s="1">
        <v>96</v>
      </c>
      <c r="I655" s="1">
        <v>10</v>
      </c>
      <c r="J655" t="s">
        <v>362</v>
      </c>
      <c r="K655" t="str">
        <f>VLOOKUP(Table1[[#This Row],[Loser]],Ranking!C:D,2,FALSE)</f>
        <v>MVC</v>
      </c>
      <c r="L655" s="1">
        <v>92</v>
      </c>
      <c r="N655" s="1">
        <f>Table1[[#This Row],[Winning Score]]-Table1[[#This Row],[Losing Score]]</f>
        <v>4</v>
      </c>
      <c r="O655" s="1">
        <f>Table1[[#This Row],[Losing Seed]]-Table1[[#This Row],[Winning Seed]]</f>
        <v>3</v>
      </c>
      <c r="P655" s="1" t="str">
        <f>IF(Table1[[#This Row],[SeD]]&lt;-2,Table1[[#This Row],[Winning Seed]]&amp; " over " &amp;Table1[[#This Row],[Losing Seed]],"")</f>
        <v/>
      </c>
      <c r="Q655">
        <f>VLOOKUP(Table1[[#This Row],[Losing Seed]],'Seed History'!$N$4:$O$19,2)</f>
        <v>0.61805555555555558</v>
      </c>
      <c r="R655" s="1">
        <f>IF(Table1[[#This Row],[Round]]="PI",0,Table1[[#This Row],[Round]]-1)</f>
        <v>0</v>
      </c>
      <c r="S655">
        <f>Table1[[#This Row],[LAW]]-Table1[[#This Row],[LEW]]</f>
        <v>-0.61805555555555558</v>
      </c>
    </row>
    <row r="656" spans="1:19" x14ac:dyDescent="0.25">
      <c r="A656" s="66">
        <v>34775</v>
      </c>
      <c r="B656" s="51">
        <f>YEAR(Table1[[#This Row],[Date]])</f>
        <v>1995</v>
      </c>
      <c r="C656" s="1">
        <v>1</v>
      </c>
      <c r="D656" t="s">
        <v>461</v>
      </c>
      <c r="E656" s="1">
        <v>2</v>
      </c>
      <c r="F656" t="s">
        <v>298</v>
      </c>
      <c r="G656" t="str">
        <f>VLOOKUP(Table1[[#This Row],[Winner]],Ranking!C:D,2,FALSE)</f>
        <v>ACC</v>
      </c>
      <c r="H656" s="1">
        <v>80</v>
      </c>
      <c r="I656" s="1">
        <v>15</v>
      </c>
      <c r="J656" t="s">
        <v>285</v>
      </c>
      <c r="K656" t="str">
        <f>VLOOKUP(Table1[[#This Row],[Loser]],Ranking!C:D,2,FALSE)</f>
        <v>OVC</v>
      </c>
      <c r="L656" s="1">
        <v>70</v>
      </c>
      <c r="N656" s="1">
        <f>Table1[[#This Row],[Winning Score]]-Table1[[#This Row],[Losing Score]]</f>
        <v>10</v>
      </c>
      <c r="O656" s="1">
        <f>Table1[[#This Row],[Losing Seed]]-Table1[[#This Row],[Winning Seed]]</f>
        <v>13</v>
      </c>
      <c r="P656" s="1" t="str">
        <f>IF(Table1[[#This Row],[SeD]]&lt;-2,Table1[[#This Row],[Winning Seed]]&amp; " over " &amp;Table1[[#This Row],[Losing Seed]],"")</f>
        <v/>
      </c>
      <c r="Q656">
        <f>VLOOKUP(Table1[[#This Row],[Losing Seed]],'Seed History'!$N$4:$O$19,2)</f>
        <v>7.6388888888888895E-2</v>
      </c>
      <c r="R656" s="1">
        <f>IF(Table1[[#This Row],[Round]]="PI",0,Table1[[#This Row],[Round]]-1)</f>
        <v>0</v>
      </c>
      <c r="S656">
        <f>Table1[[#This Row],[LAW]]-Table1[[#This Row],[LEW]]</f>
        <v>-7.6388888888888895E-2</v>
      </c>
    </row>
    <row r="657" spans="1:19" x14ac:dyDescent="0.25">
      <c r="A657" s="66">
        <v>34775</v>
      </c>
      <c r="B657" s="51">
        <f>YEAR(Table1[[#This Row],[Date]])</f>
        <v>1995</v>
      </c>
      <c r="C657" s="1">
        <v>1</v>
      </c>
      <c r="D657" t="s">
        <v>461</v>
      </c>
      <c r="E657" s="1">
        <v>6</v>
      </c>
      <c r="F657" t="s">
        <v>66</v>
      </c>
      <c r="G657" t="str">
        <f>VLOOKUP(Table1[[#This Row],[Winner]],Ranking!C:D,2,FALSE)</f>
        <v>BE</v>
      </c>
      <c r="H657" s="1">
        <v>68</v>
      </c>
      <c r="I657" s="1">
        <v>11</v>
      </c>
      <c r="J657" t="s">
        <v>44</v>
      </c>
      <c r="K657" t="str">
        <f>VLOOKUP(Table1[[#This Row],[Loser]],Ranking!C:D,2,FALSE)</f>
        <v>BE</v>
      </c>
      <c r="L657" s="1">
        <v>63</v>
      </c>
      <c r="N657" s="1">
        <f>Table1[[#This Row],[Winning Score]]-Table1[[#This Row],[Losing Score]]</f>
        <v>5</v>
      </c>
      <c r="O657" s="1">
        <f>Table1[[#This Row],[Losing Seed]]-Table1[[#This Row],[Winning Seed]]</f>
        <v>5</v>
      </c>
      <c r="P657" s="1" t="str">
        <f>IF(Table1[[#This Row],[SeD]]&lt;-2,Table1[[#This Row],[Winning Seed]]&amp; " over " &amp;Table1[[#This Row],[Losing Seed]],"")</f>
        <v/>
      </c>
      <c r="Q657">
        <f>VLOOKUP(Table1[[#This Row],[Losing Seed]],'Seed History'!$N$4:$O$19,2)</f>
        <v>0.63194444444444442</v>
      </c>
      <c r="R657" s="1">
        <f>IF(Table1[[#This Row],[Round]]="PI",0,Table1[[#This Row],[Round]]-1)</f>
        <v>0</v>
      </c>
      <c r="S657">
        <f>Table1[[#This Row],[LAW]]-Table1[[#This Row],[LEW]]</f>
        <v>-0.63194444444444442</v>
      </c>
    </row>
    <row r="658" spans="1:19" x14ac:dyDescent="0.25">
      <c r="A658" s="66">
        <v>34775</v>
      </c>
      <c r="B658" s="51">
        <f>YEAR(Table1[[#This Row],[Date]])</f>
        <v>1995</v>
      </c>
      <c r="C658" s="1">
        <v>1</v>
      </c>
      <c r="D658" t="s">
        <v>461</v>
      </c>
      <c r="E658" s="1">
        <v>7</v>
      </c>
      <c r="F658" t="s">
        <v>237</v>
      </c>
      <c r="G658" t="str">
        <f>VLOOKUP(Table1[[#This Row],[Winner]],Ranking!C:D,2,FALSE)</f>
        <v>B12</v>
      </c>
      <c r="H658" s="1">
        <v>64</v>
      </c>
      <c r="I658" s="1">
        <v>10</v>
      </c>
      <c r="J658" t="s">
        <v>81</v>
      </c>
      <c r="K658" t="str">
        <f>VLOOKUP(Table1[[#This Row],[Loser]],Ranking!C:D,2,FALSE)</f>
        <v>SEC</v>
      </c>
      <c r="L658" s="1">
        <v>61</v>
      </c>
      <c r="N658" s="1">
        <f>Table1[[#This Row],[Winning Score]]-Table1[[#This Row],[Losing Score]]</f>
        <v>3</v>
      </c>
      <c r="O658" s="1">
        <f>Table1[[#This Row],[Losing Seed]]-Table1[[#This Row],[Winning Seed]]</f>
        <v>3</v>
      </c>
      <c r="P658" s="1" t="str">
        <f>IF(Table1[[#This Row],[SeD]]&lt;-2,Table1[[#This Row],[Winning Seed]]&amp; " over " &amp;Table1[[#This Row],[Losing Seed]],"")</f>
        <v/>
      </c>
      <c r="Q658">
        <f>VLOOKUP(Table1[[#This Row],[Losing Seed]],'Seed History'!$N$4:$O$19,2)</f>
        <v>0.61805555555555558</v>
      </c>
      <c r="R658" s="1">
        <f>IF(Table1[[#This Row],[Round]]="PI",0,Table1[[#This Row],[Round]]-1)</f>
        <v>0</v>
      </c>
      <c r="S658">
        <f>Table1[[#This Row],[LAW]]-Table1[[#This Row],[LEW]]</f>
        <v>-0.61805555555555558</v>
      </c>
    </row>
    <row r="659" spans="1:19" x14ac:dyDescent="0.25">
      <c r="A659" s="66">
        <v>34775</v>
      </c>
      <c r="B659" s="51">
        <f>YEAR(Table1[[#This Row],[Date]])</f>
        <v>1995</v>
      </c>
      <c r="C659" s="1">
        <v>1</v>
      </c>
      <c r="D659" t="s">
        <v>38</v>
      </c>
      <c r="E659" s="1">
        <v>1</v>
      </c>
      <c r="F659" t="s">
        <v>67</v>
      </c>
      <c r="G659" t="str">
        <f>VLOOKUP(Table1[[#This Row],[Winner]],Ranking!C:D,2,FALSE)</f>
        <v>P12</v>
      </c>
      <c r="H659" s="1">
        <v>92</v>
      </c>
      <c r="I659" s="1">
        <v>16</v>
      </c>
      <c r="J659" t="s">
        <v>202</v>
      </c>
      <c r="K659" t="str">
        <f>VLOOKUP(Table1[[#This Row],[Loser]],Ranking!C:D,2,FALSE)</f>
        <v>CUSA</v>
      </c>
      <c r="L659" s="1">
        <v>56</v>
      </c>
      <c r="N659" s="1">
        <f>Table1[[#This Row],[Winning Score]]-Table1[[#This Row],[Losing Score]]</f>
        <v>36</v>
      </c>
      <c r="O659" s="1">
        <f>Table1[[#This Row],[Losing Seed]]-Table1[[#This Row],[Winning Seed]]</f>
        <v>15</v>
      </c>
      <c r="P659" s="1" t="str">
        <f>IF(Table1[[#This Row],[SeD]]&lt;-2,Table1[[#This Row],[Winning Seed]]&amp; " over " &amp;Table1[[#This Row],[Losing Seed]],"")</f>
        <v/>
      </c>
      <c r="Q659">
        <f>VLOOKUP(Table1[[#This Row],[Losing Seed]],'Seed History'!$N$4:$O$19,2)</f>
        <v>6.9444444444444441E-3</v>
      </c>
      <c r="R659" s="1">
        <f>IF(Table1[[#This Row],[Round]]="PI",0,Table1[[#This Row],[Round]]-1)</f>
        <v>0</v>
      </c>
      <c r="S659">
        <f>Table1[[#This Row],[LAW]]-Table1[[#This Row],[LEW]]</f>
        <v>-6.9444444444444441E-3</v>
      </c>
    </row>
    <row r="660" spans="1:19" x14ac:dyDescent="0.25">
      <c r="A660" s="66">
        <v>34775</v>
      </c>
      <c r="B660" s="51">
        <f>YEAR(Table1[[#This Row],[Date]])</f>
        <v>1995</v>
      </c>
      <c r="C660" s="1">
        <v>1</v>
      </c>
      <c r="D660" t="s">
        <v>38</v>
      </c>
      <c r="E660" s="1">
        <v>4</v>
      </c>
      <c r="F660" t="s">
        <v>65</v>
      </c>
      <c r="G660" t="str">
        <f>VLOOKUP(Table1[[#This Row],[Winner]],Ranking!C:D,2,FALSE)</f>
        <v>P12</v>
      </c>
      <c r="H660" s="1">
        <v>76</v>
      </c>
      <c r="I660" s="1">
        <v>13</v>
      </c>
      <c r="J660" t="s">
        <v>252</v>
      </c>
      <c r="K660" t="str">
        <f>VLOOKUP(Table1[[#This Row],[Loser]],Ranking!C:D,2,FALSE)</f>
        <v>BW</v>
      </c>
      <c r="L660" s="1">
        <v>64</v>
      </c>
      <c r="N660" s="1">
        <f>Table1[[#This Row],[Winning Score]]-Table1[[#This Row],[Losing Score]]</f>
        <v>12</v>
      </c>
      <c r="O660" s="1">
        <f>Table1[[#This Row],[Losing Seed]]-Table1[[#This Row],[Winning Seed]]</f>
        <v>9</v>
      </c>
      <c r="P660" s="1" t="str">
        <f>IF(Table1[[#This Row],[SeD]]&lt;-2,Table1[[#This Row],[Winning Seed]]&amp; " over " &amp;Table1[[#This Row],[Losing Seed]],"")</f>
        <v/>
      </c>
      <c r="Q660">
        <f>VLOOKUP(Table1[[#This Row],[Losing Seed]],'Seed History'!$N$4:$O$19,2)</f>
        <v>0.25694444444444442</v>
      </c>
      <c r="R660" s="1">
        <f>IF(Table1[[#This Row],[Round]]="PI",0,Table1[[#This Row],[Round]]-1)</f>
        <v>0</v>
      </c>
      <c r="S660">
        <f>Table1[[#This Row],[LAW]]-Table1[[#This Row],[LEW]]</f>
        <v>-0.25694444444444442</v>
      </c>
    </row>
    <row r="661" spans="1:19" x14ac:dyDescent="0.25">
      <c r="A661" s="66">
        <v>34775</v>
      </c>
      <c r="B661" s="51">
        <f>YEAR(Table1[[#This Row],[Date]])</f>
        <v>1995</v>
      </c>
      <c r="C661" s="1">
        <v>1</v>
      </c>
      <c r="D661" t="s">
        <v>38</v>
      </c>
      <c r="E661" s="1">
        <v>5</v>
      </c>
      <c r="F661" t="s">
        <v>275</v>
      </c>
      <c r="G661" t="str">
        <f>VLOOKUP(Table1[[#This Row],[Winner]],Ranking!C:D,2,FALSE)</f>
        <v>SEC</v>
      </c>
      <c r="H661" s="1">
        <v>75</v>
      </c>
      <c r="I661" s="1">
        <v>12</v>
      </c>
      <c r="J661" t="s">
        <v>347</v>
      </c>
      <c r="K661" t="str">
        <f>VLOOKUP(Table1[[#This Row],[Loser]],Ranking!C:D,2,FALSE)</f>
        <v>WCC</v>
      </c>
      <c r="L661" s="1">
        <v>67</v>
      </c>
      <c r="N661" s="1">
        <f>Table1[[#This Row],[Winning Score]]-Table1[[#This Row],[Losing Score]]</f>
        <v>8</v>
      </c>
      <c r="O661" s="1">
        <f>Table1[[#This Row],[Losing Seed]]-Table1[[#This Row],[Winning Seed]]</f>
        <v>7</v>
      </c>
      <c r="P661" s="1" t="str">
        <f>IF(Table1[[#This Row],[SeD]]&lt;-2,Table1[[#This Row],[Winning Seed]]&amp; " over " &amp;Table1[[#This Row],[Losing Seed]],"")</f>
        <v/>
      </c>
      <c r="Q661">
        <f>VLOOKUP(Table1[[#This Row],[Losing Seed]],'Seed History'!$N$4:$O$19,2)</f>
        <v>0.52083333333333337</v>
      </c>
      <c r="R661" s="1">
        <f>IF(Table1[[#This Row],[Round]]="PI",0,Table1[[#This Row],[Round]]-1)</f>
        <v>0</v>
      </c>
      <c r="S661">
        <f>Table1[[#This Row],[LAW]]-Table1[[#This Row],[LEW]]</f>
        <v>-0.52083333333333337</v>
      </c>
    </row>
    <row r="662" spans="1:19" x14ac:dyDescent="0.25">
      <c r="A662" s="66">
        <v>34775</v>
      </c>
      <c r="B662" s="51">
        <f>YEAR(Table1[[#This Row],[Date]])</f>
        <v>1995</v>
      </c>
      <c r="C662" s="1">
        <v>1</v>
      </c>
      <c r="D662" t="s">
        <v>38</v>
      </c>
      <c r="E662" s="1">
        <v>8</v>
      </c>
      <c r="F662" t="s">
        <v>277</v>
      </c>
      <c r="G662" t="str">
        <f>VLOOKUP(Table1[[#This Row],[Winner]],Ranking!C:D,2,FALSE)</f>
        <v>SEC</v>
      </c>
      <c r="H662" s="1">
        <v>65</v>
      </c>
      <c r="I662" s="1">
        <v>9</v>
      </c>
      <c r="J662" t="s">
        <v>36</v>
      </c>
      <c r="K662" t="str">
        <f>VLOOKUP(Table1[[#This Row],[Loser]],Ranking!C:D,2,FALSE)</f>
        <v>B10</v>
      </c>
      <c r="L662" s="1">
        <v>60</v>
      </c>
      <c r="N662" s="1">
        <f>Table1[[#This Row],[Winning Score]]-Table1[[#This Row],[Losing Score]]</f>
        <v>5</v>
      </c>
      <c r="O662" s="1">
        <f>Table1[[#This Row],[Losing Seed]]-Table1[[#This Row],[Winning Seed]]</f>
        <v>1</v>
      </c>
      <c r="P662" s="1" t="str">
        <f>IF(Table1[[#This Row],[SeD]]&lt;-2,Table1[[#This Row],[Winning Seed]]&amp; " over " &amp;Table1[[#This Row],[Losing Seed]],"")</f>
        <v/>
      </c>
      <c r="Q662">
        <f>VLOOKUP(Table1[[#This Row],[Losing Seed]],'Seed History'!$N$4:$O$19,2)</f>
        <v>0.59027777777777779</v>
      </c>
      <c r="R662" s="1">
        <f>IF(Table1[[#This Row],[Round]]="PI",0,Table1[[#This Row],[Round]]-1)</f>
        <v>0</v>
      </c>
      <c r="S662">
        <f>Table1[[#This Row],[LAW]]-Table1[[#This Row],[LEW]]</f>
        <v>-0.59027777777777779</v>
      </c>
    </row>
    <row r="663" spans="1:19" x14ac:dyDescent="0.25">
      <c r="A663" s="66">
        <v>34775</v>
      </c>
      <c r="B663" s="51">
        <f>YEAR(Table1[[#This Row],[Date]])</f>
        <v>1995</v>
      </c>
      <c r="C663" s="1">
        <v>1</v>
      </c>
      <c r="D663" t="s">
        <v>49</v>
      </c>
      <c r="E663" s="1">
        <v>10</v>
      </c>
      <c r="F663" t="s">
        <v>369</v>
      </c>
      <c r="G663" t="str">
        <f>VLOOKUP(Table1[[#This Row],[Winner]],Ranking!C:D,2,FALSE)</f>
        <v>P12</v>
      </c>
      <c r="H663" s="1">
        <v>70</v>
      </c>
      <c r="I663" s="1">
        <v>7</v>
      </c>
      <c r="J663" t="s">
        <v>165</v>
      </c>
      <c r="K663" t="str">
        <f>VLOOKUP(Table1[[#This Row],[Loser]],Ranking!C:D,2,FALSE)</f>
        <v>CUSA</v>
      </c>
      <c r="L663" s="1">
        <v>68</v>
      </c>
      <c r="N663" s="1">
        <f>Table1[[#This Row],[Winning Score]]-Table1[[#This Row],[Losing Score]]</f>
        <v>2</v>
      </c>
      <c r="O663" s="1">
        <f>Table1[[#This Row],[Losing Seed]]-Table1[[#This Row],[Winning Seed]]</f>
        <v>-3</v>
      </c>
      <c r="P663" s="1" t="str">
        <f>IF(Table1[[#This Row],[SeD]]&lt;-2,Table1[[#This Row],[Winning Seed]]&amp; " over " &amp;Table1[[#This Row],[Losing Seed]],"")</f>
        <v>10 over 7</v>
      </c>
      <c r="Q663">
        <f>VLOOKUP(Table1[[#This Row],[Losing Seed]],'Seed History'!$N$4:$O$19,2)</f>
        <v>0.90277777777777779</v>
      </c>
      <c r="R663" s="1">
        <f>IF(Table1[[#This Row],[Round]]="PI",0,Table1[[#This Row],[Round]]-1)</f>
        <v>0</v>
      </c>
      <c r="S663">
        <f>Table1[[#This Row],[LAW]]-Table1[[#This Row],[LEW]]</f>
        <v>-0.90277777777777779</v>
      </c>
    </row>
    <row r="664" spans="1:19" x14ac:dyDescent="0.25">
      <c r="A664" s="66">
        <v>34776</v>
      </c>
      <c r="B664" s="51">
        <f>YEAR(Table1[[#This Row],[Date]])</f>
        <v>1995</v>
      </c>
      <c r="C664" s="1">
        <v>2</v>
      </c>
      <c r="D664" t="s">
        <v>49</v>
      </c>
      <c r="E664" s="1">
        <v>1</v>
      </c>
      <c r="F664" t="s">
        <v>408</v>
      </c>
      <c r="G664" t="str">
        <f>VLOOKUP(Table1[[#This Row],[Winner]],Ranking!C:D,2,FALSE)</f>
        <v>ACC</v>
      </c>
      <c r="H664" s="1">
        <v>64</v>
      </c>
      <c r="I664" s="1">
        <v>9</v>
      </c>
      <c r="J664" t="s">
        <v>338</v>
      </c>
      <c r="K664" t="str">
        <f>VLOOKUP(Table1[[#This Row],[Loser]],Ranking!C:D,2,FALSE)</f>
        <v>A10</v>
      </c>
      <c r="L664" s="1">
        <v>59</v>
      </c>
      <c r="N664" s="1">
        <f>Table1[[#This Row],[Winning Score]]-Table1[[#This Row],[Losing Score]]</f>
        <v>5</v>
      </c>
      <c r="O664" s="1">
        <f>Table1[[#This Row],[Losing Seed]]-Table1[[#This Row],[Winning Seed]]</f>
        <v>8</v>
      </c>
      <c r="P664" s="1" t="str">
        <f>IF(Table1[[#This Row],[SeD]]&lt;-2,Table1[[#This Row],[Winning Seed]]&amp; " over " &amp;Table1[[#This Row],[Losing Seed]],"")</f>
        <v/>
      </c>
      <c r="Q664">
        <f>VLOOKUP(Table1[[#This Row],[Losing Seed]],'Seed History'!$N$4:$O$19,2)</f>
        <v>0.59027777777777779</v>
      </c>
      <c r="R664" s="1">
        <f>IF(Table1[[#This Row],[Round]]="PI",0,Table1[[#This Row],[Round]]-1)</f>
        <v>1</v>
      </c>
      <c r="S664">
        <f>Table1[[#This Row],[LAW]]-Table1[[#This Row],[LEW]]</f>
        <v>0.40972222222222221</v>
      </c>
    </row>
    <row r="665" spans="1:19" x14ac:dyDescent="0.25">
      <c r="A665" s="66">
        <v>34776</v>
      </c>
      <c r="B665" s="51">
        <f>YEAR(Table1[[#This Row],[Date]])</f>
        <v>1995</v>
      </c>
      <c r="C665" s="1">
        <v>2</v>
      </c>
      <c r="D665" t="s">
        <v>49</v>
      </c>
      <c r="E665" s="1">
        <v>4</v>
      </c>
      <c r="F665" t="s">
        <v>316</v>
      </c>
      <c r="G665" t="str">
        <f>VLOOKUP(Table1[[#This Row],[Winner]],Ranking!C:D,2,FALSE)</f>
        <v>B12</v>
      </c>
      <c r="H665" s="1">
        <v>66</v>
      </c>
      <c r="I665" s="1">
        <v>5</v>
      </c>
      <c r="J665" t="s">
        <v>113</v>
      </c>
      <c r="K665" t="str">
        <f>VLOOKUP(Table1[[#This Row],[Loser]],Ranking!C:D,2,FALSE)</f>
        <v>SEC</v>
      </c>
      <c r="L665" s="1">
        <v>52</v>
      </c>
      <c r="N665" s="1">
        <f>Table1[[#This Row],[Winning Score]]-Table1[[#This Row],[Losing Score]]</f>
        <v>14</v>
      </c>
      <c r="O665" s="1">
        <f>Table1[[#This Row],[Losing Seed]]-Table1[[#This Row],[Winning Seed]]</f>
        <v>1</v>
      </c>
      <c r="P665" s="1" t="str">
        <f>IF(Table1[[#This Row],[SeD]]&lt;-2,Table1[[#This Row],[Winning Seed]]&amp; " over " &amp;Table1[[#This Row],[Losing Seed]],"")</f>
        <v/>
      </c>
      <c r="Q665">
        <f>VLOOKUP(Table1[[#This Row],[Losing Seed]],'Seed History'!$N$4:$O$19,2)</f>
        <v>1.1180555555555556</v>
      </c>
      <c r="R665" s="1">
        <f>IF(Table1[[#This Row],[Round]]="PI",0,Table1[[#This Row],[Round]]-1)</f>
        <v>1</v>
      </c>
      <c r="S665">
        <f>Table1[[#This Row],[LAW]]-Table1[[#This Row],[LEW]]</f>
        <v>-0.11805555555555558</v>
      </c>
    </row>
    <row r="666" spans="1:19" x14ac:dyDescent="0.25">
      <c r="A666" s="66">
        <v>34776</v>
      </c>
      <c r="B666" s="51">
        <f>YEAR(Table1[[#This Row],[Date]])</f>
        <v>1995</v>
      </c>
      <c r="C666" s="1">
        <v>2</v>
      </c>
      <c r="D666" t="s">
        <v>439</v>
      </c>
      <c r="E666" s="1">
        <v>1</v>
      </c>
      <c r="F666" t="s">
        <v>37</v>
      </c>
      <c r="G666" t="str">
        <f>VLOOKUP(Table1[[#This Row],[Winner]],Ranking!C:D,2,FALSE)</f>
        <v>B12</v>
      </c>
      <c r="H666" s="1">
        <v>75</v>
      </c>
      <c r="I666" s="1">
        <v>8</v>
      </c>
      <c r="J666" t="s">
        <v>415</v>
      </c>
      <c r="K666" t="str">
        <f>VLOOKUP(Table1[[#This Row],[Loser]],Ranking!C:D,2,FALSE)</f>
        <v>CUSA</v>
      </c>
      <c r="L666" s="1">
        <v>70</v>
      </c>
      <c r="N666" s="1">
        <f>Table1[[#This Row],[Winning Score]]-Table1[[#This Row],[Losing Score]]</f>
        <v>5</v>
      </c>
      <c r="O666" s="1">
        <f>Table1[[#This Row],[Losing Seed]]-Table1[[#This Row],[Winning Seed]]</f>
        <v>7</v>
      </c>
      <c r="P666" s="1" t="str">
        <f>IF(Table1[[#This Row],[SeD]]&lt;-2,Table1[[#This Row],[Winning Seed]]&amp; " over " &amp;Table1[[#This Row],[Losing Seed]],"")</f>
        <v/>
      </c>
      <c r="Q666">
        <f>VLOOKUP(Table1[[#This Row],[Losing Seed]],'Seed History'!$N$4:$O$19,2)</f>
        <v>0.70833333333333337</v>
      </c>
      <c r="R666" s="1">
        <f>IF(Table1[[#This Row],[Round]]="PI",0,Table1[[#This Row],[Round]]-1)</f>
        <v>1</v>
      </c>
      <c r="S666">
        <f>Table1[[#This Row],[LAW]]-Table1[[#This Row],[LEW]]</f>
        <v>0.29166666666666663</v>
      </c>
    </row>
    <row r="667" spans="1:19" x14ac:dyDescent="0.25">
      <c r="A667" s="66">
        <v>34776</v>
      </c>
      <c r="B667" s="51">
        <f>YEAR(Table1[[#This Row],[Date]])</f>
        <v>1995</v>
      </c>
      <c r="C667" s="1">
        <v>2</v>
      </c>
      <c r="D667" t="s">
        <v>439</v>
      </c>
      <c r="E667" s="1">
        <v>4</v>
      </c>
      <c r="F667" t="s">
        <v>61</v>
      </c>
      <c r="G667" t="str">
        <f>VLOOKUP(Table1[[#This Row],[Winner]],Ranking!C:D,2,FALSE)</f>
        <v>ACC</v>
      </c>
      <c r="H667" s="1">
        <v>60</v>
      </c>
      <c r="I667" s="1">
        <v>12</v>
      </c>
      <c r="J667" t="s">
        <v>270</v>
      </c>
      <c r="K667" t="str">
        <f>VLOOKUP(Table1[[#This Row],[Loser]],Ranking!C:D,2,FALSE)</f>
        <v>MAC</v>
      </c>
      <c r="L667" s="1">
        <v>54</v>
      </c>
      <c r="M667" s="1" t="s">
        <v>462</v>
      </c>
      <c r="N667" s="1">
        <f>Table1[[#This Row],[Winning Score]]-Table1[[#This Row],[Losing Score]]</f>
        <v>6</v>
      </c>
      <c r="O667" s="1">
        <f>Table1[[#This Row],[Losing Seed]]-Table1[[#This Row],[Winning Seed]]</f>
        <v>8</v>
      </c>
      <c r="P667" s="1" t="str">
        <f>IF(Table1[[#This Row],[SeD]]&lt;-2,Table1[[#This Row],[Winning Seed]]&amp; " over " &amp;Table1[[#This Row],[Losing Seed]],"")</f>
        <v/>
      </c>
      <c r="Q667">
        <f>VLOOKUP(Table1[[#This Row],[Losing Seed]],'Seed History'!$N$4:$O$19,2)</f>
        <v>0.52083333333333337</v>
      </c>
      <c r="R667" s="1">
        <f>IF(Table1[[#This Row],[Round]]="PI",0,Table1[[#This Row],[Round]]-1)</f>
        <v>1</v>
      </c>
      <c r="S667">
        <f>Table1[[#This Row],[LAW]]-Table1[[#This Row],[LEW]]</f>
        <v>0.47916666666666663</v>
      </c>
    </row>
    <row r="668" spans="1:19" x14ac:dyDescent="0.25">
      <c r="A668" s="66">
        <v>34776</v>
      </c>
      <c r="B668" s="51">
        <f>YEAR(Table1[[#This Row],[Date]])</f>
        <v>1995</v>
      </c>
      <c r="C668" s="1">
        <v>2</v>
      </c>
      <c r="D668" t="s">
        <v>461</v>
      </c>
      <c r="E668" s="1">
        <v>1</v>
      </c>
      <c r="F668" t="s">
        <v>26</v>
      </c>
      <c r="G668" t="str">
        <f>VLOOKUP(Table1[[#This Row],[Winner]],Ranking!C:D,2,FALSE)</f>
        <v>SEC</v>
      </c>
      <c r="H668" s="1">
        <v>82</v>
      </c>
      <c r="I668" s="1">
        <v>9</v>
      </c>
      <c r="J668" t="s">
        <v>385</v>
      </c>
      <c r="K668" t="str">
        <f>VLOOKUP(Table1[[#This Row],[Loser]],Ranking!C:D,2,FALSE)</f>
        <v>Amer</v>
      </c>
      <c r="L668" s="1">
        <v>60</v>
      </c>
      <c r="N668" s="1">
        <f>Table1[[#This Row],[Winning Score]]-Table1[[#This Row],[Losing Score]]</f>
        <v>22</v>
      </c>
      <c r="O668" s="1">
        <f>Table1[[#This Row],[Losing Seed]]-Table1[[#This Row],[Winning Seed]]</f>
        <v>8</v>
      </c>
      <c r="P668" s="1" t="str">
        <f>IF(Table1[[#This Row],[SeD]]&lt;-2,Table1[[#This Row],[Winning Seed]]&amp; " over " &amp;Table1[[#This Row],[Losing Seed]],"")</f>
        <v/>
      </c>
      <c r="Q668">
        <f>VLOOKUP(Table1[[#This Row],[Losing Seed]],'Seed History'!$N$4:$O$19,2)</f>
        <v>0.59027777777777779</v>
      </c>
      <c r="R668" s="1">
        <f>IF(Table1[[#This Row],[Round]]="PI",0,Table1[[#This Row],[Round]]-1)</f>
        <v>1</v>
      </c>
      <c r="S668">
        <f>Table1[[#This Row],[LAW]]-Table1[[#This Row],[LEW]]</f>
        <v>0.40972222222222221</v>
      </c>
    </row>
    <row r="669" spans="1:19" x14ac:dyDescent="0.25">
      <c r="A669" s="66">
        <v>34776</v>
      </c>
      <c r="B669" s="51">
        <f>YEAR(Table1[[#This Row],[Date]])</f>
        <v>1995</v>
      </c>
      <c r="C669" s="1">
        <v>2</v>
      </c>
      <c r="D669" t="s">
        <v>461</v>
      </c>
      <c r="E669" s="1">
        <v>5</v>
      </c>
      <c r="F669" t="s">
        <v>125</v>
      </c>
      <c r="G669" t="str">
        <f>VLOOKUP(Table1[[#This Row],[Winner]],Ranking!C:D,2,FALSE)</f>
        <v>P12</v>
      </c>
      <c r="H669" s="1">
        <v>64</v>
      </c>
      <c r="I669" s="1">
        <v>13</v>
      </c>
      <c r="J669" t="s">
        <v>73</v>
      </c>
      <c r="K669" t="str">
        <f>VLOOKUP(Table1[[#This Row],[Loser]],Ranking!C:D,2,FALSE)</f>
        <v>MAAC</v>
      </c>
      <c r="L669" s="1">
        <v>54</v>
      </c>
      <c r="N669" s="1">
        <f>Table1[[#This Row],[Winning Score]]-Table1[[#This Row],[Losing Score]]</f>
        <v>10</v>
      </c>
      <c r="O669" s="1">
        <f>Table1[[#This Row],[Losing Seed]]-Table1[[#This Row],[Winning Seed]]</f>
        <v>8</v>
      </c>
      <c r="P669" s="1" t="str">
        <f>IF(Table1[[#This Row],[SeD]]&lt;-2,Table1[[#This Row],[Winning Seed]]&amp; " over " &amp;Table1[[#This Row],[Losing Seed]],"")</f>
        <v/>
      </c>
      <c r="Q669">
        <f>VLOOKUP(Table1[[#This Row],[Losing Seed]],'Seed History'!$N$4:$O$19,2)</f>
        <v>0.25694444444444442</v>
      </c>
      <c r="R669" s="1">
        <f>IF(Table1[[#This Row],[Round]]="PI",0,Table1[[#This Row],[Round]]-1)</f>
        <v>1</v>
      </c>
      <c r="S669">
        <f>Table1[[#This Row],[LAW]]-Table1[[#This Row],[LEW]]</f>
        <v>0.74305555555555558</v>
      </c>
    </row>
    <row r="670" spans="1:19" x14ac:dyDescent="0.25">
      <c r="A670" s="66">
        <v>34776</v>
      </c>
      <c r="B670" s="51">
        <f>YEAR(Table1[[#This Row],[Date]])</f>
        <v>1995</v>
      </c>
      <c r="C670" s="1">
        <v>2</v>
      </c>
      <c r="D670" t="s">
        <v>38</v>
      </c>
      <c r="E670" s="1">
        <v>2</v>
      </c>
      <c r="F670" t="s">
        <v>80</v>
      </c>
      <c r="G670" t="str">
        <f>VLOOKUP(Table1[[#This Row],[Winner]],Ranking!C:D,2,FALSE)</f>
        <v>BE</v>
      </c>
      <c r="H670" s="1">
        <v>96</v>
      </c>
      <c r="I670" s="1">
        <v>7</v>
      </c>
      <c r="J670" t="s">
        <v>28</v>
      </c>
      <c r="K670" t="str">
        <f>VLOOKUP(Table1[[#This Row],[Loser]],Ranking!C:D,2,FALSE)</f>
        <v>Amer</v>
      </c>
      <c r="L670" s="1">
        <v>91</v>
      </c>
      <c r="N670" s="1">
        <f>Table1[[#This Row],[Winning Score]]-Table1[[#This Row],[Losing Score]]</f>
        <v>5</v>
      </c>
      <c r="O670" s="1">
        <f>Table1[[#This Row],[Losing Seed]]-Table1[[#This Row],[Winning Seed]]</f>
        <v>5</v>
      </c>
      <c r="P670" s="1" t="str">
        <f>IF(Table1[[#This Row],[SeD]]&lt;-2,Table1[[#This Row],[Winning Seed]]&amp; " over " &amp;Table1[[#This Row],[Losing Seed]],"")</f>
        <v/>
      </c>
      <c r="Q670">
        <f>VLOOKUP(Table1[[#This Row],[Losing Seed]],'Seed History'!$N$4:$O$19,2)</f>
        <v>0.90277777777777779</v>
      </c>
      <c r="R670" s="1">
        <f>IF(Table1[[#This Row],[Round]]="PI",0,Table1[[#This Row],[Round]]-1)</f>
        <v>1</v>
      </c>
      <c r="S670">
        <f>Table1[[#This Row],[LAW]]-Table1[[#This Row],[LEW]]</f>
        <v>9.722222222222221E-2</v>
      </c>
    </row>
    <row r="671" spans="1:19" x14ac:dyDescent="0.25">
      <c r="A671" s="66">
        <v>34776</v>
      </c>
      <c r="B671" s="51">
        <f>YEAR(Table1[[#This Row],[Date]])</f>
        <v>1995</v>
      </c>
      <c r="C671" s="1">
        <v>2</v>
      </c>
      <c r="D671" t="s">
        <v>38</v>
      </c>
      <c r="E671" s="1">
        <v>3</v>
      </c>
      <c r="F671" t="s">
        <v>31</v>
      </c>
      <c r="G671" t="str">
        <f>VLOOKUP(Table1[[#This Row],[Winner]],Ranking!C:D,2,FALSE)</f>
        <v>B10</v>
      </c>
      <c r="H671" s="1">
        <v>82</v>
      </c>
      <c r="I671" s="1">
        <v>11</v>
      </c>
      <c r="J671" t="s">
        <v>34</v>
      </c>
      <c r="K671" t="str">
        <f>VLOOKUP(Table1[[#This Row],[Loser]],Ranking!C:D,2,FALSE)</f>
        <v>B12</v>
      </c>
      <c r="L671" s="1">
        <v>68</v>
      </c>
      <c r="N671" s="1">
        <f>Table1[[#This Row],[Winning Score]]-Table1[[#This Row],[Losing Score]]</f>
        <v>14</v>
      </c>
      <c r="O671" s="1">
        <f>Table1[[#This Row],[Losing Seed]]-Table1[[#This Row],[Winning Seed]]</f>
        <v>8</v>
      </c>
      <c r="P671" s="1" t="str">
        <f>IF(Table1[[#This Row],[SeD]]&lt;-2,Table1[[#This Row],[Winning Seed]]&amp; " over " &amp;Table1[[#This Row],[Losing Seed]],"")</f>
        <v/>
      </c>
      <c r="Q671">
        <f>VLOOKUP(Table1[[#This Row],[Losing Seed]],'Seed History'!$N$4:$O$19,2)</f>
        <v>0.63194444444444442</v>
      </c>
      <c r="R671" s="1">
        <f>IF(Table1[[#This Row],[Round]]="PI",0,Table1[[#This Row],[Round]]-1)</f>
        <v>1</v>
      </c>
      <c r="S671">
        <f>Table1[[#This Row],[LAW]]-Table1[[#This Row],[LEW]]</f>
        <v>0.36805555555555558</v>
      </c>
    </row>
    <row r="672" spans="1:19" x14ac:dyDescent="0.25">
      <c r="A672" s="66">
        <v>34777</v>
      </c>
      <c r="B672" s="51">
        <f>YEAR(Table1[[#This Row],[Date]])</f>
        <v>1995</v>
      </c>
      <c r="C672" s="1">
        <v>2</v>
      </c>
      <c r="D672" t="s">
        <v>49</v>
      </c>
      <c r="E672" s="1">
        <v>2</v>
      </c>
      <c r="F672" t="s">
        <v>265</v>
      </c>
      <c r="G672" t="str">
        <f>VLOOKUP(Table1[[#This Row],[Winner]],Ranking!C:D,2,FALSE)</f>
        <v>A10</v>
      </c>
      <c r="H672" s="1">
        <v>75</v>
      </c>
      <c r="I672" s="1">
        <v>10</v>
      </c>
      <c r="J672" t="s">
        <v>369</v>
      </c>
      <c r="K672" t="str">
        <f>VLOOKUP(Table1[[#This Row],[Loser]],Ranking!C:D,2,FALSE)</f>
        <v>P12</v>
      </c>
      <c r="L672" s="1">
        <v>53</v>
      </c>
      <c r="N672" s="1">
        <f>Table1[[#This Row],[Winning Score]]-Table1[[#This Row],[Losing Score]]</f>
        <v>22</v>
      </c>
      <c r="O672" s="1">
        <f>Table1[[#This Row],[Losing Seed]]-Table1[[#This Row],[Winning Seed]]</f>
        <v>8</v>
      </c>
      <c r="P672" s="1" t="str">
        <f>IF(Table1[[#This Row],[SeD]]&lt;-2,Table1[[#This Row],[Winning Seed]]&amp; " over " &amp;Table1[[#This Row],[Losing Seed]],"")</f>
        <v/>
      </c>
      <c r="Q672">
        <f>VLOOKUP(Table1[[#This Row],[Losing Seed]],'Seed History'!$N$4:$O$19,2)</f>
        <v>0.61805555555555558</v>
      </c>
      <c r="R672" s="1">
        <f>IF(Table1[[#This Row],[Round]]="PI",0,Table1[[#This Row],[Round]]-1)</f>
        <v>1</v>
      </c>
      <c r="S672">
        <f>Table1[[#This Row],[LAW]]-Table1[[#This Row],[LEW]]</f>
        <v>0.38194444444444442</v>
      </c>
    </row>
    <row r="673" spans="1:19" x14ac:dyDescent="0.25">
      <c r="A673" s="66">
        <v>34777</v>
      </c>
      <c r="B673" s="51">
        <f>YEAR(Table1[[#This Row],[Date]])</f>
        <v>1995</v>
      </c>
      <c r="C673" s="1">
        <v>2</v>
      </c>
      <c r="D673" t="s">
        <v>49</v>
      </c>
      <c r="E673" s="1">
        <v>6</v>
      </c>
      <c r="F673" t="s">
        <v>94</v>
      </c>
      <c r="G673" t="str">
        <f>VLOOKUP(Table1[[#This Row],[Winner]],Ranking!C:D,2,FALSE)</f>
        <v>Amer</v>
      </c>
      <c r="H673" s="1">
        <v>64</v>
      </c>
      <c r="I673" s="1">
        <v>14</v>
      </c>
      <c r="J673" t="s">
        <v>317</v>
      </c>
      <c r="K673" t="str">
        <f>VLOOKUP(Table1[[#This Row],[Loser]],Ranking!C:D,2,FALSE)</f>
        <v>CUSA</v>
      </c>
      <c r="L673" s="1">
        <v>52</v>
      </c>
      <c r="N673" s="1">
        <f>Table1[[#This Row],[Winning Score]]-Table1[[#This Row],[Losing Score]]</f>
        <v>12</v>
      </c>
      <c r="O673" s="1">
        <f>Table1[[#This Row],[Losing Seed]]-Table1[[#This Row],[Winning Seed]]</f>
        <v>8</v>
      </c>
      <c r="P673" s="1" t="str">
        <f>IF(Table1[[#This Row],[SeD]]&lt;-2,Table1[[#This Row],[Winning Seed]]&amp; " over " &amp;Table1[[#This Row],[Losing Seed]],"")</f>
        <v/>
      </c>
      <c r="Q673">
        <f>VLOOKUP(Table1[[#This Row],[Losing Seed]],'Seed History'!$N$4:$O$19,2)</f>
        <v>0.16666666666666666</v>
      </c>
      <c r="R673" s="1">
        <f>IF(Table1[[#This Row],[Round]]="PI",0,Table1[[#This Row],[Round]]-1)</f>
        <v>1</v>
      </c>
      <c r="S673">
        <f>Table1[[#This Row],[LAW]]-Table1[[#This Row],[LEW]]</f>
        <v>0.83333333333333337</v>
      </c>
    </row>
    <row r="674" spans="1:19" x14ac:dyDescent="0.25">
      <c r="A674" s="66">
        <v>34777</v>
      </c>
      <c r="B674" s="51">
        <f>YEAR(Table1[[#This Row],[Date]])</f>
        <v>1995</v>
      </c>
      <c r="C674" s="1">
        <v>2</v>
      </c>
      <c r="D674" t="s">
        <v>439</v>
      </c>
      <c r="E674" s="1">
        <v>2</v>
      </c>
      <c r="F674" t="s">
        <v>41</v>
      </c>
      <c r="G674" t="str">
        <f>VLOOKUP(Table1[[#This Row],[Winner]],Ranking!C:D,2,FALSE)</f>
        <v>SEC</v>
      </c>
      <c r="H674" s="1">
        <v>96</v>
      </c>
      <c r="I674" s="1">
        <v>7</v>
      </c>
      <c r="J674" t="s">
        <v>86</v>
      </c>
      <c r="K674" t="str">
        <f>VLOOKUP(Table1[[#This Row],[Loser]],Ranking!C:D,2,FALSE)</f>
        <v>ACC</v>
      </c>
      <c r="L674" s="1">
        <v>94</v>
      </c>
      <c r="M674" s="1" t="s">
        <v>462</v>
      </c>
      <c r="N674" s="1">
        <f>Table1[[#This Row],[Winning Score]]-Table1[[#This Row],[Losing Score]]</f>
        <v>2</v>
      </c>
      <c r="O674" s="1">
        <f>Table1[[#This Row],[Losing Seed]]-Table1[[#This Row],[Winning Seed]]</f>
        <v>5</v>
      </c>
      <c r="P674" s="1" t="str">
        <f>IF(Table1[[#This Row],[SeD]]&lt;-2,Table1[[#This Row],[Winning Seed]]&amp; " over " &amp;Table1[[#This Row],[Losing Seed]],"")</f>
        <v/>
      </c>
      <c r="Q674">
        <f>VLOOKUP(Table1[[#This Row],[Losing Seed]],'Seed History'!$N$4:$O$19,2)</f>
        <v>0.90277777777777779</v>
      </c>
      <c r="R674" s="1">
        <f>IF(Table1[[#This Row],[Round]]="PI",0,Table1[[#This Row],[Round]]-1)</f>
        <v>1</v>
      </c>
      <c r="S674">
        <f>Table1[[#This Row],[LAW]]-Table1[[#This Row],[LEW]]</f>
        <v>9.722222222222221E-2</v>
      </c>
    </row>
    <row r="675" spans="1:19" x14ac:dyDescent="0.25">
      <c r="A675" s="66">
        <v>34777</v>
      </c>
      <c r="B675" s="51">
        <f>YEAR(Table1[[#This Row],[Date]])</f>
        <v>1995</v>
      </c>
      <c r="C675" s="1">
        <v>2</v>
      </c>
      <c r="D675" t="s">
        <v>461</v>
      </c>
      <c r="E675" s="1">
        <v>2</v>
      </c>
      <c r="F675" t="s">
        <v>298</v>
      </c>
      <c r="G675" t="str">
        <f>VLOOKUP(Table1[[#This Row],[Winner]],Ranking!C:D,2,FALSE)</f>
        <v>ACC</v>
      </c>
      <c r="H675" s="1">
        <v>73</v>
      </c>
      <c r="I675" s="1">
        <v>7</v>
      </c>
      <c r="J675" t="s">
        <v>237</v>
      </c>
      <c r="K675" t="str">
        <f>VLOOKUP(Table1[[#This Row],[Loser]],Ranking!C:D,2,FALSE)</f>
        <v>B12</v>
      </c>
      <c r="L675" s="1">
        <v>51</v>
      </c>
      <c r="N675" s="1">
        <f>Table1[[#This Row],[Winning Score]]-Table1[[#This Row],[Losing Score]]</f>
        <v>22</v>
      </c>
      <c r="O675" s="1">
        <f>Table1[[#This Row],[Losing Seed]]-Table1[[#This Row],[Winning Seed]]</f>
        <v>5</v>
      </c>
      <c r="P675" s="1" t="str">
        <f>IF(Table1[[#This Row],[SeD]]&lt;-2,Table1[[#This Row],[Winning Seed]]&amp; " over " &amp;Table1[[#This Row],[Losing Seed]],"")</f>
        <v/>
      </c>
      <c r="Q675">
        <f>VLOOKUP(Table1[[#This Row],[Losing Seed]],'Seed History'!$N$4:$O$19,2)</f>
        <v>0.90277777777777779</v>
      </c>
      <c r="R675" s="1">
        <f>IF(Table1[[#This Row],[Round]]="PI",0,Table1[[#This Row],[Round]]-1)</f>
        <v>1</v>
      </c>
      <c r="S675">
        <f>Table1[[#This Row],[LAW]]-Table1[[#This Row],[LEW]]</f>
        <v>9.722222222222221E-2</v>
      </c>
    </row>
    <row r="676" spans="1:19" x14ac:dyDescent="0.25">
      <c r="A676" s="66">
        <v>34777</v>
      </c>
      <c r="B676" s="51">
        <f>YEAR(Table1[[#This Row],[Date]])</f>
        <v>1995</v>
      </c>
      <c r="C676" s="1">
        <v>2</v>
      </c>
      <c r="D676" t="s">
        <v>461</v>
      </c>
      <c r="E676" s="1">
        <v>6</v>
      </c>
      <c r="F676" t="s">
        <v>66</v>
      </c>
      <c r="G676" t="str">
        <f>VLOOKUP(Table1[[#This Row],[Winner]],Ranking!C:D,2,FALSE)</f>
        <v>BE</v>
      </c>
      <c r="H676" s="1">
        <v>53</v>
      </c>
      <c r="I676" s="1">
        <v>14</v>
      </c>
      <c r="J676" t="s">
        <v>411</v>
      </c>
      <c r="K676" t="str">
        <f>VLOOKUP(Table1[[#This Row],[Loser]],Ranking!C:D,2,FALSE)</f>
        <v>BSky</v>
      </c>
      <c r="L676" s="1">
        <v>51</v>
      </c>
      <c r="N676" s="1">
        <f>Table1[[#This Row],[Winning Score]]-Table1[[#This Row],[Losing Score]]</f>
        <v>2</v>
      </c>
      <c r="O676" s="1">
        <f>Table1[[#This Row],[Losing Seed]]-Table1[[#This Row],[Winning Seed]]</f>
        <v>8</v>
      </c>
      <c r="P676" s="1" t="str">
        <f>IF(Table1[[#This Row],[SeD]]&lt;-2,Table1[[#This Row],[Winning Seed]]&amp; " over " &amp;Table1[[#This Row],[Losing Seed]],"")</f>
        <v/>
      </c>
      <c r="Q676">
        <f>VLOOKUP(Table1[[#This Row],[Losing Seed]],'Seed History'!$N$4:$O$19,2)</f>
        <v>0.16666666666666666</v>
      </c>
      <c r="R676" s="1">
        <f>IF(Table1[[#This Row],[Round]]="PI",0,Table1[[#This Row],[Round]]-1)</f>
        <v>1</v>
      </c>
      <c r="S676">
        <f>Table1[[#This Row],[LAW]]-Table1[[#This Row],[LEW]]</f>
        <v>0.83333333333333337</v>
      </c>
    </row>
    <row r="677" spans="1:19" x14ac:dyDescent="0.25">
      <c r="A677" s="66">
        <v>34777</v>
      </c>
      <c r="B677" s="51">
        <f>YEAR(Table1[[#This Row],[Date]])</f>
        <v>1995</v>
      </c>
      <c r="C677" s="1">
        <v>2</v>
      </c>
      <c r="D677" t="s">
        <v>38</v>
      </c>
      <c r="E677" s="1">
        <v>1</v>
      </c>
      <c r="F677" t="s">
        <v>67</v>
      </c>
      <c r="G677" t="str">
        <f>VLOOKUP(Table1[[#This Row],[Winner]],Ranking!C:D,2,FALSE)</f>
        <v>P12</v>
      </c>
      <c r="H677" s="1">
        <v>75</v>
      </c>
      <c r="I677" s="1">
        <v>8</v>
      </c>
      <c r="J677" t="s">
        <v>277</v>
      </c>
      <c r="K677" t="str">
        <f>VLOOKUP(Table1[[#This Row],[Loser]],Ranking!C:D,2,FALSE)</f>
        <v>SEC</v>
      </c>
      <c r="L677" s="1">
        <v>74</v>
      </c>
      <c r="N677" s="1">
        <f>Table1[[#This Row],[Winning Score]]-Table1[[#This Row],[Losing Score]]</f>
        <v>1</v>
      </c>
      <c r="O677" s="1">
        <f>Table1[[#This Row],[Losing Seed]]-Table1[[#This Row],[Winning Seed]]</f>
        <v>7</v>
      </c>
      <c r="P677" s="1" t="str">
        <f>IF(Table1[[#This Row],[SeD]]&lt;-2,Table1[[#This Row],[Winning Seed]]&amp; " over " &amp;Table1[[#This Row],[Losing Seed]],"")</f>
        <v/>
      </c>
      <c r="Q677">
        <f>VLOOKUP(Table1[[#This Row],[Losing Seed]],'Seed History'!$N$4:$O$19,2)</f>
        <v>0.70833333333333337</v>
      </c>
      <c r="R677" s="1">
        <f>IF(Table1[[#This Row],[Round]]="PI",0,Table1[[#This Row],[Round]]-1)</f>
        <v>1</v>
      </c>
      <c r="S677">
        <f>Table1[[#This Row],[LAW]]-Table1[[#This Row],[LEW]]</f>
        <v>0.29166666666666663</v>
      </c>
    </row>
    <row r="678" spans="1:19" x14ac:dyDescent="0.25">
      <c r="A678" s="66">
        <v>34777</v>
      </c>
      <c r="B678" s="51">
        <f>YEAR(Table1[[#This Row],[Date]])</f>
        <v>1995</v>
      </c>
      <c r="C678" s="1">
        <v>2</v>
      </c>
      <c r="D678" t="s">
        <v>439</v>
      </c>
      <c r="E678" s="1">
        <v>6</v>
      </c>
      <c r="F678" t="s">
        <v>267</v>
      </c>
      <c r="G678" t="str">
        <f>VLOOKUP(Table1[[#This Row],[Winner]],Ranking!C:D,2,FALSE)</f>
        <v>Amer</v>
      </c>
      <c r="H678" s="1">
        <v>75</v>
      </c>
      <c r="I678" s="1">
        <v>3</v>
      </c>
      <c r="J678" t="s">
        <v>29</v>
      </c>
      <c r="K678" t="str">
        <f>VLOOKUP(Table1[[#This Row],[Loser]],Ranking!C:D,2,FALSE)</f>
        <v>B10</v>
      </c>
      <c r="L678" s="1">
        <v>73</v>
      </c>
      <c r="N678" s="1">
        <f>Table1[[#This Row],[Winning Score]]-Table1[[#This Row],[Losing Score]]</f>
        <v>2</v>
      </c>
      <c r="O678" s="1">
        <f>Table1[[#This Row],[Losing Seed]]-Table1[[#This Row],[Winning Seed]]</f>
        <v>-3</v>
      </c>
      <c r="P678" s="1" t="str">
        <f>IF(Table1[[#This Row],[SeD]]&lt;-2,Table1[[#This Row],[Winning Seed]]&amp; " over " &amp;Table1[[#This Row],[Losing Seed]],"")</f>
        <v>6 over 3</v>
      </c>
      <c r="Q678">
        <f>VLOOKUP(Table1[[#This Row],[Losing Seed]],'Seed History'!$N$4:$O$19,2)</f>
        <v>1.8472222222222223</v>
      </c>
      <c r="R678" s="1">
        <f>IF(Table1[[#This Row],[Round]]="PI",0,Table1[[#This Row],[Round]]-1)</f>
        <v>1</v>
      </c>
      <c r="S678">
        <f>Table1[[#This Row],[LAW]]-Table1[[#This Row],[LEW]]</f>
        <v>-0.84722222222222232</v>
      </c>
    </row>
    <row r="679" spans="1:19" x14ac:dyDescent="0.25">
      <c r="A679" s="66">
        <v>34777</v>
      </c>
      <c r="B679" s="51">
        <f>YEAR(Table1[[#This Row],[Date]])</f>
        <v>1995</v>
      </c>
      <c r="C679" s="1">
        <v>2</v>
      </c>
      <c r="D679" t="s">
        <v>38</v>
      </c>
      <c r="E679" s="1">
        <v>5</v>
      </c>
      <c r="F679" t="s">
        <v>275</v>
      </c>
      <c r="G679" t="str">
        <f>VLOOKUP(Table1[[#This Row],[Winner]],Ranking!C:D,2,FALSE)</f>
        <v>SEC</v>
      </c>
      <c r="H679" s="1">
        <v>78</v>
      </c>
      <c r="I679" s="1">
        <v>4</v>
      </c>
      <c r="J679" t="s">
        <v>65</v>
      </c>
      <c r="K679" t="str">
        <f>VLOOKUP(Table1[[#This Row],[Loser]],Ranking!C:D,2,FALSE)</f>
        <v>P12</v>
      </c>
      <c r="L679" s="1">
        <v>64</v>
      </c>
      <c r="N679" s="1">
        <f>Table1[[#This Row],[Winning Score]]-Table1[[#This Row],[Losing Score]]</f>
        <v>14</v>
      </c>
      <c r="O679" s="1">
        <f>Table1[[#This Row],[Losing Seed]]-Table1[[#This Row],[Winning Seed]]</f>
        <v>-1</v>
      </c>
      <c r="P679" s="1" t="str">
        <f>IF(Table1[[#This Row],[SeD]]&lt;-2,Table1[[#This Row],[Winning Seed]]&amp; " over " &amp;Table1[[#This Row],[Losing Seed]],"")</f>
        <v/>
      </c>
      <c r="Q679">
        <f>VLOOKUP(Table1[[#This Row],[Losing Seed]],'Seed History'!$N$4:$O$19,2)</f>
        <v>1.5208333333333333</v>
      </c>
      <c r="R679" s="1">
        <f>IF(Table1[[#This Row],[Round]]="PI",0,Table1[[#This Row],[Round]]-1)</f>
        <v>1</v>
      </c>
      <c r="S679">
        <f>Table1[[#This Row],[LAW]]-Table1[[#This Row],[LEW]]</f>
        <v>-0.52083333333333326</v>
      </c>
    </row>
    <row r="680" spans="1:19" x14ac:dyDescent="0.25">
      <c r="A680" s="66">
        <v>34781</v>
      </c>
      <c r="B680" s="51">
        <f>YEAR(Table1[[#This Row],[Date]])</f>
        <v>1995</v>
      </c>
      <c r="C680" s="1">
        <v>3</v>
      </c>
      <c r="D680" t="s">
        <v>461</v>
      </c>
      <c r="E680" s="1">
        <v>1</v>
      </c>
      <c r="F680" t="s">
        <v>26</v>
      </c>
      <c r="G680" t="str">
        <f>VLOOKUP(Table1[[#This Row],[Winner]],Ranking!C:D,2,FALSE)</f>
        <v>SEC</v>
      </c>
      <c r="H680" s="1">
        <v>97</v>
      </c>
      <c r="I680" s="1">
        <v>5</v>
      </c>
      <c r="J680" t="s">
        <v>125</v>
      </c>
      <c r="K680" t="str">
        <f>VLOOKUP(Table1[[#This Row],[Loser]],Ranking!C:D,2,FALSE)</f>
        <v>P12</v>
      </c>
      <c r="L680" s="1">
        <v>73</v>
      </c>
      <c r="N680" s="1">
        <f>Table1[[#This Row],[Winning Score]]-Table1[[#This Row],[Losing Score]]</f>
        <v>24</v>
      </c>
      <c r="O680" s="1">
        <f>Table1[[#This Row],[Losing Seed]]-Table1[[#This Row],[Winning Seed]]</f>
        <v>4</v>
      </c>
      <c r="P680" s="1" t="str">
        <f>IF(Table1[[#This Row],[SeD]]&lt;-2,Table1[[#This Row],[Winning Seed]]&amp; " over " &amp;Table1[[#This Row],[Losing Seed]],"")</f>
        <v/>
      </c>
      <c r="Q680">
        <f>VLOOKUP(Table1[[#This Row],[Losing Seed]],'Seed History'!$N$4:$O$19,2)</f>
        <v>1.1180555555555556</v>
      </c>
      <c r="R680" s="1">
        <f>IF(Table1[[#This Row],[Round]]="PI",0,Table1[[#This Row],[Round]]-1)</f>
        <v>2</v>
      </c>
      <c r="S680">
        <f>Table1[[#This Row],[LAW]]-Table1[[#This Row],[LEW]]</f>
        <v>0.88194444444444442</v>
      </c>
    </row>
    <row r="681" spans="1:19" x14ac:dyDescent="0.25">
      <c r="A681" s="66">
        <v>34781</v>
      </c>
      <c r="B681" s="51">
        <f>YEAR(Table1[[#This Row],[Date]])</f>
        <v>1995</v>
      </c>
      <c r="C681" s="1">
        <v>3</v>
      </c>
      <c r="D681" t="s">
        <v>461</v>
      </c>
      <c r="E681" s="1">
        <v>2</v>
      </c>
      <c r="F681" t="s">
        <v>298</v>
      </c>
      <c r="G681" t="str">
        <f>VLOOKUP(Table1[[#This Row],[Winner]],Ranking!C:D,2,FALSE)</f>
        <v>ACC</v>
      </c>
      <c r="H681" s="1">
        <v>74</v>
      </c>
      <c r="I681" s="1">
        <v>6</v>
      </c>
      <c r="J681" t="s">
        <v>66</v>
      </c>
      <c r="K681" t="str">
        <f>VLOOKUP(Table1[[#This Row],[Loser]],Ranking!C:D,2,FALSE)</f>
        <v>BE</v>
      </c>
      <c r="L681" s="1">
        <v>64</v>
      </c>
      <c r="N681" s="1">
        <f>Table1[[#This Row],[Winning Score]]-Table1[[#This Row],[Losing Score]]</f>
        <v>10</v>
      </c>
      <c r="O681" s="1">
        <f>Table1[[#This Row],[Losing Seed]]-Table1[[#This Row],[Winning Seed]]</f>
        <v>4</v>
      </c>
      <c r="P681" s="1" t="str">
        <f>IF(Table1[[#This Row],[SeD]]&lt;-2,Table1[[#This Row],[Winning Seed]]&amp; " over " &amp;Table1[[#This Row],[Losing Seed]],"")</f>
        <v/>
      </c>
      <c r="Q681">
        <f>VLOOKUP(Table1[[#This Row],[Losing Seed]],'Seed History'!$N$4:$O$19,2)</f>
        <v>1.0625</v>
      </c>
      <c r="R681" s="1">
        <f>IF(Table1[[#This Row],[Round]]="PI",0,Table1[[#This Row],[Round]]-1)</f>
        <v>2</v>
      </c>
      <c r="S681">
        <f>Table1[[#This Row],[LAW]]-Table1[[#This Row],[LEW]]</f>
        <v>0.9375</v>
      </c>
    </row>
    <row r="682" spans="1:19" x14ac:dyDescent="0.25">
      <c r="A682" s="66">
        <v>34781</v>
      </c>
      <c r="B682" s="51">
        <f>YEAR(Table1[[#This Row],[Date]])</f>
        <v>1995</v>
      </c>
      <c r="C682" s="1">
        <v>3</v>
      </c>
      <c r="D682" t="s">
        <v>38</v>
      </c>
      <c r="E682" s="1">
        <v>1</v>
      </c>
      <c r="F682" t="s">
        <v>67</v>
      </c>
      <c r="G682" t="str">
        <f>VLOOKUP(Table1[[#This Row],[Winner]],Ranking!C:D,2,FALSE)</f>
        <v>P12</v>
      </c>
      <c r="H682" s="1">
        <v>86</v>
      </c>
      <c r="I682" s="1">
        <v>5</v>
      </c>
      <c r="J682" t="s">
        <v>275</v>
      </c>
      <c r="K682" t="str">
        <f>VLOOKUP(Table1[[#This Row],[Loser]],Ranking!C:D,2,FALSE)</f>
        <v>SEC</v>
      </c>
      <c r="L682" s="1">
        <v>67</v>
      </c>
      <c r="N682" s="1">
        <f>Table1[[#This Row],[Winning Score]]-Table1[[#This Row],[Losing Score]]</f>
        <v>19</v>
      </c>
      <c r="O682" s="1">
        <f>Table1[[#This Row],[Losing Seed]]-Table1[[#This Row],[Winning Seed]]</f>
        <v>4</v>
      </c>
      <c r="P682" s="1" t="str">
        <f>IF(Table1[[#This Row],[SeD]]&lt;-2,Table1[[#This Row],[Winning Seed]]&amp; " over " &amp;Table1[[#This Row],[Losing Seed]],"")</f>
        <v/>
      </c>
      <c r="Q682">
        <f>VLOOKUP(Table1[[#This Row],[Losing Seed]],'Seed History'!$N$4:$O$19,2)</f>
        <v>1.1180555555555556</v>
      </c>
      <c r="R682" s="1">
        <f>IF(Table1[[#This Row],[Round]]="PI",0,Table1[[#This Row],[Round]]-1)</f>
        <v>2</v>
      </c>
      <c r="S682">
        <f>Table1[[#This Row],[LAW]]-Table1[[#This Row],[LEW]]</f>
        <v>0.88194444444444442</v>
      </c>
    </row>
    <row r="683" spans="1:19" x14ac:dyDescent="0.25">
      <c r="A683" s="66">
        <v>34781</v>
      </c>
      <c r="B683" s="51">
        <f>YEAR(Table1[[#This Row],[Date]])</f>
        <v>1995</v>
      </c>
      <c r="C683" s="1">
        <v>3</v>
      </c>
      <c r="D683" t="s">
        <v>38</v>
      </c>
      <c r="E683" s="1">
        <v>2</v>
      </c>
      <c r="F683" t="s">
        <v>80</v>
      </c>
      <c r="G683" t="str">
        <f>VLOOKUP(Table1[[#This Row],[Winner]],Ranking!C:D,2,FALSE)</f>
        <v>BE</v>
      </c>
      <c r="H683" s="1">
        <v>99</v>
      </c>
      <c r="I683" s="1">
        <v>3</v>
      </c>
      <c r="J683" t="s">
        <v>31</v>
      </c>
      <c r="K683" t="str">
        <f>VLOOKUP(Table1[[#This Row],[Loser]],Ranking!C:D,2,FALSE)</f>
        <v>B10</v>
      </c>
      <c r="L683" s="1">
        <v>89</v>
      </c>
      <c r="N683" s="1">
        <f>Table1[[#This Row],[Winning Score]]-Table1[[#This Row],[Losing Score]]</f>
        <v>10</v>
      </c>
      <c r="O683" s="1">
        <f>Table1[[#This Row],[Losing Seed]]-Table1[[#This Row],[Winning Seed]]</f>
        <v>1</v>
      </c>
      <c r="P683" s="1" t="str">
        <f>IF(Table1[[#This Row],[SeD]]&lt;-2,Table1[[#This Row],[Winning Seed]]&amp; " over " &amp;Table1[[#This Row],[Losing Seed]],"")</f>
        <v/>
      </c>
      <c r="Q683">
        <f>VLOOKUP(Table1[[#This Row],[Losing Seed]],'Seed History'!$N$4:$O$19,2)</f>
        <v>1.8472222222222223</v>
      </c>
      <c r="R683" s="1">
        <f>IF(Table1[[#This Row],[Round]]="PI",0,Table1[[#This Row],[Round]]-1)</f>
        <v>2</v>
      </c>
      <c r="S683">
        <f>Table1[[#This Row],[LAW]]-Table1[[#This Row],[LEW]]</f>
        <v>0.15277777777777768</v>
      </c>
    </row>
    <row r="684" spans="1:19" x14ac:dyDescent="0.25">
      <c r="A684" s="66">
        <v>34782</v>
      </c>
      <c r="B684" s="51">
        <f>YEAR(Table1[[#This Row],[Date]])</f>
        <v>1995</v>
      </c>
      <c r="C684" s="1">
        <v>3</v>
      </c>
      <c r="D684" t="s">
        <v>49</v>
      </c>
      <c r="E684" s="1">
        <v>2</v>
      </c>
      <c r="F684" t="s">
        <v>265</v>
      </c>
      <c r="G684" t="str">
        <f>VLOOKUP(Table1[[#This Row],[Winner]],Ranking!C:D,2,FALSE)</f>
        <v>A10</v>
      </c>
      <c r="H684" s="1">
        <v>76</v>
      </c>
      <c r="I684" s="1">
        <v>6</v>
      </c>
      <c r="J684" t="s">
        <v>94</v>
      </c>
      <c r="K684" t="str">
        <f>VLOOKUP(Table1[[#This Row],[Loser]],Ranking!C:D,2,FALSE)</f>
        <v>Amer</v>
      </c>
      <c r="L684" s="1">
        <v>51</v>
      </c>
      <c r="N684" s="1">
        <f>Table1[[#This Row],[Winning Score]]-Table1[[#This Row],[Losing Score]]</f>
        <v>25</v>
      </c>
      <c r="O684" s="1">
        <f>Table1[[#This Row],[Losing Seed]]-Table1[[#This Row],[Winning Seed]]</f>
        <v>4</v>
      </c>
      <c r="P684" s="1" t="str">
        <f>IF(Table1[[#This Row],[SeD]]&lt;-2,Table1[[#This Row],[Winning Seed]]&amp; " over " &amp;Table1[[#This Row],[Losing Seed]],"")</f>
        <v/>
      </c>
      <c r="Q684">
        <f>VLOOKUP(Table1[[#This Row],[Losing Seed]],'Seed History'!$N$4:$O$19,2)</f>
        <v>1.0625</v>
      </c>
      <c r="R684" s="1">
        <f>IF(Table1[[#This Row],[Round]]="PI",0,Table1[[#This Row],[Round]]-1)</f>
        <v>2</v>
      </c>
      <c r="S684">
        <f>Table1[[#This Row],[LAW]]-Table1[[#This Row],[LEW]]</f>
        <v>0.9375</v>
      </c>
    </row>
    <row r="685" spans="1:19" x14ac:dyDescent="0.25">
      <c r="A685" s="66">
        <v>34782</v>
      </c>
      <c r="B685" s="51">
        <f>YEAR(Table1[[#This Row],[Date]])</f>
        <v>1995</v>
      </c>
      <c r="C685" s="1">
        <v>3</v>
      </c>
      <c r="D685" t="s">
        <v>439</v>
      </c>
      <c r="E685" s="1">
        <v>2</v>
      </c>
      <c r="F685" t="s">
        <v>41</v>
      </c>
      <c r="G685" t="str">
        <f>VLOOKUP(Table1[[#This Row],[Winner]],Ranking!C:D,2,FALSE)</f>
        <v>SEC</v>
      </c>
      <c r="H685" s="1">
        <v>96</v>
      </c>
      <c r="I685" s="1">
        <v>6</v>
      </c>
      <c r="J685" t="s">
        <v>267</v>
      </c>
      <c r="K685" t="str">
        <f>VLOOKUP(Table1[[#This Row],[Loser]],Ranking!C:D,2,FALSE)</f>
        <v>Amer</v>
      </c>
      <c r="L685" s="1">
        <v>91</v>
      </c>
      <c r="M685" s="1" t="s">
        <v>462</v>
      </c>
      <c r="N685" s="1">
        <f>Table1[[#This Row],[Winning Score]]-Table1[[#This Row],[Losing Score]]</f>
        <v>5</v>
      </c>
      <c r="O685" s="1">
        <f>Table1[[#This Row],[Losing Seed]]-Table1[[#This Row],[Winning Seed]]</f>
        <v>4</v>
      </c>
      <c r="P685" s="1" t="str">
        <f>IF(Table1[[#This Row],[SeD]]&lt;-2,Table1[[#This Row],[Winning Seed]]&amp; " over " &amp;Table1[[#This Row],[Losing Seed]],"")</f>
        <v/>
      </c>
      <c r="Q685">
        <f>VLOOKUP(Table1[[#This Row],[Losing Seed]],'Seed History'!$N$4:$O$19,2)</f>
        <v>1.0625</v>
      </c>
      <c r="R685" s="1">
        <f>IF(Table1[[#This Row],[Round]]="PI",0,Table1[[#This Row],[Round]]-1)</f>
        <v>2</v>
      </c>
      <c r="S685">
        <f>Table1[[#This Row],[LAW]]-Table1[[#This Row],[LEW]]</f>
        <v>0.9375</v>
      </c>
    </row>
    <row r="686" spans="1:19" x14ac:dyDescent="0.25">
      <c r="A686" s="66">
        <v>34782</v>
      </c>
      <c r="B686" s="51">
        <f>YEAR(Table1[[#This Row],[Date]])</f>
        <v>1995</v>
      </c>
      <c r="C686" s="1">
        <v>3</v>
      </c>
      <c r="D686" t="s">
        <v>49</v>
      </c>
      <c r="E686" s="1">
        <v>4</v>
      </c>
      <c r="F686" t="s">
        <v>316</v>
      </c>
      <c r="G686" t="str">
        <f>VLOOKUP(Table1[[#This Row],[Winner]],Ranking!C:D,2,FALSE)</f>
        <v>B12</v>
      </c>
      <c r="H686" s="1">
        <v>71</v>
      </c>
      <c r="I686" s="1">
        <v>1</v>
      </c>
      <c r="J686" t="s">
        <v>408</v>
      </c>
      <c r="K686" t="str">
        <f>VLOOKUP(Table1[[#This Row],[Loser]],Ranking!C:D,2,FALSE)</f>
        <v>ACC</v>
      </c>
      <c r="L686" s="1">
        <v>66</v>
      </c>
      <c r="N686" s="1">
        <f>Table1[[#This Row],[Winning Score]]-Table1[[#This Row],[Losing Score]]</f>
        <v>5</v>
      </c>
      <c r="O686" s="1">
        <f>Table1[[#This Row],[Losing Seed]]-Table1[[#This Row],[Winning Seed]]</f>
        <v>-3</v>
      </c>
      <c r="P686" s="1" t="str">
        <f>IF(Table1[[#This Row],[SeD]]&lt;-2,Table1[[#This Row],[Winning Seed]]&amp; " over " &amp;Table1[[#This Row],[Losing Seed]],"")</f>
        <v>4 over 1</v>
      </c>
      <c r="Q686">
        <f>VLOOKUP(Table1[[#This Row],[Losing Seed]],'Seed History'!$N$4:$O$19,2)</f>
        <v>3.3263888888888888</v>
      </c>
      <c r="R686" s="1">
        <f>IF(Table1[[#This Row],[Round]]="PI",0,Table1[[#This Row],[Round]]-1)</f>
        <v>2</v>
      </c>
      <c r="S686">
        <f>Table1[[#This Row],[LAW]]-Table1[[#This Row],[LEW]]</f>
        <v>-1.3263888888888888</v>
      </c>
    </row>
    <row r="687" spans="1:19" x14ac:dyDescent="0.25">
      <c r="A687" s="66">
        <v>34782</v>
      </c>
      <c r="B687" s="51">
        <f>YEAR(Table1[[#This Row],[Date]])</f>
        <v>1995</v>
      </c>
      <c r="C687" s="1">
        <v>3</v>
      </c>
      <c r="D687" t="s">
        <v>439</v>
      </c>
      <c r="E687" s="1">
        <v>4</v>
      </c>
      <c r="F687" t="s">
        <v>61</v>
      </c>
      <c r="G687" t="str">
        <f>VLOOKUP(Table1[[#This Row],[Winner]],Ranking!C:D,2,FALSE)</f>
        <v>ACC</v>
      </c>
      <c r="H687" s="1">
        <v>67</v>
      </c>
      <c r="I687" s="1">
        <v>1</v>
      </c>
      <c r="J687" t="s">
        <v>37</v>
      </c>
      <c r="K687" t="str">
        <f>VLOOKUP(Table1[[#This Row],[Loser]],Ranking!C:D,2,FALSE)</f>
        <v>B12</v>
      </c>
      <c r="L687" s="1">
        <v>58</v>
      </c>
      <c r="N687" s="1">
        <f>Table1[[#This Row],[Winning Score]]-Table1[[#This Row],[Losing Score]]</f>
        <v>9</v>
      </c>
      <c r="O687" s="1">
        <f>Table1[[#This Row],[Losing Seed]]-Table1[[#This Row],[Winning Seed]]</f>
        <v>-3</v>
      </c>
      <c r="P687" s="1" t="str">
        <f>IF(Table1[[#This Row],[SeD]]&lt;-2,Table1[[#This Row],[Winning Seed]]&amp; " over " &amp;Table1[[#This Row],[Losing Seed]],"")</f>
        <v>4 over 1</v>
      </c>
      <c r="Q687">
        <f>VLOOKUP(Table1[[#This Row],[Losing Seed]],'Seed History'!$N$4:$O$19,2)</f>
        <v>3.3263888888888888</v>
      </c>
      <c r="R687" s="1">
        <f>IF(Table1[[#This Row],[Round]]="PI",0,Table1[[#This Row],[Round]]-1)</f>
        <v>2</v>
      </c>
      <c r="S687">
        <f>Table1[[#This Row],[LAW]]-Table1[[#This Row],[LEW]]</f>
        <v>-1.3263888888888888</v>
      </c>
    </row>
    <row r="688" spans="1:19" x14ac:dyDescent="0.25">
      <c r="A688" s="66">
        <v>34783</v>
      </c>
      <c r="B688" s="51">
        <f>YEAR(Table1[[#This Row],[Date]])</f>
        <v>1995</v>
      </c>
      <c r="C688" s="1">
        <v>4</v>
      </c>
      <c r="D688" t="s">
        <v>38</v>
      </c>
      <c r="E688" s="1">
        <v>1</v>
      </c>
      <c r="F688" t="s">
        <v>67</v>
      </c>
      <c r="G688" t="str">
        <f>VLOOKUP(Table1[[#This Row],[Winner]],Ranking!C:D,2,FALSE)</f>
        <v>P12</v>
      </c>
      <c r="H688" s="1">
        <v>102</v>
      </c>
      <c r="I688" s="1">
        <v>2</v>
      </c>
      <c r="J688" t="s">
        <v>80</v>
      </c>
      <c r="K688" t="str">
        <f>VLOOKUP(Table1[[#This Row],[Loser]],Ranking!C:D,2,FALSE)</f>
        <v>BE</v>
      </c>
      <c r="L688" s="1">
        <v>96</v>
      </c>
      <c r="N688" s="1">
        <f>Table1[[#This Row],[Winning Score]]-Table1[[#This Row],[Losing Score]]</f>
        <v>6</v>
      </c>
      <c r="O688" s="1">
        <f>Table1[[#This Row],[Losing Seed]]-Table1[[#This Row],[Winning Seed]]</f>
        <v>1</v>
      </c>
      <c r="P688" s="1" t="str">
        <f>IF(Table1[[#This Row],[SeD]]&lt;-2,Table1[[#This Row],[Winning Seed]]&amp; " over " &amp;Table1[[#This Row],[Losing Seed]],"")</f>
        <v/>
      </c>
      <c r="Q688">
        <f>VLOOKUP(Table1[[#This Row],[Losing Seed]],'Seed History'!$N$4:$O$19,2)</f>
        <v>2.3472222222222223</v>
      </c>
      <c r="R688" s="1">
        <f>IF(Table1[[#This Row],[Round]]="PI",0,Table1[[#This Row],[Round]]-1)</f>
        <v>3</v>
      </c>
      <c r="S688">
        <f>Table1[[#This Row],[LAW]]-Table1[[#This Row],[LEW]]</f>
        <v>0.65277777777777768</v>
      </c>
    </row>
    <row r="689" spans="1:19" x14ac:dyDescent="0.25">
      <c r="A689" s="66">
        <v>34783</v>
      </c>
      <c r="B689" s="51">
        <f>YEAR(Table1[[#This Row],[Date]])</f>
        <v>1995</v>
      </c>
      <c r="C689" s="1">
        <v>4</v>
      </c>
      <c r="D689" t="s">
        <v>461</v>
      </c>
      <c r="E689" s="1">
        <v>2</v>
      </c>
      <c r="F689" t="s">
        <v>298</v>
      </c>
      <c r="G689" t="str">
        <f>VLOOKUP(Table1[[#This Row],[Winner]],Ranking!C:D,2,FALSE)</f>
        <v>ACC</v>
      </c>
      <c r="H689" s="1">
        <v>74</v>
      </c>
      <c r="I689" s="1">
        <v>1</v>
      </c>
      <c r="J689" t="s">
        <v>26</v>
      </c>
      <c r="K689" t="str">
        <f>VLOOKUP(Table1[[#This Row],[Loser]],Ranking!C:D,2,FALSE)</f>
        <v>SEC</v>
      </c>
      <c r="L689" s="1">
        <v>61</v>
      </c>
      <c r="N689" s="1">
        <f>Table1[[#This Row],[Winning Score]]-Table1[[#This Row],[Losing Score]]</f>
        <v>13</v>
      </c>
      <c r="O689" s="1">
        <f>Table1[[#This Row],[Losing Seed]]-Table1[[#This Row],[Winning Seed]]</f>
        <v>-1</v>
      </c>
      <c r="P689" s="1" t="str">
        <f>IF(Table1[[#This Row],[SeD]]&lt;-2,Table1[[#This Row],[Winning Seed]]&amp; " over " &amp;Table1[[#This Row],[Losing Seed]],"")</f>
        <v/>
      </c>
      <c r="Q689">
        <f>VLOOKUP(Table1[[#This Row],[Losing Seed]],'Seed History'!$N$4:$O$19,2)</f>
        <v>3.3263888888888888</v>
      </c>
      <c r="R689" s="1">
        <f>IF(Table1[[#This Row],[Round]]="PI",0,Table1[[#This Row],[Round]]-1)</f>
        <v>3</v>
      </c>
      <c r="S689">
        <f>Table1[[#This Row],[LAW]]-Table1[[#This Row],[LEW]]</f>
        <v>-0.32638888888888884</v>
      </c>
    </row>
    <row r="690" spans="1:19" x14ac:dyDescent="0.25">
      <c r="A690" s="66">
        <v>34784</v>
      </c>
      <c r="B690" s="51">
        <f>YEAR(Table1[[#This Row],[Date]])</f>
        <v>1995</v>
      </c>
      <c r="C690" s="1">
        <v>4</v>
      </c>
      <c r="D690" t="s">
        <v>439</v>
      </c>
      <c r="E690" s="1">
        <v>2</v>
      </c>
      <c r="F690" t="s">
        <v>41</v>
      </c>
      <c r="G690" t="str">
        <f>VLOOKUP(Table1[[#This Row],[Winner]],Ranking!C:D,2,FALSE)</f>
        <v>SEC</v>
      </c>
      <c r="H690" s="1">
        <v>68</v>
      </c>
      <c r="I690" s="1">
        <v>4</v>
      </c>
      <c r="J690" t="s">
        <v>61</v>
      </c>
      <c r="K690" t="str">
        <f>VLOOKUP(Table1[[#This Row],[Loser]],Ranking!C:D,2,FALSE)</f>
        <v>ACC</v>
      </c>
      <c r="L690" s="1">
        <v>61</v>
      </c>
      <c r="N690" s="1">
        <f>Table1[[#This Row],[Winning Score]]-Table1[[#This Row],[Losing Score]]</f>
        <v>7</v>
      </c>
      <c r="O690" s="1">
        <f>Table1[[#This Row],[Losing Seed]]-Table1[[#This Row],[Winning Seed]]</f>
        <v>2</v>
      </c>
      <c r="P690" s="1" t="str">
        <f>IF(Table1[[#This Row],[SeD]]&lt;-2,Table1[[#This Row],[Winning Seed]]&amp; " over " &amp;Table1[[#This Row],[Losing Seed]],"")</f>
        <v/>
      </c>
      <c r="Q690">
        <f>VLOOKUP(Table1[[#This Row],[Losing Seed]],'Seed History'!$N$4:$O$19,2)</f>
        <v>1.5208333333333333</v>
      </c>
      <c r="R690" s="1">
        <f>IF(Table1[[#This Row],[Round]]="PI",0,Table1[[#This Row],[Round]]-1)</f>
        <v>3</v>
      </c>
      <c r="S690">
        <f>Table1[[#This Row],[LAW]]-Table1[[#This Row],[LEW]]</f>
        <v>1.4791666666666667</v>
      </c>
    </row>
    <row r="691" spans="1:19" x14ac:dyDescent="0.25">
      <c r="A691" s="66">
        <v>34784</v>
      </c>
      <c r="B691" s="51">
        <f>YEAR(Table1[[#This Row],[Date]])</f>
        <v>1995</v>
      </c>
      <c r="C691" s="1">
        <v>4</v>
      </c>
      <c r="D691" t="s">
        <v>49</v>
      </c>
      <c r="E691" s="1">
        <v>4</v>
      </c>
      <c r="F691" t="s">
        <v>316</v>
      </c>
      <c r="G691" t="str">
        <f>VLOOKUP(Table1[[#This Row],[Winner]],Ranking!C:D,2,FALSE)</f>
        <v>B12</v>
      </c>
      <c r="H691" s="1">
        <v>68</v>
      </c>
      <c r="I691" s="1">
        <v>2</v>
      </c>
      <c r="J691" t="s">
        <v>265</v>
      </c>
      <c r="K691" t="str">
        <f>VLOOKUP(Table1[[#This Row],[Loser]],Ranking!C:D,2,FALSE)</f>
        <v>A10</v>
      </c>
      <c r="L691" s="1">
        <v>54</v>
      </c>
      <c r="N691" s="1">
        <f>Table1[[#This Row],[Winning Score]]-Table1[[#This Row],[Losing Score]]</f>
        <v>14</v>
      </c>
      <c r="O691" s="1">
        <f>Table1[[#This Row],[Losing Seed]]-Table1[[#This Row],[Winning Seed]]</f>
        <v>-2</v>
      </c>
      <c r="P691" s="1" t="str">
        <f>IF(Table1[[#This Row],[SeD]]&lt;-2,Table1[[#This Row],[Winning Seed]]&amp; " over " &amp;Table1[[#This Row],[Losing Seed]],"")</f>
        <v/>
      </c>
      <c r="Q691">
        <f>VLOOKUP(Table1[[#This Row],[Losing Seed]],'Seed History'!$N$4:$O$19,2)</f>
        <v>2.3472222222222223</v>
      </c>
      <c r="R691" s="1">
        <f>IF(Table1[[#This Row],[Round]]="PI",0,Table1[[#This Row],[Round]]-1)</f>
        <v>3</v>
      </c>
      <c r="S691">
        <f>Table1[[#This Row],[LAW]]-Table1[[#This Row],[LEW]]</f>
        <v>0.65277777777777768</v>
      </c>
    </row>
    <row r="692" spans="1:19" x14ac:dyDescent="0.25">
      <c r="A692" s="66">
        <v>34790</v>
      </c>
      <c r="B692" s="51">
        <f>YEAR(Table1[[#This Row],[Date]])</f>
        <v>1995</v>
      </c>
      <c r="C692" s="1">
        <v>5</v>
      </c>
      <c r="D692" t="s">
        <v>467</v>
      </c>
      <c r="E692" s="1">
        <v>1</v>
      </c>
      <c r="F692" t="s">
        <v>67</v>
      </c>
      <c r="G692" t="str">
        <f>VLOOKUP(Table1[[#This Row],[Winner]],Ranking!C:D,2,FALSE)</f>
        <v>P12</v>
      </c>
      <c r="H692" s="1">
        <v>74</v>
      </c>
      <c r="I692" s="1">
        <v>4</v>
      </c>
      <c r="J692" t="s">
        <v>316</v>
      </c>
      <c r="K692" t="str">
        <f>VLOOKUP(Table1[[#This Row],[Loser]],Ranking!C:D,2,FALSE)</f>
        <v>B12</v>
      </c>
      <c r="L692" s="1">
        <v>61</v>
      </c>
      <c r="N692" s="1">
        <f>Table1[[#This Row],[Winning Score]]-Table1[[#This Row],[Losing Score]]</f>
        <v>13</v>
      </c>
      <c r="O692" s="1">
        <f>Table1[[#This Row],[Losing Seed]]-Table1[[#This Row],[Winning Seed]]</f>
        <v>3</v>
      </c>
      <c r="P692" s="1" t="str">
        <f>IF(Table1[[#This Row],[SeD]]&lt;-2,Table1[[#This Row],[Winning Seed]]&amp; " over " &amp;Table1[[#This Row],[Losing Seed]],"")</f>
        <v/>
      </c>
      <c r="Q692">
        <f>VLOOKUP(Table1[[#This Row],[Losing Seed]],'Seed History'!$N$4:$O$19,2)</f>
        <v>1.5208333333333333</v>
      </c>
      <c r="R692" s="1">
        <f>IF(Table1[[#This Row],[Round]]="PI",0,Table1[[#This Row],[Round]]-1)</f>
        <v>4</v>
      </c>
      <c r="S692">
        <f>Table1[[#This Row],[LAW]]-Table1[[#This Row],[LEW]]</f>
        <v>2.479166666666667</v>
      </c>
    </row>
    <row r="693" spans="1:19" x14ac:dyDescent="0.25">
      <c r="A693" s="66">
        <v>34790</v>
      </c>
      <c r="B693" s="51">
        <f>YEAR(Table1[[#This Row],[Date]])</f>
        <v>1995</v>
      </c>
      <c r="C693" s="1">
        <v>5</v>
      </c>
      <c r="D693" t="s">
        <v>467</v>
      </c>
      <c r="E693" s="1">
        <v>2</v>
      </c>
      <c r="F693" t="s">
        <v>41</v>
      </c>
      <c r="G693" t="str">
        <f>VLOOKUP(Table1[[#This Row],[Winner]],Ranking!C:D,2,FALSE)</f>
        <v>SEC</v>
      </c>
      <c r="H693" s="1">
        <v>75</v>
      </c>
      <c r="I693" s="1">
        <v>2</v>
      </c>
      <c r="J693" t="s">
        <v>298</v>
      </c>
      <c r="K693" t="str">
        <f>VLOOKUP(Table1[[#This Row],[Loser]],Ranking!C:D,2,FALSE)</f>
        <v>ACC</v>
      </c>
      <c r="L693" s="1">
        <v>68</v>
      </c>
      <c r="N693" s="1">
        <f>Table1[[#This Row],[Winning Score]]-Table1[[#This Row],[Losing Score]]</f>
        <v>7</v>
      </c>
      <c r="O693" s="1">
        <f>Table1[[#This Row],[Losing Seed]]-Table1[[#This Row],[Winning Seed]]</f>
        <v>0</v>
      </c>
      <c r="P693" s="1" t="str">
        <f>IF(Table1[[#This Row],[SeD]]&lt;-2,Table1[[#This Row],[Winning Seed]]&amp; " over " &amp;Table1[[#This Row],[Losing Seed]],"")</f>
        <v/>
      </c>
      <c r="Q693">
        <f>VLOOKUP(Table1[[#This Row],[Losing Seed]],'Seed History'!$N$4:$O$19,2)</f>
        <v>2.3472222222222223</v>
      </c>
      <c r="R693" s="1">
        <f>IF(Table1[[#This Row],[Round]]="PI",0,Table1[[#This Row],[Round]]-1)</f>
        <v>4</v>
      </c>
      <c r="S693">
        <f>Table1[[#This Row],[LAW]]-Table1[[#This Row],[LEW]]</f>
        <v>1.6527777777777777</v>
      </c>
    </row>
    <row r="694" spans="1:19" x14ac:dyDescent="0.25">
      <c r="A694" s="66">
        <v>34792</v>
      </c>
      <c r="B694" s="51">
        <f>YEAR(Table1[[#This Row],[Date]])</f>
        <v>1995</v>
      </c>
      <c r="C694" s="1">
        <v>6</v>
      </c>
      <c r="D694" t="s">
        <v>468</v>
      </c>
      <c r="E694" s="1">
        <v>1</v>
      </c>
      <c r="F694" t="s">
        <v>67</v>
      </c>
      <c r="G694" t="str">
        <f>VLOOKUP(Table1[[#This Row],[Winner]],Ranking!C:D,2,FALSE)</f>
        <v>P12</v>
      </c>
      <c r="H694" s="1">
        <v>89</v>
      </c>
      <c r="I694" s="1">
        <v>2</v>
      </c>
      <c r="J694" t="s">
        <v>41</v>
      </c>
      <c r="K694" t="str">
        <f>VLOOKUP(Table1[[#This Row],[Loser]],Ranking!C:D,2,FALSE)</f>
        <v>SEC</v>
      </c>
      <c r="L694" s="1">
        <v>78</v>
      </c>
      <c r="N694" s="1">
        <f>Table1[[#This Row],[Winning Score]]-Table1[[#This Row],[Losing Score]]</f>
        <v>11</v>
      </c>
      <c r="O694" s="1">
        <f>Table1[[#This Row],[Losing Seed]]-Table1[[#This Row],[Winning Seed]]</f>
        <v>1</v>
      </c>
      <c r="P694" s="1" t="str">
        <f>IF(Table1[[#This Row],[SeD]]&lt;-2,Table1[[#This Row],[Winning Seed]]&amp; " over " &amp;Table1[[#This Row],[Losing Seed]],"")</f>
        <v/>
      </c>
      <c r="Q694">
        <f>VLOOKUP(Table1[[#This Row],[Losing Seed]],'Seed History'!$N$4:$O$19,2)</f>
        <v>2.3472222222222223</v>
      </c>
      <c r="R694" s="1">
        <f>IF(Table1[[#This Row],[Round]]="PI",0,Table1[[#This Row],[Round]]-1)</f>
        <v>5</v>
      </c>
      <c r="S694">
        <f>Table1[[#This Row],[LAW]]-Table1[[#This Row],[LEW]]</f>
        <v>2.6527777777777777</v>
      </c>
    </row>
    <row r="695" spans="1:19" x14ac:dyDescent="0.25">
      <c r="A695" s="66">
        <v>35138</v>
      </c>
      <c r="B695" s="51">
        <f>YEAR(Table1[[#This Row],[Date]])</f>
        <v>1996</v>
      </c>
      <c r="C695" s="1">
        <v>1</v>
      </c>
      <c r="D695" t="s">
        <v>461</v>
      </c>
      <c r="E695" s="1">
        <v>13</v>
      </c>
      <c r="F695" t="s">
        <v>91</v>
      </c>
      <c r="G695" t="str">
        <f>VLOOKUP(Table1[[#This Row],[Winner]],Ranking!C:D,2,FALSE)</f>
        <v>Ivy</v>
      </c>
      <c r="H695" s="1">
        <v>43</v>
      </c>
      <c r="I695" s="1">
        <v>4</v>
      </c>
      <c r="J695" t="s">
        <v>67</v>
      </c>
      <c r="K695" t="str">
        <f>VLOOKUP(Table1[[#This Row],[Loser]],Ranking!C:D,2,FALSE)</f>
        <v>P12</v>
      </c>
      <c r="L695" s="1">
        <v>41</v>
      </c>
      <c r="N695" s="1">
        <f>Table1[[#This Row],[Winning Score]]-Table1[[#This Row],[Losing Score]]</f>
        <v>2</v>
      </c>
      <c r="O695" s="1">
        <f>Table1[[#This Row],[Losing Seed]]-Table1[[#This Row],[Winning Seed]]</f>
        <v>-9</v>
      </c>
      <c r="P695" s="1" t="str">
        <f>IF(Table1[[#This Row],[SeD]]&lt;-2,Table1[[#This Row],[Winning Seed]]&amp; " over " &amp;Table1[[#This Row],[Losing Seed]],"")</f>
        <v>13 over 4</v>
      </c>
      <c r="Q695">
        <f>VLOOKUP(Table1[[#This Row],[Losing Seed]],'Seed History'!$N$4:$O$19,2)</f>
        <v>1.5208333333333333</v>
      </c>
      <c r="R695" s="1">
        <f>IF(Table1[[#This Row],[Round]]="PI",0,Table1[[#This Row],[Round]]-1)</f>
        <v>0</v>
      </c>
      <c r="S695">
        <f>Table1[[#This Row],[LAW]]-Table1[[#This Row],[LEW]]</f>
        <v>-1.5208333333333333</v>
      </c>
    </row>
    <row r="696" spans="1:19" x14ac:dyDescent="0.25">
      <c r="A696" s="66">
        <v>35138</v>
      </c>
      <c r="B696" s="51">
        <f>YEAR(Table1[[#This Row],[Date]])</f>
        <v>1996</v>
      </c>
      <c r="C696" s="1">
        <v>1</v>
      </c>
      <c r="D696" t="s">
        <v>49</v>
      </c>
      <c r="E696" s="1">
        <v>12</v>
      </c>
      <c r="F696" t="s">
        <v>41</v>
      </c>
      <c r="G696" t="str">
        <f>VLOOKUP(Table1[[#This Row],[Winner]],Ranking!C:D,2,FALSE)</f>
        <v>SEC</v>
      </c>
      <c r="H696" s="1">
        <v>86</v>
      </c>
      <c r="I696" s="1">
        <v>5</v>
      </c>
      <c r="J696" t="s">
        <v>322</v>
      </c>
      <c r="K696" t="str">
        <f>VLOOKUP(Table1[[#This Row],[Loser]],Ranking!C:D,2,FALSE)</f>
        <v>B10</v>
      </c>
      <c r="L696" s="1">
        <v>80</v>
      </c>
      <c r="N696" s="1">
        <f>Table1[[#This Row],[Winning Score]]-Table1[[#This Row],[Losing Score]]</f>
        <v>6</v>
      </c>
      <c r="O696" s="1">
        <f>Table1[[#This Row],[Losing Seed]]-Table1[[#This Row],[Winning Seed]]</f>
        <v>-7</v>
      </c>
      <c r="P696" s="1" t="str">
        <f>IF(Table1[[#This Row],[SeD]]&lt;-2,Table1[[#This Row],[Winning Seed]]&amp; " over " &amp;Table1[[#This Row],[Losing Seed]],"")</f>
        <v>12 over 5</v>
      </c>
      <c r="Q696">
        <f>VLOOKUP(Table1[[#This Row],[Losing Seed]],'Seed History'!$N$4:$O$19,2)</f>
        <v>1.1180555555555556</v>
      </c>
      <c r="R696" s="1">
        <f>IF(Table1[[#This Row],[Round]]="PI",0,Table1[[#This Row],[Round]]-1)</f>
        <v>0</v>
      </c>
      <c r="S696">
        <f>Table1[[#This Row],[LAW]]-Table1[[#This Row],[LEW]]</f>
        <v>-1.1180555555555556</v>
      </c>
    </row>
    <row r="697" spans="1:19" x14ac:dyDescent="0.25">
      <c r="A697" s="66">
        <v>35138</v>
      </c>
      <c r="B697" s="51">
        <f>YEAR(Table1[[#This Row],[Date]])</f>
        <v>1996</v>
      </c>
      <c r="C697" s="1">
        <v>1</v>
      </c>
      <c r="D697" t="s">
        <v>38</v>
      </c>
      <c r="E697" s="1">
        <v>12</v>
      </c>
      <c r="F697" t="s">
        <v>189</v>
      </c>
      <c r="G697" t="str">
        <f>VLOOKUP(Table1[[#This Row],[Winner]],Ranking!C:D,2,FALSE)</f>
        <v>CAA</v>
      </c>
      <c r="H697" s="1">
        <v>75</v>
      </c>
      <c r="I697" s="1">
        <v>5</v>
      </c>
      <c r="J697" t="s">
        <v>267</v>
      </c>
      <c r="K697" t="str">
        <f>VLOOKUP(Table1[[#This Row],[Loser]],Ranking!C:D,2,FALSE)</f>
        <v>Amer</v>
      </c>
      <c r="L697" s="1">
        <v>63</v>
      </c>
      <c r="N697" s="1">
        <f>Table1[[#This Row],[Winning Score]]-Table1[[#This Row],[Losing Score]]</f>
        <v>12</v>
      </c>
      <c r="O697" s="1">
        <f>Table1[[#This Row],[Losing Seed]]-Table1[[#This Row],[Winning Seed]]</f>
        <v>-7</v>
      </c>
      <c r="P697" s="1" t="str">
        <f>IF(Table1[[#This Row],[SeD]]&lt;-2,Table1[[#This Row],[Winning Seed]]&amp; " over " &amp;Table1[[#This Row],[Losing Seed]],"")</f>
        <v>12 over 5</v>
      </c>
      <c r="Q697">
        <f>VLOOKUP(Table1[[#This Row],[Losing Seed]],'Seed History'!$N$4:$O$19,2)</f>
        <v>1.1180555555555556</v>
      </c>
      <c r="R697" s="1">
        <f>IF(Table1[[#This Row],[Round]]="PI",0,Table1[[#This Row],[Round]]-1)</f>
        <v>0</v>
      </c>
      <c r="S697">
        <f>Table1[[#This Row],[LAW]]-Table1[[#This Row],[LEW]]</f>
        <v>-1.1180555555555556</v>
      </c>
    </row>
    <row r="698" spans="1:19" x14ac:dyDescent="0.25">
      <c r="A698" s="66">
        <v>35138</v>
      </c>
      <c r="B698" s="51">
        <f>YEAR(Table1[[#This Row],[Date]])</f>
        <v>1996</v>
      </c>
      <c r="C698" s="1">
        <v>1</v>
      </c>
      <c r="D698" t="s">
        <v>49</v>
      </c>
      <c r="E698" s="1">
        <v>1</v>
      </c>
      <c r="F698" t="s">
        <v>265</v>
      </c>
      <c r="G698" t="str">
        <f>VLOOKUP(Table1[[#This Row],[Winner]],Ranking!C:D,2,FALSE)</f>
        <v>A10</v>
      </c>
      <c r="H698" s="1">
        <v>92</v>
      </c>
      <c r="I698" s="1">
        <v>16</v>
      </c>
      <c r="J698" t="s">
        <v>389</v>
      </c>
      <c r="K698" t="str">
        <f>VLOOKUP(Table1[[#This Row],[Loser]],Ranking!C:D,2,FALSE)</f>
        <v>Amer</v>
      </c>
      <c r="L698" s="1">
        <v>70</v>
      </c>
      <c r="N698" s="1">
        <f>Table1[[#This Row],[Winning Score]]-Table1[[#This Row],[Losing Score]]</f>
        <v>22</v>
      </c>
      <c r="O698" s="1">
        <f>Table1[[#This Row],[Losing Seed]]-Table1[[#This Row],[Winning Seed]]</f>
        <v>15</v>
      </c>
      <c r="P698" s="1" t="str">
        <f>IF(Table1[[#This Row],[SeD]]&lt;-2,Table1[[#This Row],[Winning Seed]]&amp; " over " &amp;Table1[[#This Row],[Losing Seed]],"")</f>
        <v/>
      </c>
      <c r="Q698">
        <f>VLOOKUP(Table1[[#This Row],[Losing Seed]],'Seed History'!$N$4:$O$19,2)</f>
        <v>6.9444444444444441E-3</v>
      </c>
      <c r="R698" s="1">
        <f>IF(Table1[[#This Row],[Round]]="PI",0,Table1[[#This Row],[Round]]-1)</f>
        <v>0</v>
      </c>
      <c r="S698">
        <f>Table1[[#This Row],[LAW]]-Table1[[#This Row],[LEW]]</f>
        <v>-6.9444444444444441E-3</v>
      </c>
    </row>
    <row r="699" spans="1:19" x14ac:dyDescent="0.25">
      <c r="A699" s="66">
        <v>35138</v>
      </c>
      <c r="B699" s="51">
        <f>YEAR(Table1[[#This Row],[Date]])</f>
        <v>1996</v>
      </c>
      <c r="C699" s="1">
        <v>1</v>
      </c>
      <c r="D699" t="s">
        <v>49</v>
      </c>
      <c r="E699" s="1">
        <v>4</v>
      </c>
      <c r="F699" t="s">
        <v>262</v>
      </c>
      <c r="G699" t="str">
        <f>VLOOKUP(Table1[[#This Row],[Winner]],Ranking!C:D,2,FALSE)</f>
        <v>BE</v>
      </c>
      <c r="H699" s="1">
        <v>68</v>
      </c>
      <c r="I699" s="1">
        <v>13</v>
      </c>
      <c r="J699" t="s">
        <v>279</v>
      </c>
      <c r="K699" t="str">
        <f>VLOOKUP(Table1[[#This Row],[Loser]],Ranking!C:D,2,FALSE)</f>
        <v>MAAC</v>
      </c>
      <c r="L699" s="1">
        <v>44</v>
      </c>
      <c r="N699" s="1">
        <f>Table1[[#This Row],[Winning Score]]-Table1[[#This Row],[Losing Score]]</f>
        <v>24</v>
      </c>
      <c r="O699" s="1">
        <f>Table1[[#This Row],[Losing Seed]]-Table1[[#This Row],[Winning Seed]]</f>
        <v>9</v>
      </c>
      <c r="P699" s="1" t="str">
        <f>IF(Table1[[#This Row],[SeD]]&lt;-2,Table1[[#This Row],[Winning Seed]]&amp; " over " &amp;Table1[[#This Row],[Losing Seed]],"")</f>
        <v/>
      </c>
      <c r="Q699">
        <f>VLOOKUP(Table1[[#This Row],[Losing Seed]],'Seed History'!$N$4:$O$19,2)</f>
        <v>0.25694444444444442</v>
      </c>
      <c r="R699" s="1">
        <f>IF(Table1[[#This Row],[Round]]="PI",0,Table1[[#This Row],[Round]]-1)</f>
        <v>0</v>
      </c>
      <c r="S699">
        <f>Table1[[#This Row],[LAW]]-Table1[[#This Row],[LEW]]</f>
        <v>-0.25694444444444442</v>
      </c>
    </row>
    <row r="700" spans="1:19" x14ac:dyDescent="0.25">
      <c r="A700" s="66">
        <v>35138</v>
      </c>
      <c r="B700" s="51">
        <f>YEAR(Table1[[#This Row],[Date]])</f>
        <v>1996</v>
      </c>
      <c r="C700" s="1">
        <v>1</v>
      </c>
      <c r="D700" t="s">
        <v>439</v>
      </c>
      <c r="E700" s="1">
        <v>1</v>
      </c>
      <c r="F700" t="s">
        <v>26</v>
      </c>
      <c r="G700" t="str">
        <f>VLOOKUP(Table1[[#This Row],[Winner]],Ranking!C:D,2,FALSE)</f>
        <v>SEC</v>
      </c>
      <c r="H700" s="1">
        <v>110</v>
      </c>
      <c r="I700" s="1">
        <v>16</v>
      </c>
      <c r="J700" t="s">
        <v>346</v>
      </c>
      <c r="K700" t="str">
        <f>VLOOKUP(Table1[[#This Row],[Loser]],Ranking!C:D,2,FALSE)</f>
        <v>MWC</v>
      </c>
      <c r="L700" s="1">
        <v>72</v>
      </c>
      <c r="N700" s="1">
        <f>Table1[[#This Row],[Winning Score]]-Table1[[#This Row],[Losing Score]]</f>
        <v>38</v>
      </c>
      <c r="O700" s="1">
        <f>Table1[[#This Row],[Losing Seed]]-Table1[[#This Row],[Winning Seed]]</f>
        <v>15</v>
      </c>
      <c r="P700" s="1" t="str">
        <f>IF(Table1[[#This Row],[SeD]]&lt;-2,Table1[[#This Row],[Winning Seed]]&amp; " over " &amp;Table1[[#This Row],[Losing Seed]],"")</f>
        <v/>
      </c>
      <c r="Q700">
        <f>VLOOKUP(Table1[[#This Row],[Losing Seed]],'Seed History'!$N$4:$O$19,2)</f>
        <v>6.9444444444444441E-3</v>
      </c>
      <c r="R700" s="1">
        <f>IF(Table1[[#This Row],[Round]]="PI",0,Table1[[#This Row],[Round]]-1)</f>
        <v>0</v>
      </c>
      <c r="S700">
        <f>Table1[[#This Row],[LAW]]-Table1[[#This Row],[LEW]]</f>
        <v>-6.9444444444444441E-3</v>
      </c>
    </row>
    <row r="701" spans="1:19" x14ac:dyDescent="0.25">
      <c r="A701" s="66">
        <v>35138</v>
      </c>
      <c r="B701" s="51">
        <f>YEAR(Table1[[#This Row],[Date]])</f>
        <v>1996</v>
      </c>
      <c r="C701" s="1">
        <v>1</v>
      </c>
      <c r="D701" t="s">
        <v>439</v>
      </c>
      <c r="E701" s="1">
        <v>4</v>
      </c>
      <c r="F701" t="s">
        <v>65</v>
      </c>
      <c r="G701" t="str">
        <f>VLOOKUP(Table1[[#This Row],[Winner]],Ranking!C:D,2,FALSE)</f>
        <v>P12</v>
      </c>
      <c r="H701" s="1">
        <v>72</v>
      </c>
      <c r="I701" s="1">
        <v>13</v>
      </c>
      <c r="J701" t="s">
        <v>159</v>
      </c>
      <c r="K701" t="str">
        <f>VLOOKUP(Table1[[#This Row],[Loser]],Ranking!C:D,2,FALSE)</f>
        <v>MAAC</v>
      </c>
      <c r="L701" s="1">
        <v>43</v>
      </c>
      <c r="N701" s="1">
        <f>Table1[[#This Row],[Winning Score]]-Table1[[#This Row],[Losing Score]]</f>
        <v>29</v>
      </c>
      <c r="O701" s="1">
        <f>Table1[[#This Row],[Losing Seed]]-Table1[[#This Row],[Winning Seed]]</f>
        <v>9</v>
      </c>
      <c r="P701" s="1" t="str">
        <f>IF(Table1[[#This Row],[SeD]]&lt;-2,Table1[[#This Row],[Winning Seed]]&amp; " over " &amp;Table1[[#This Row],[Losing Seed]],"")</f>
        <v/>
      </c>
      <c r="Q701">
        <f>VLOOKUP(Table1[[#This Row],[Losing Seed]],'Seed History'!$N$4:$O$19,2)</f>
        <v>0.25694444444444442</v>
      </c>
      <c r="R701" s="1">
        <f>IF(Table1[[#This Row],[Round]]="PI",0,Table1[[#This Row],[Round]]-1)</f>
        <v>0</v>
      </c>
      <c r="S701">
        <f>Table1[[#This Row],[LAW]]-Table1[[#This Row],[LEW]]</f>
        <v>-0.25694444444444442</v>
      </c>
    </row>
    <row r="702" spans="1:19" x14ac:dyDescent="0.25">
      <c r="A702" s="66">
        <v>35138</v>
      </c>
      <c r="B702" s="51">
        <f>YEAR(Table1[[#This Row],[Date]])</f>
        <v>1996</v>
      </c>
      <c r="C702" s="1">
        <v>1</v>
      </c>
      <c r="D702" t="s">
        <v>439</v>
      </c>
      <c r="E702" s="1">
        <v>5</v>
      </c>
      <c r="F702" t="s">
        <v>237</v>
      </c>
      <c r="G702" t="str">
        <f>VLOOKUP(Table1[[#This Row],[Winner]],Ranking!C:D,2,FALSE)</f>
        <v>B12</v>
      </c>
      <c r="H702" s="1">
        <v>74</v>
      </c>
      <c r="I702" s="1">
        <v>12</v>
      </c>
      <c r="J702" t="s">
        <v>84</v>
      </c>
      <c r="K702" t="str">
        <f>VLOOKUP(Table1[[#This Row],[Loser]],Ranking!C:D,2,FALSE)</f>
        <v>P12</v>
      </c>
      <c r="L702" s="1">
        <v>64</v>
      </c>
      <c r="N702" s="1">
        <f>Table1[[#This Row],[Winning Score]]-Table1[[#This Row],[Losing Score]]</f>
        <v>10</v>
      </c>
      <c r="O702" s="1">
        <f>Table1[[#This Row],[Losing Seed]]-Table1[[#This Row],[Winning Seed]]</f>
        <v>7</v>
      </c>
      <c r="P702" s="1" t="str">
        <f>IF(Table1[[#This Row],[SeD]]&lt;-2,Table1[[#This Row],[Winning Seed]]&amp; " over " &amp;Table1[[#This Row],[Losing Seed]],"")</f>
        <v/>
      </c>
      <c r="Q702">
        <f>VLOOKUP(Table1[[#This Row],[Losing Seed]],'Seed History'!$N$4:$O$19,2)</f>
        <v>0.52083333333333337</v>
      </c>
      <c r="R702" s="1">
        <f>IF(Table1[[#This Row],[Round]]="PI",0,Table1[[#This Row],[Round]]-1)</f>
        <v>0</v>
      </c>
      <c r="S702">
        <f>Table1[[#This Row],[LAW]]-Table1[[#This Row],[LEW]]</f>
        <v>-0.52083333333333337</v>
      </c>
    </row>
    <row r="703" spans="1:19" x14ac:dyDescent="0.25">
      <c r="A703" s="66">
        <v>35138</v>
      </c>
      <c r="B703" s="51">
        <f>YEAR(Table1[[#This Row],[Date]])</f>
        <v>1996</v>
      </c>
      <c r="C703" s="1">
        <v>1</v>
      </c>
      <c r="D703" t="s">
        <v>461</v>
      </c>
      <c r="E703" s="1">
        <v>1</v>
      </c>
      <c r="F703" t="s">
        <v>80</v>
      </c>
      <c r="G703" t="str">
        <f>VLOOKUP(Table1[[#This Row],[Winner]],Ranking!C:D,2,FALSE)</f>
        <v>BE</v>
      </c>
      <c r="H703" s="1">
        <v>68</v>
      </c>
      <c r="I703" s="1">
        <v>16</v>
      </c>
      <c r="J703" t="s">
        <v>174</v>
      </c>
      <c r="K703" t="str">
        <f>VLOOKUP(Table1[[#This Row],[Loser]],Ranking!C:D,2,FALSE)</f>
        <v>Pat</v>
      </c>
      <c r="L703" s="1">
        <v>59</v>
      </c>
      <c r="N703" s="1">
        <f>Table1[[#This Row],[Winning Score]]-Table1[[#This Row],[Losing Score]]</f>
        <v>9</v>
      </c>
      <c r="O703" s="1">
        <f>Table1[[#This Row],[Losing Seed]]-Table1[[#This Row],[Winning Seed]]</f>
        <v>15</v>
      </c>
      <c r="P703" s="1" t="str">
        <f>IF(Table1[[#This Row],[SeD]]&lt;-2,Table1[[#This Row],[Winning Seed]]&amp; " over " &amp;Table1[[#This Row],[Losing Seed]],"")</f>
        <v/>
      </c>
      <c r="Q703">
        <f>VLOOKUP(Table1[[#This Row],[Losing Seed]],'Seed History'!$N$4:$O$19,2)</f>
        <v>6.9444444444444441E-3</v>
      </c>
      <c r="R703" s="1">
        <f>IF(Table1[[#This Row],[Round]]="PI",0,Table1[[#This Row],[Round]]-1)</f>
        <v>0</v>
      </c>
      <c r="S703">
        <f>Table1[[#This Row],[LAW]]-Table1[[#This Row],[LEW]]</f>
        <v>-6.9444444444444441E-3</v>
      </c>
    </row>
    <row r="704" spans="1:19" x14ac:dyDescent="0.25">
      <c r="A704" s="66">
        <v>35138</v>
      </c>
      <c r="B704" s="51">
        <f>YEAR(Table1[[#This Row],[Date]])</f>
        <v>1996</v>
      </c>
      <c r="C704" s="1">
        <v>1</v>
      </c>
      <c r="D704" t="s">
        <v>461</v>
      </c>
      <c r="E704" s="1">
        <v>5</v>
      </c>
      <c r="F704" t="s">
        <v>275</v>
      </c>
      <c r="G704" t="str">
        <f>VLOOKUP(Table1[[#This Row],[Winner]],Ranking!C:D,2,FALSE)</f>
        <v>SEC</v>
      </c>
      <c r="H704" s="1">
        <v>58</v>
      </c>
      <c r="I704" s="1">
        <v>12</v>
      </c>
      <c r="J704" t="s">
        <v>47</v>
      </c>
      <c r="K704" t="str">
        <f>VLOOKUP(Table1[[#This Row],[Loser]],Ranking!C:D,2,FALSE)</f>
        <v>A10</v>
      </c>
      <c r="L704" s="1">
        <v>51</v>
      </c>
      <c r="N704" s="1">
        <f>Table1[[#This Row],[Winning Score]]-Table1[[#This Row],[Losing Score]]</f>
        <v>7</v>
      </c>
      <c r="O704" s="1">
        <f>Table1[[#This Row],[Losing Seed]]-Table1[[#This Row],[Winning Seed]]</f>
        <v>7</v>
      </c>
      <c r="P704" s="1" t="str">
        <f>IF(Table1[[#This Row],[SeD]]&lt;-2,Table1[[#This Row],[Winning Seed]]&amp; " over " &amp;Table1[[#This Row],[Losing Seed]],"")</f>
        <v/>
      </c>
      <c r="Q704">
        <f>VLOOKUP(Table1[[#This Row],[Losing Seed]],'Seed History'!$N$4:$O$19,2)</f>
        <v>0.52083333333333337</v>
      </c>
      <c r="R704" s="1">
        <f>IF(Table1[[#This Row],[Round]]="PI",0,Table1[[#This Row],[Round]]-1)</f>
        <v>0</v>
      </c>
      <c r="S704">
        <f>Table1[[#This Row],[LAW]]-Table1[[#This Row],[LEW]]</f>
        <v>-0.52083333333333337</v>
      </c>
    </row>
    <row r="705" spans="1:19" x14ac:dyDescent="0.25">
      <c r="A705" s="66">
        <v>35138</v>
      </c>
      <c r="B705" s="51">
        <f>YEAR(Table1[[#This Row],[Date]])</f>
        <v>1996</v>
      </c>
      <c r="C705" s="1">
        <v>1</v>
      </c>
      <c r="D705" t="s">
        <v>38</v>
      </c>
      <c r="E705" s="1">
        <v>1</v>
      </c>
      <c r="F705" t="s">
        <v>29</v>
      </c>
      <c r="G705" t="str">
        <f>VLOOKUP(Table1[[#This Row],[Winner]],Ranking!C:D,2,FALSE)</f>
        <v>B10</v>
      </c>
      <c r="H705" s="1">
        <v>73</v>
      </c>
      <c r="I705" s="1">
        <v>16</v>
      </c>
      <c r="J705" t="s">
        <v>413</v>
      </c>
      <c r="K705" t="str">
        <f>VLOOKUP(Table1[[#This Row],[Loser]],Ranking!C:D,2,FALSE)</f>
        <v>SC</v>
      </c>
      <c r="L705" s="1">
        <v>71</v>
      </c>
      <c r="N705" s="1">
        <f>Table1[[#This Row],[Winning Score]]-Table1[[#This Row],[Losing Score]]</f>
        <v>2</v>
      </c>
      <c r="O705" s="1">
        <f>Table1[[#This Row],[Losing Seed]]-Table1[[#This Row],[Winning Seed]]</f>
        <v>15</v>
      </c>
      <c r="P705" s="1" t="str">
        <f>IF(Table1[[#This Row],[SeD]]&lt;-2,Table1[[#This Row],[Winning Seed]]&amp; " over " &amp;Table1[[#This Row],[Losing Seed]],"")</f>
        <v/>
      </c>
      <c r="Q705">
        <f>VLOOKUP(Table1[[#This Row],[Losing Seed]],'Seed History'!$N$4:$O$19,2)</f>
        <v>6.9444444444444441E-3</v>
      </c>
      <c r="R705" s="1">
        <f>IF(Table1[[#This Row],[Round]]="PI",0,Table1[[#This Row],[Round]]-1)</f>
        <v>0</v>
      </c>
      <c r="S705">
        <f>Table1[[#This Row],[LAW]]-Table1[[#This Row],[LEW]]</f>
        <v>-6.9444444444444441E-3</v>
      </c>
    </row>
    <row r="706" spans="1:19" x14ac:dyDescent="0.25">
      <c r="A706" s="66">
        <v>35138</v>
      </c>
      <c r="B706" s="51">
        <f>YEAR(Table1[[#This Row],[Date]])</f>
        <v>1996</v>
      </c>
      <c r="C706" s="1">
        <v>1</v>
      </c>
      <c r="D706" t="s">
        <v>38</v>
      </c>
      <c r="E706" s="1">
        <v>4</v>
      </c>
      <c r="F706" t="s">
        <v>86</v>
      </c>
      <c r="G706" t="str">
        <f>VLOOKUP(Table1[[#This Row],[Winner]],Ranking!C:D,2,FALSE)</f>
        <v>ACC</v>
      </c>
      <c r="H706" s="1">
        <v>88</v>
      </c>
      <c r="I706" s="1">
        <v>13</v>
      </c>
      <c r="J706" t="s">
        <v>281</v>
      </c>
      <c r="K706" t="str">
        <f>VLOOKUP(Table1[[#This Row],[Loser]],Ranking!C:D,2,FALSE)</f>
        <v>BSky</v>
      </c>
      <c r="L706" s="1">
        <v>55</v>
      </c>
      <c r="N706" s="1">
        <f>Table1[[#This Row],[Winning Score]]-Table1[[#This Row],[Losing Score]]</f>
        <v>33</v>
      </c>
      <c r="O706" s="1">
        <f>Table1[[#This Row],[Losing Seed]]-Table1[[#This Row],[Winning Seed]]</f>
        <v>9</v>
      </c>
      <c r="P706" s="1" t="str">
        <f>IF(Table1[[#This Row],[SeD]]&lt;-2,Table1[[#This Row],[Winning Seed]]&amp; " over " &amp;Table1[[#This Row],[Losing Seed]],"")</f>
        <v/>
      </c>
      <c r="Q706">
        <f>VLOOKUP(Table1[[#This Row],[Losing Seed]],'Seed History'!$N$4:$O$19,2)</f>
        <v>0.25694444444444442</v>
      </c>
      <c r="R706" s="1">
        <f>IF(Table1[[#This Row],[Round]]="PI",0,Table1[[#This Row],[Round]]-1)</f>
        <v>0</v>
      </c>
      <c r="S706">
        <f>Table1[[#This Row],[LAW]]-Table1[[#This Row],[LEW]]</f>
        <v>-0.25694444444444442</v>
      </c>
    </row>
    <row r="707" spans="1:19" x14ac:dyDescent="0.25">
      <c r="A707" s="66">
        <v>35138</v>
      </c>
      <c r="B707" s="51">
        <f>YEAR(Table1[[#This Row],[Date]])</f>
        <v>1996</v>
      </c>
      <c r="C707" s="1">
        <v>1</v>
      </c>
      <c r="D707" t="s">
        <v>38</v>
      </c>
      <c r="E707" s="1">
        <v>8</v>
      </c>
      <c r="F707" t="s">
        <v>60</v>
      </c>
      <c r="G707" t="str">
        <f>VLOOKUP(Table1[[#This Row],[Winner]],Ranking!C:D,2,FALSE)</f>
        <v>SEC</v>
      </c>
      <c r="H707" s="1">
        <v>81</v>
      </c>
      <c r="I707" s="1">
        <v>9</v>
      </c>
      <c r="J707" t="s">
        <v>89</v>
      </c>
      <c r="K707" t="str">
        <f>VLOOKUP(Table1[[#This Row],[Loser]],Ranking!C:D,2,FALSE)</f>
        <v>ACC</v>
      </c>
      <c r="L707" s="1">
        <v>74</v>
      </c>
      <c r="N707" s="1">
        <f>Table1[[#This Row],[Winning Score]]-Table1[[#This Row],[Losing Score]]</f>
        <v>7</v>
      </c>
      <c r="O707" s="1">
        <f>Table1[[#This Row],[Losing Seed]]-Table1[[#This Row],[Winning Seed]]</f>
        <v>1</v>
      </c>
      <c r="P707" s="1" t="str">
        <f>IF(Table1[[#This Row],[SeD]]&lt;-2,Table1[[#This Row],[Winning Seed]]&amp; " over " &amp;Table1[[#This Row],[Losing Seed]],"")</f>
        <v/>
      </c>
      <c r="Q707">
        <f>VLOOKUP(Table1[[#This Row],[Losing Seed]],'Seed History'!$N$4:$O$19,2)</f>
        <v>0.59027777777777779</v>
      </c>
      <c r="R707" s="1">
        <f>IF(Table1[[#This Row],[Round]]="PI",0,Table1[[#This Row],[Round]]-1)</f>
        <v>0</v>
      </c>
      <c r="S707">
        <f>Table1[[#This Row],[LAW]]-Table1[[#This Row],[LEW]]</f>
        <v>-0.59027777777777779</v>
      </c>
    </row>
    <row r="708" spans="1:19" x14ac:dyDescent="0.25">
      <c r="A708" s="66">
        <v>35138</v>
      </c>
      <c r="B708" s="51">
        <f>YEAR(Table1[[#This Row],[Date]])</f>
        <v>1996</v>
      </c>
      <c r="C708" s="1">
        <v>1</v>
      </c>
      <c r="D708" t="s">
        <v>49</v>
      </c>
      <c r="E708" s="1">
        <v>9</v>
      </c>
      <c r="F708" t="s">
        <v>369</v>
      </c>
      <c r="G708" t="str">
        <f>VLOOKUP(Table1[[#This Row],[Winner]],Ranking!C:D,2,FALSE)</f>
        <v>P12</v>
      </c>
      <c r="H708" s="1">
        <v>66</v>
      </c>
      <c r="I708" s="1">
        <v>8</v>
      </c>
      <c r="J708" t="s">
        <v>142</v>
      </c>
      <c r="K708" t="str">
        <f>VLOOKUP(Table1[[#This Row],[Loser]],Ranking!C:D,2,FALSE)</f>
        <v>MVC</v>
      </c>
      <c r="L708" s="1">
        <v>58</v>
      </c>
      <c r="N708" s="1">
        <f>Table1[[#This Row],[Winning Score]]-Table1[[#This Row],[Losing Score]]</f>
        <v>8</v>
      </c>
      <c r="O708" s="1">
        <f>Table1[[#This Row],[Losing Seed]]-Table1[[#This Row],[Winning Seed]]</f>
        <v>-1</v>
      </c>
      <c r="P708" s="1" t="str">
        <f>IF(Table1[[#This Row],[SeD]]&lt;-2,Table1[[#This Row],[Winning Seed]]&amp; " over " &amp;Table1[[#This Row],[Losing Seed]],"")</f>
        <v/>
      </c>
      <c r="Q708">
        <f>VLOOKUP(Table1[[#This Row],[Losing Seed]],'Seed History'!$N$4:$O$19,2)</f>
        <v>0.70833333333333337</v>
      </c>
      <c r="R708" s="1">
        <f>IF(Table1[[#This Row],[Round]]="PI",0,Table1[[#This Row],[Round]]-1)</f>
        <v>0</v>
      </c>
      <c r="S708">
        <f>Table1[[#This Row],[LAW]]-Table1[[#This Row],[LEW]]</f>
        <v>-0.70833333333333337</v>
      </c>
    </row>
    <row r="709" spans="1:19" x14ac:dyDescent="0.25">
      <c r="A709" s="66">
        <v>35138</v>
      </c>
      <c r="B709" s="51">
        <f>YEAR(Table1[[#This Row],[Date]])</f>
        <v>1996</v>
      </c>
      <c r="C709" s="1">
        <v>1</v>
      </c>
      <c r="D709" t="s">
        <v>439</v>
      </c>
      <c r="E709" s="1">
        <v>9</v>
      </c>
      <c r="F709" t="s">
        <v>405</v>
      </c>
      <c r="G709" t="str">
        <f>VLOOKUP(Table1[[#This Row],[Winner]],Ranking!C:D,2,FALSE)</f>
        <v>ACC</v>
      </c>
      <c r="H709" s="1">
        <v>61</v>
      </c>
      <c r="I709" s="1">
        <v>8</v>
      </c>
      <c r="J709" t="s">
        <v>219</v>
      </c>
      <c r="K709" t="str">
        <f>VLOOKUP(Table1[[#This Row],[Loser]],Ranking!C:D,2,FALSE)</f>
        <v>Horz</v>
      </c>
      <c r="L709" s="1">
        <v>48</v>
      </c>
      <c r="N709" s="1">
        <f>Table1[[#This Row],[Winning Score]]-Table1[[#This Row],[Losing Score]]</f>
        <v>13</v>
      </c>
      <c r="O709" s="1">
        <f>Table1[[#This Row],[Losing Seed]]-Table1[[#This Row],[Winning Seed]]</f>
        <v>-1</v>
      </c>
      <c r="P709" s="1" t="str">
        <f>IF(Table1[[#This Row],[SeD]]&lt;-2,Table1[[#This Row],[Winning Seed]]&amp; " over " &amp;Table1[[#This Row],[Losing Seed]],"")</f>
        <v/>
      </c>
      <c r="Q709">
        <f>VLOOKUP(Table1[[#This Row],[Losing Seed]],'Seed History'!$N$4:$O$19,2)</f>
        <v>0.70833333333333337</v>
      </c>
      <c r="R709" s="1">
        <f>IF(Table1[[#This Row],[Round]]="PI",0,Table1[[#This Row],[Round]]-1)</f>
        <v>0</v>
      </c>
      <c r="S709">
        <f>Table1[[#This Row],[LAW]]-Table1[[#This Row],[LEW]]</f>
        <v>-0.70833333333333337</v>
      </c>
    </row>
    <row r="710" spans="1:19" x14ac:dyDescent="0.25">
      <c r="A710" s="66">
        <v>35138</v>
      </c>
      <c r="B710" s="51">
        <f>YEAR(Table1[[#This Row],[Date]])</f>
        <v>1996</v>
      </c>
      <c r="C710" s="1">
        <v>1</v>
      </c>
      <c r="D710" t="s">
        <v>461</v>
      </c>
      <c r="E710" s="1">
        <v>9</v>
      </c>
      <c r="F710" t="s">
        <v>195</v>
      </c>
      <c r="G710" t="str">
        <f>VLOOKUP(Table1[[#This Row],[Winner]],Ranking!C:D,2,FALSE)</f>
        <v>MAC</v>
      </c>
      <c r="H710" s="1">
        <v>75</v>
      </c>
      <c r="I710" s="1">
        <v>8</v>
      </c>
      <c r="J710" t="s">
        <v>64</v>
      </c>
      <c r="K710" t="str">
        <f>VLOOKUP(Table1[[#This Row],[Loser]],Ranking!C:D,2,FALSE)</f>
        <v>ACC</v>
      </c>
      <c r="L710" s="1">
        <v>60</v>
      </c>
      <c r="N710" s="1">
        <f>Table1[[#This Row],[Winning Score]]-Table1[[#This Row],[Losing Score]]</f>
        <v>15</v>
      </c>
      <c r="O710" s="1">
        <f>Table1[[#This Row],[Losing Seed]]-Table1[[#This Row],[Winning Seed]]</f>
        <v>-1</v>
      </c>
      <c r="P710" s="1" t="str">
        <f>IF(Table1[[#This Row],[SeD]]&lt;-2,Table1[[#This Row],[Winning Seed]]&amp; " over " &amp;Table1[[#This Row],[Losing Seed]],"")</f>
        <v/>
      </c>
      <c r="Q710">
        <f>VLOOKUP(Table1[[#This Row],[Losing Seed]],'Seed History'!$N$4:$O$19,2)</f>
        <v>0.70833333333333337</v>
      </c>
      <c r="R710" s="1">
        <f>IF(Table1[[#This Row],[Round]]="PI",0,Table1[[#This Row],[Round]]-1)</f>
        <v>0</v>
      </c>
      <c r="S710">
        <f>Table1[[#This Row],[LAW]]-Table1[[#This Row],[LEW]]</f>
        <v>-0.70833333333333337</v>
      </c>
    </row>
    <row r="711" spans="1:19" x14ac:dyDescent="0.25">
      <c r="A711" s="66">
        <v>35139</v>
      </c>
      <c r="B711" s="51">
        <f>YEAR(Table1[[#This Row],[Date]])</f>
        <v>1996</v>
      </c>
      <c r="C711" s="1">
        <v>1</v>
      </c>
      <c r="D711" t="s">
        <v>49</v>
      </c>
      <c r="E711" s="1">
        <v>2</v>
      </c>
      <c r="F711" t="s">
        <v>66</v>
      </c>
      <c r="G711" t="str">
        <f>VLOOKUP(Table1[[#This Row],[Winner]],Ranking!C:D,2,FALSE)</f>
        <v>BE</v>
      </c>
      <c r="H711" s="1">
        <v>93</v>
      </c>
      <c r="I711" s="1">
        <v>15</v>
      </c>
      <c r="J711" t="s">
        <v>276</v>
      </c>
      <c r="K711" t="str">
        <f>VLOOKUP(Table1[[#This Row],[Loser]],Ranking!C:D,2,FALSE)</f>
        <v>SWAC</v>
      </c>
      <c r="L711" s="1">
        <v>56</v>
      </c>
      <c r="N711" s="1">
        <f>Table1[[#This Row],[Winning Score]]-Table1[[#This Row],[Losing Score]]</f>
        <v>37</v>
      </c>
      <c r="O711" s="1">
        <f>Table1[[#This Row],[Losing Seed]]-Table1[[#This Row],[Winning Seed]]</f>
        <v>13</v>
      </c>
      <c r="P711" s="1" t="str">
        <f>IF(Table1[[#This Row],[SeD]]&lt;-2,Table1[[#This Row],[Winning Seed]]&amp; " over " &amp;Table1[[#This Row],[Losing Seed]],"")</f>
        <v/>
      </c>
      <c r="Q711">
        <f>VLOOKUP(Table1[[#This Row],[Losing Seed]],'Seed History'!$N$4:$O$19,2)</f>
        <v>7.6388888888888895E-2</v>
      </c>
      <c r="R711" s="1">
        <f>IF(Table1[[#This Row],[Round]]="PI",0,Table1[[#This Row],[Round]]-1)</f>
        <v>0</v>
      </c>
      <c r="S711">
        <f>Table1[[#This Row],[LAW]]-Table1[[#This Row],[LEW]]</f>
        <v>-7.6388888888888895E-2</v>
      </c>
    </row>
    <row r="712" spans="1:19" x14ac:dyDescent="0.25">
      <c r="A712" s="66">
        <v>35139</v>
      </c>
      <c r="B712" s="51">
        <f>YEAR(Table1[[#This Row],[Date]])</f>
        <v>1996</v>
      </c>
      <c r="C712" s="1">
        <v>1</v>
      </c>
      <c r="D712" t="s">
        <v>49</v>
      </c>
      <c r="E712" s="1">
        <v>3</v>
      </c>
      <c r="F712" t="s">
        <v>92</v>
      </c>
      <c r="G712" t="str">
        <f>VLOOKUP(Table1[[#This Row],[Winner]],Ranking!C:D,2,FALSE)</f>
        <v>B12</v>
      </c>
      <c r="H712" s="1">
        <v>74</v>
      </c>
      <c r="I712" s="1">
        <v>14</v>
      </c>
      <c r="J712" t="s">
        <v>309</v>
      </c>
      <c r="K712" t="str">
        <f>VLOOKUP(Table1[[#This Row],[Loser]],Ranking!C:D,2,FALSE)</f>
        <v>MAC</v>
      </c>
      <c r="L712" s="1">
        <v>73</v>
      </c>
      <c r="N712" s="1">
        <f>Table1[[#This Row],[Winning Score]]-Table1[[#This Row],[Losing Score]]</f>
        <v>1</v>
      </c>
      <c r="O712" s="1">
        <f>Table1[[#This Row],[Losing Seed]]-Table1[[#This Row],[Winning Seed]]</f>
        <v>11</v>
      </c>
      <c r="P712" s="1" t="str">
        <f>IF(Table1[[#This Row],[SeD]]&lt;-2,Table1[[#This Row],[Winning Seed]]&amp; " over " &amp;Table1[[#This Row],[Losing Seed]],"")</f>
        <v/>
      </c>
      <c r="Q712">
        <f>VLOOKUP(Table1[[#This Row],[Losing Seed]],'Seed History'!$N$4:$O$19,2)</f>
        <v>0.16666666666666666</v>
      </c>
      <c r="R712" s="1">
        <f>IF(Table1[[#This Row],[Round]]="PI",0,Table1[[#This Row],[Round]]-1)</f>
        <v>0</v>
      </c>
      <c r="S712">
        <f>Table1[[#This Row],[LAW]]-Table1[[#This Row],[LEW]]</f>
        <v>-0.16666666666666666</v>
      </c>
    </row>
    <row r="713" spans="1:19" x14ac:dyDescent="0.25">
      <c r="A713" s="66">
        <v>35139</v>
      </c>
      <c r="B713" s="51">
        <f>YEAR(Table1[[#This Row],[Date]])</f>
        <v>1996</v>
      </c>
      <c r="C713" s="1">
        <v>1</v>
      </c>
      <c r="D713" t="s">
        <v>49</v>
      </c>
      <c r="E713" s="1">
        <v>6</v>
      </c>
      <c r="F713" t="s">
        <v>298</v>
      </c>
      <c r="G713" t="str">
        <f>VLOOKUP(Table1[[#This Row],[Winner]],Ranking!C:D,2,FALSE)</f>
        <v>ACC</v>
      </c>
      <c r="H713" s="1">
        <v>83</v>
      </c>
      <c r="I713" s="1">
        <v>11</v>
      </c>
      <c r="J713" t="s">
        <v>293</v>
      </c>
      <c r="K713" t="str">
        <f>VLOOKUP(Table1[[#This Row],[Loser]],Ranking!C:D,2,FALSE)</f>
        <v>Slnd</v>
      </c>
      <c r="L713" s="1">
        <v>62</v>
      </c>
      <c r="N713" s="1">
        <f>Table1[[#This Row],[Winning Score]]-Table1[[#This Row],[Losing Score]]</f>
        <v>21</v>
      </c>
      <c r="O713" s="1">
        <f>Table1[[#This Row],[Losing Seed]]-Table1[[#This Row],[Winning Seed]]</f>
        <v>5</v>
      </c>
      <c r="P713" s="1" t="str">
        <f>IF(Table1[[#This Row],[SeD]]&lt;-2,Table1[[#This Row],[Winning Seed]]&amp; " over " &amp;Table1[[#This Row],[Losing Seed]],"")</f>
        <v/>
      </c>
      <c r="Q713">
        <f>VLOOKUP(Table1[[#This Row],[Losing Seed]],'Seed History'!$N$4:$O$19,2)</f>
        <v>0.63194444444444442</v>
      </c>
      <c r="R713" s="1">
        <f>IF(Table1[[#This Row],[Round]]="PI",0,Table1[[#This Row],[Round]]-1)</f>
        <v>0</v>
      </c>
      <c r="S713">
        <f>Table1[[#This Row],[LAW]]-Table1[[#This Row],[LEW]]</f>
        <v>-0.63194444444444442</v>
      </c>
    </row>
    <row r="714" spans="1:19" x14ac:dyDescent="0.25">
      <c r="A714" s="66">
        <v>35139</v>
      </c>
      <c r="B714" s="51">
        <f>YEAR(Table1[[#This Row],[Date]])</f>
        <v>1996</v>
      </c>
      <c r="C714" s="1">
        <v>1</v>
      </c>
      <c r="D714" t="s">
        <v>49</v>
      </c>
      <c r="E714" s="1">
        <v>7</v>
      </c>
      <c r="F714" t="s">
        <v>291</v>
      </c>
      <c r="G714" t="str">
        <f>VLOOKUP(Table1[[#This Row],[Winner]],Ranking!C:D,2,FALSE)</f>
        <v>MWC</v>
      </c>
      <c r="H714" s="1">
        <v>69</v>
      </c>
      <c r="I714" s="1">
        <v>10</v>
      </c>
      <c r="J714" t="s">
        <v>243</v>
      </c>
      <c r="K714" t="str">
        <f>VLOOKUP(Table1[[#This Row],[Loser]],Ranking!C:D,2,FALSE)</f>
        <v>B12</v>
      </c>
      <c r="L714" s="1">
        <v>48</v>
      </c>
      <c r="N714" s="1">
        <f>Table1[[#This Row],[Winning Score]]-Table1[[#This Row],[Losing Score]]</f>
        <v>21</v>
      </c>
      <c r="O714" s="1">
        <f>Table1[[#This Row],[Losing Seed]]-Table1[[#This Row],[Winning Seed]]</f>
        <v>3</v>
      </c>
      <c r="P714" s="1" t="str">
        <f>IF(Table1[[#This Row],[SeD]]&lt;-2,Table1[[#This Row],[Winning Seed]]&amp; " over " &amp;Table1[[#This Row],[Losing Seed]],"")</f>
        <v/>
      </c>
      <c r="Q714">
        <f>VLOOKUP(Table1[[#This Row],[Losing Seed]],'Seed History'!$N$4:$O$19,2)</f>
        <v>0.61805555555555558</v>
      </c>
      <c r="R714" s="1">
        <f>IF(Table1[[#This Row],[Round]]="PI",0,Table1[[#This Row],[Round]]-1)</f>
        <v>0</v>
      </c>
      <c r="S714">
        <f>Table1[[#This Row],[LAW]]-Table1[[#This Row],[LEW]]</f>
        <v>-0.61805555555555558</v>
      </c>
    </row>
    <row r="715" spans="1:19" x14ac:dyDescent="0.25">
      <c r="A715" s="66">
        <v>35139</v>
      </c>
      <c r="B715" s="51">
        <f>YEAR(Table1[[#This Row],[Date]])</f>
        <v>1996</v>
      </c>
      <c r="C715" s="1">
        <v>1</v>
      </c>
      <c r="D715" t="s">
        <v>439</v>
      </c>
      <c r="E715" s="1">
        <v>2</v>
      </c>
      <c r="F715" t="s">
        <v>408</v>
      </c>
      <c r="G715" t="str">
        <f>VLOOKUP(Table1[[#This Row],[Winner]],Ranking!C:D,2,FALSE)</f>
        <v>ACC</v>
      </c>
      <c r="H715" s="1">
        <v>62</v>
      </c>
      <c r="I715" s="1">
        <v>15</v>
      </c>
      <c r="J715" t="s">
        <v>255</v>
      </c>
      <c r="K715" t="str">
        <f>VLOOKUP(Table1[[#This Row],[Loser]],Ranking!C:D,2,FALSE)</f>
        <v>SB</v>
      </c>
      <c r="L715" s="1">
        <v>50</v>
      </c>
      <c r="N715" s="1">
        <f>Table1[[#This Row],[Winning Score]]-Table1[[#This Row],[Losing Score]]</f>
        <v>12</v>
      </c>
      <c r="O715" s="1">
        <f>Table1[[#This Row],[Losing Seed]]-Table1[[#This Row],[Winning Seed]]</f>
        <v>13</v>
      </c>
      <c r="P715" s="1" t="str">
        <f>IF(Table1[[#This Row],[SeD]]&lt;-2,Table1[[#This Row],[Winning Seed]]&amp; " over " &amp;Table1[[#This Row],[Losing Seed]],"")</f>
        <v/>
      </c>
      <c r="Q715">
        <f>VLOOKUP(Table1[[#This Row],[Losing Seed]],'Seed History'!$N$4:$O$19,2)</f>
        <v>7.6388888888888895E-2</v>
      </c>
      <c r="R715" s="1">
        <f>IF(Table1[[#This Row],[Round]]="PI",0,Table1[[#This Row],[Round]]-1)</f>
        <v>0</v>
      </c>
      <c r="S715">
        <f>Table1[[#This Row],[LAW]]-Table1[[#This Row],[LEW]]</f>
        <v>-7.6388888888888895E-2</v>
      </c>
    </row>
    <row r="716" spans="1:19" x14ac:dyDescent="0.25">
      <c r="A716" s="66">
        <v>35139</v>
      </c>
      <c r="B716" s="51">
        <f>YEAR(Table1[[#This Row],[Date]])</f>
        <v>1996</v>
      </c>
      <c r="C716" s="1">
        <v>1</v>
      </c>
      <c r="D716" t="s">
        <v>439</v>
      </c>
      <c r="E716" s="1">
        <v>3</v>
      </c>
      <c r="F716" t="s">
        <v>50</v>
      </c>
      <c r="G716" t="str">
        <f>VLOOKUP(Table1[[#This Row],[Winner]],Ranking!C:D,2,FALSE)</f>
        <v>BE</v>
      </c>
      <c r="H716" s="1">
        <v>92</v>
      </c>
      <c r="I716" s="1">
        <v>14</v>
      </c>
      <c r="J716" t="s">
        <v>324</v>
      </c>
      <c r="K716" t="str">
        <f>VLOOKUP(Table1[[#This Row],[Loser]],Ranking!C:D,2,FALSE)</f>
        <v>WCC</v>
      </c>
      <c r="L716" s="1">
        <v>58</v>
      </c>
      <c r="N716" s="1">
        <f>Table1[[#This Row],[Winning Score]]-Table1[[#This Row],[Losing Score]]</f>
        <v>34</v>
      </c>
      <c r="O716" s="1">
        <f>Table1[[#This Row],[Losing Seed]]-Table1[[#This Row],[Winning Seed]]</f>
        <v>11</v>
      </c>
      <c r="P716" s="1" t="str">
        <f>IF(Table1[[#This Row],[SeD]]&lt;-2,Table1[[#This Row],[Winning Seed]]&amp; " over " &amp;Table1[[#This Row],[Losing Seed]],"")</f>
        <v/>
      </c>
      <c r="Q716">
        <f>VLOOKUP(Table1[[#This Row],[Losing Seed]],'Seed History'!$N$4:$O$19,2)</f>
        <v>0.16666666666666666</v>
      </c>
      <c r="R716" s="1">
        <f>IF(Table1[[#This Row],[Round]]="PI",0,Table1[[#This Row],[Round]]-1)</f>
        <v>0</v>
      </c>
      <c r="S716">
        <f>Table1[[#This Row],[LAW]]-Table1[[#This Row],[LEW]]</f>
        <v>-0.16666666666666666</v>
      </c>
    </row>
    <row r="717" spans="1:19" x14ac:dyDescent="0.25">
      <c r="A717" s="66">
        <v>35139</v>
      </c>
      <c r="B717" s="51">
        <f>YEAR(Table1[[#This Row],[Date]])</f>
        <v>1996</v>
      </c>
      <c r="C717" s="1">
        <v>1</v>
      </c>
      <c r="D717" t="s">
        <v>439</v>
      </c>
      <c r="E717" s="1">
        <v>6</v>
      </c>
      <c r="F717" t="s">
        <v>54</v>
      </c>
      <c r="G717" t="str">
        <f>VLOOKUP(Table1[[#This Row],[Winner]],Ranking!C:D,2,FALSE)</f>
        <v>ACC</v>
      </c>
      <c r="H717" s="1">
        <v>82</v>
      </c>
      <c r="I717" s="1">
        <v>11</v>
      </c>
      <c r="J717" t="s">
        <v>94</v>
      </c>
      <c r="K717" t="str">
        <f>VLOOKUP(Table1[[#This Row],[Loser]],Ranking!C:D,2,FALSE)</f>
        <v>Amer</v>
      </c>
      <c r="L717" s="1">
        <v>80</v>
      </c>
      <c r="M717" s="1" t="s">
        <v>462</v>
      </c>
      <c r="N717" s="1">
        <f>Table1[[#This Row],[Winning Score]]-Table1[[#This Row],[Losing Score]]</f>
        <v>2</v>
      </c>
      <c r="O717" s="1">
        <f>Table1[[#This Row],[Losing Seed]]-Table1[[#This Row],[Winning Seed]]</f>
        <v>5</v>
      </c>
      <c r="P717" s="1" t="str">
        <f>IF(Table1[[#This Row],[SeD]]&lt;-2,Table1[[#This Row],[Winning Seed]]&amp; " over " &amp;Table1[[#This Row],[Losing Seed]],"")</f>
        <v/>
      </c>
      <c r="Q717">
        <f>VLOOKUP(Table1[[#This Row],[Losing Seed]],'Seed History'!$N$4:$O$19,2)</f>
        <v>0.63194444444444442</v>
      </c>
      <c r="R717" s="1">
        <f>IF(Table1[[#This Row],[Round]]="PI",0,Table1[[#This Row],[Round]]-1)</f>
        <v>0</v>
      </c>
      <c r="S717">
        <f>Table1[[#This Row],[LAW]]-Table1[[#This Row],[LEW]]</f>
        <v>-0.63194444444444442</v>
      </c>
    </row>
    <row r="718" spans="1:19" x14ac:dyDescent="0.25">
      <c r="A718" s="66">
        <v>35139</v>
      </c>
      <c r="B718" s="51">
        <f>YEAR(Table1[[#This Row],[Date]])</f>
        <v>1996</v>
      </c>
      <c r="C718" s="1">
        <v>1</v>
      </c>
      <c r="D718" t="s">
        <v>461</v>
      </c>
      <c r="E718" s="1">
        <v>2</v>
      </c>
      <c r="F718" t="s">
        <v>28</v>
      </c>
      <c r="G718" t="str">
        <f>VLOOKUP(Table1[[#This Row],[Winner]],Ranking!C:D,2,FALSE)</f>
        <v>Amer</v>
      </c>
      <c r="H718" s="1">
        <v>66</v>
      </c>
      <c r="I718" s="1">
        <v>15</v>
      </c>
      <c r="J718" t="s">
        <v>394</v>
      </c>
      <c r="K718" t="str">
        <f>VLOOKUP(Table1[[#This Row],[Loser]],Ranking!C:D,2,FALSE)</f>
        <v>SC</v>
      </c>
      <c r="L718" s="1">
        <v>61</v>
      </c>
      <c r="N718" s="1">
        <f>Table1[[#This Row],[Winning Score]]-Table1[[#This Row],[Losing Score]]</f>
        <v>5</v>
      </c>
      <c r="O718" s="1">
        <f>Table1[[#This Row],[Losing Seed]]-Table1[[#This Row],[Winning Seed]]</f>
        <v>13</v>
      </c>
      <c r="P718" s="1" t="str">
        <f>IF(Table1[[#This Row],[SeD]]&lt;-2,Table1[[#This Row],[Winning Seed]]&amp; " over " &amp;Table1[[#This Row],[Losing Seed]],"")</f>
        <v/>
      </c>
      <c r="Q718">
        <f>VLOOKUP(Table1[[#This Row],[Losing Seed]],'Seed History'!$N$4:$O$19,2)</f>
        <v>7.6388888888888895E-2</v>
      </c>
      <c r="R718" s="1">
        <f>IF(Table1[[#This Row],[Round]]="PI",0,Table1[[#This Row],[Round]]-1)</f>
        <v>0</v>
      </c>
      <c r="S718">
        <f>Table1[[#This Row],[LAW]]-Table1[[#This Row],[LEW]]</f>
        <v>-7.6388888888888895E-2</v>
      </c>
    </row>
    <row r="719" spans="1:19" x14ac:dyDescent="0.25">
      <c r="A719" s="66">
        <v>35139</v>
      </c>
      <c r="B719" s="51">
        <f>YEAR(Table1[[#This Row],[Date]])</f>
        <v>1996</v>
      </c>
      <c r="C719" s="1">
        <v>1</v>
      </c>
      <c r="D719" t="s">
        <v>461</v>
      </c>
      <c r="E719" s="1">
        <v>3</v>
      </c>
      <c r="F719" t="s">
        <v>216</v>
      </c>
      <c r="G719" t="str">
        <f>VLOOKUP(Table1[[#This Row],[Winner]],Ranking!C:D,2,FALSE)</f>
        <v>ACC</v>
      </c>
      <c r="H719" s="1">
        <v>90</v>
      </c>
      <c r="I719" s="1">
        <v>14</v>
      </c>
      <c r="J719" t="s">
        <v>130</v>
      </c>
      <c r="K719" t="str">
        <f>VLOOKUP(Table1[[#This Row],[Loser]],Ranking!C:D,2,FALSE)</f>
        <v>OVC</v>
      </c>
      <c r="L719" s="1">
        <v>79</v>
      </c>
      <c r="N719" s="1">
        <f>Table1[[#This Row],[Winning Score]]-Table1[[#This Row],[Losing Score]]</f>
        <v>11</v>
      </c>
      <c r="O719" s="1">
        <f>Table1[[#This Row],[Losing Seed]]-Table1[[#This Row],[Winning Seed]]</f>
        <v>11</v>
      </c>
      <c r="P719" s="1" t="str">
        <f>IF(Table1[[#This Row],[SeD]]&lt;-2,Table1[[#This Row],[Winning Seed]]&amp; " over " &amp;Table1[[#This Row],[Losing Seed]],"")</f>
        <v/>
      </c>
      <c r="Q719">
        <f>VLOOKUP(Table1[[#This Row],[Losing Seed]],'Seed History'!$N$4:$O$19,2)</f>
        <v>0.16666666666666666</v>
      </c>
      <c r="R719" s="1">
        <f>IF(Table1[[#This Row],[Round]]="PI",0,Table1[[#This Row],[Round]]-1)</f>
        <v>0</v>
      </c>
      <c r="S719">
        <f>Table1[[#This Row],[LAW]]-Table1[[#This Row],[LEW]]</f>
        <v>-0.16666666666666666</v>
      </c>
    </row>
    <row r="720" spans="1:19" x14ac:dyDescent="0.25">
      <c r="A720" s="66">
        <v>35139</v>
      </c>
      <c r="B720" s="51">
        <f>YEAR(Table1[[#This Row],[Date]])</f>
        <v>1996</v>
      </c>
      <c r="C720" s="1">
        <v>1</v>
      </c>
      <c r="D720" t="s">
        <v>461</v>
      </c>
      <c r="E720" s="1">
        <v>7</v>
      </c>
      <c r="F720" t="s">
        <v>373</v>
      </c>
      <c r="G720" t="str">
        <f>VLOOKUP(Table1[[#This Row],[Winner]],Ranking!C:D,2,FALSE)</f>
        <v>Amer</v>
      </c>
      <c r="H720" s="1">
        <v>61</v>
      </c>
      <c r="I720" s="1">
        <v>10</v>
      </c>
      <c r="J720" t="s">
        <v>58</v>
      </c>
      <c r="K720" t="str">
        <f>VLOOKUP(Table1[[#This Row],[Loser]],Ranking!C:D,2,FALSE)</f>
        <v>B12</v>
      </c>
      <c r="L720" s="1">
        <v>43</v>
      </c>
      <c r="N720" s="1">
        <f>Table1[[#This Row],[Winning Score]]-Table1[[#This Row],[Losing Score]]</f>
        <v>18</v>
      </c>
      <c r="O720" s="1">
        <f>Table1[[#This Row],[Losing Seed]]-Table1[[#This Row],[Winning Seed]]</f>
        <v>3</v>
      </c>
      <c r="P720" s="1" t="str">
        <f>IF(Table1[[#This Row],[SeD]]&lt;-2,Table1[[#This Row],[Winning Seed]]&amp; " over " &amp;Table1[[#This Row],[Losing Seed]],"")</f>
        <v/>
      </c>
      <c r="Q720">
        <f>VLOOKUP(Table1[[#This Row],[Losing Seed]],'Seed History'!$N$4:$O$19,2)</f>
        <v>0.61805555555555558</v>
      </c>
      <c r="R720" s="1">
        <f>IF(Table1[[#This Row],[Round]]="PI",0,Table1[[#This Row],[Round]]-1)</f>
        <v>0</v>
      </c>
      <c r="S720">
        <f>Table1[[#This Row],[LAW]]-Table1[[#This Row],[LEW]]</f>
        <v>-0.61805555555555558</v>
      </c>
    </row>
    <row r="721" spans="1:19" x14ac:dyDescent="0.25">
      <c r="A721" s="66">
        <v>35139</v>
      </c>
      <c r="B721" s="51">
        <f>YEAR(Table1[[#This Row],[Date]])</f>
        <v>1996</v>
      </c>
      <c r="C721" s="1">
        <v>1</v>
      </c>
      <c r="D721" t="s">
        <v>38</v>
      </c>
      <c r="E721" s="1">
        <v>2</v>
      </c>
      <c r="F721" t="s">
        <v>37</v>
      </c>
      <c r="G721" t="str">
        <f>VLOOKUP(Table1[[#This Row],[Winner]],Ranking!C:D,2,FALSE)</f>
        <v>B12</v>
      </c>
      <c r="H721" s="1">
        <v>92</v>
      </c>
      <c r="I721" s="1">
        <v>15</v>
      </c>
      <c r="J721" t="s">
        <v>355</v>
      </c>
      <c r="K721" t="str">
        <f>VLOOKUP(Table1[[#This Row],[Loser]],Ranking!C:D,2,FALSE)</f>
        <v>MEAC</v>
      </c>
      <c r="L721" s="1">
        <v>54</v>
      </c>
      <c r="N721" s="1">
        <f>Table1[[#This Row],[Winning Score]]-Table1[[#This Row],[Losing Score]]</f>
        <v>38</v>
      </c>
      <c r="O721" s="1">
        <f>Table1[[#This Row],[Losing Seed]]-Table1[[#This Row],[Winning Seed]]</f>
        <v>13</v>
      </c>
      <c r="P721" s="1" t="str">
        <f>IF(Table1[[#This Row],[SeD]]&lt;-2,Table1[[#This Row],[Winning Seed]]&amp; " over " &amp;Table1[[#This Row],[Losing Seed]],"")</f>
        <v/>
      </c>
      <c r="Q721">
        <f>VLOOKUP(Table1[[#This Row],[Losing Seed]],'Seed History'!$N$4:$O$19,2)</f>
        <v>7.6388888888888895E-2</v>
      </c>
      <c r="R721" s="1">
        <f>IF(Table1[[#This Row],[Round]]="PI",0,Table1[[#This Row],[Round]]-1)</f>
        <v>0</v>
      </c>
      <c r="S721">
        <f>Table1[[#This Row],[LAW]]-Table1[[#This Row],[LEW]]</f>
        <v>-7.6388888888888895E-2</v>
      </c>
    </row>
    <row r="722" spans="1:19" x14ac:dyDescent="0.25">
      <c r="A722" s="66">
        <v>35139</v>
      </c>
      <c r="B722" s="51">
        <f>YEAR(Table1[[#This Row],[Date]])</f>
        <v>1996</v>
      </c>
      <c r="C722" s="1">
        <v>1</v>
      </c>
      <c r="D722" t="s">
        <v>38</v>
      </c>
      <c r="E722" s="1">
        <v>3</v>
      </c>
      <c r="F722" t="s">
        <v>48</v>
      </c>
      <c r="G722" t="str">
        <f>VLOOKUP(Table1[[#This Row],[Winner]],Ranking!C:D,2,FALSE)</f>
        <v>P12</v>
      </c>
      <c r="H722" s="1">
        <v>90</v>
      </c>
      <c r="I722" s="1">
        <v>14</v>
      </c>
      <c r="J722" t="s">
        <v>32</v>
      </c>
      <c r="K722" t="str">
        <f>VLOOKUP(Table1[[#This Row],[Loser]],Ranking!C:D,2,FALSE)</f>
        <v>MVC</v>
      </c>
      <c r="L722" s="1">
        <v>51</v>
      </c>
      <c r="N722" s="1">
        <f>Table1[[#This Row],[Winning Score]]-Table1[[#This Row],[Losing Score]]</f>
        <v>39</v>
      </c>
      <c r="O722" s="1">
        <f>Table1[[#This Row],[Losing Seed]]-Table1[[#This Row],[Winning Seed]]</f>
        <v>11</v>
      </c>
      <c r="P722" s="1" t="str">
        <f>IF(Table1[[#This Row],[SeD]]&lt;-2,Table1[[#This Row],[Winning Seed]]&amp; " over " &amp;Table1[[#This Row],[Losing Seed]],"")</f>
        <v/>
      </c>
      <c r="Q722">
        <f>VLOOKUP(Table1[[#This Row],[Losing Seed]],'Seed History'!$N$4:$O$19,2)</f>
        <v>0.16666666666666666</v>
      </c>
      <c r="R722" s="1">
        <f>IF(Table1[[#This Row],[Round]]="PI",0,Table1[[#This Row],[Round]]-1)</f>
        <v>0</v>
      </c>
      <c r="S722">
        <f>Table1[[#This Row],[LAW]]-Table1[[#This Row],[LEW]]</f>
        <v>-0.16666666666666666</v>
      </c>
    </row>
    <row r="723" spans="1:19" x14ac:dyDescent="0.25">
      <c r="A723" s="66">
        <v>35139</v>
      </c>
      <c r="B723" s="51">
        <f>YEAR(Table1[[#This Row],[Date]])</f>
        <v>1996</v>
      </c>
      <c r="C723" s="1">
        <v>1</v>
      </c>
      <c r="D723" t="s">
        <v>38</v>
      </c>
      <c r="E723" s="1">
        <v>6</v>
      </c>
      <c r="F723" t="s">
        <v>69</v>
      </c>
      <c r="G723" t="str">
        <f>VLOOKUP(Table1[[#This Row],[Winner]],Ranking!C:D,2,FALSE)</f>
        <v>B10</v>
      </c>
      <c r="H723" s="1">
        <v>81</v>
      </c>
      <c r="I723" s="1">
        <v>11</v>
      </c>
      <c r="J723" t="s">
        <v>213</v>
      </c>
      <c r="K723" t="str">
        <f>VLOOKUP(Table1[[#This Row],[Loser]],Ranking!C:D,2,FALSE)</f>
        <v>A10</v>
      </c>
      <c r="L723" s="1">
        <v>79</v>
      </c>
      <c r="N723" s="1">
        <f>Table1[[#This Row],[Winning Score]]-Table1[[#This Row],[Losing Score]]</f>
        <v>2</v>
      </c>
      <c r="O723" s="1">
        <f>Table1[[#This Row],[Losing Seed]]-Table1[[#This Row],[Winning Seed]]</f>
        <v>5</v>
      </c>
      <c r="P723" s="1" t="str">
        <f>IF(Table1[[#This Row],[SeD]]&lt;-2,Table1[[#This Row],[Winning Seed]]&amp; " over " &amp;Table1[[#This Row],[Losing Seed]],"")</f>
        <v/>
      </c>
      <c r="Q723">
        <f>VLOOKUP(Table1[[#This Row],[Losing Seed]],'Seed History'!$N$4:$O$19,2)</f>
        <v>0.63194444444444442</v>
      </c>
      <c r="R723" s="1">
        <f>IF(Table1[[#This Row],[Round]]="PI",0,Table1[[#This Row],[Round]]-1)</f>
        <v>0</v>
      </c>
      <c r="S723">
        <f>Table1[[#This Row],[LAW]]-Table1[[#This Row],[LEW]]</f>
        <v>-0.63194444444444442</v>
      </c>
    </row>
    <row r="724" spans="1:19" x14ac:dyDescent="0.25">
      <c r="A724" s="66">
        <v>35139</v>
      </c>
      <c r="B724" s="51">
        <f>YEAR(Table1[[#This Row],[Date]])</f>
        <v>1996</v>
      </c>
      <c r="C724" s="1">
        <v>1</v>
      </c>
      <c r="D724" t="s">
        <v>461</v>
      </c>
      <c r="E724" s="1">
        <v>11</v>
      </c>
      <c r="F724" t="s">
        <v>138</v>
      </c>
      <c r="G724" t="str">
        <f>VLOOKUP(Table1[[#This Row],[Winner]],Ranking!C:D,2,FALSE)</f>
        <v>ACC</v>
      </c>
      <c r="H724" s="1">
        <v>64</v>
      </c>
      <c r="I724" s="1">
        <v>6</v>
      </c>
      <c r="J724" t="s">
        <v>36</v>
      </c>
      <c r="K724" t="str">
        <f>VLOOKUP(Table1[[#This Row],[Loser]],Ranking!C:D,2,FALSE)</f>
        <v>B10</v>
      </c>
      <c r="L724" s="1">
        <v>51</v>
      </c>
      <c r="N724" s="1">
        <f>Table1[[#This Row],[Winning Score]]-Table1[[#This Row],[Losing Score]]</f>
        <v>13</v>
      </c>
      <c r="O724" s="1">
        <f>Table1[[#This Row],[Losing Seed]]-Table1[[#This Row],[Winning Seed]]</f>
        <v>-5</v>
      </c>
      <c r="P724" s="1" t="str">
        <f>IF(Table1[[#This Row],[SeD]]&lt;-2,Table1[[#This Row],[Winning Seed]]&amp; " over " &amp;Table1[[#This Row],[Losing Seed]],"")</f>
        <v>11 over 6</v>
      </c>
      <c r="Q724">
        <f>VLOOKUP(Table1[[#This Row],[Losing Seed]],'Seed History'!$N$4:$O$19,2)</f>
        <v>1.0625</v>
      </c>
      <c r="R724" s="1">
        <f>IF(Table1[[#This Row],[Round]]="PI",0,Table1[[#This Row],[Round]]-1)</f>
        <v>0</v>
      </c>
      <c r="S724">
        <f>Table1[[#This Row],[LAW]]-Table1[[#This Row],[LEW]]</f>
        <v>-1.0625</v>
      </c>
    </row>
    <row r="725" spans="1:19" x14ac:dyDescent="0.25">
      <c r="A725" s="66">
        <v>35139</v>
      </c>
      <c r="B725" s="51">
        <f>YEAR(Table1[[#This Row],[Date]])</f>
        <v>1996</v>
      </c>
      <c r="C725" s="1">
        <v>1</v>
      </c>
      <c r="D725" t="s">
        <v>439</v>
      </c>
      <c r="E725" s="1">
        <v>10</v>
      </c>
      <c r="F725" t="s">
        <v>34</v>
      </c>
      <c r="G725" t="str">
        <f>VLOOKUP(Table1[[#This Row],[Winner]],Ranking!C:D,2,FALSE)</f>
        <v>B12</v>
      </c>
      <c r="H725" s="1">
        <v>80</v>
      </c>
      <c r="I725" s="1">
        <v>7</v>
      </c>
      <c r="J725" t="s">
        <v>82</v>
      </c>
      <c r="K725" t="str">
        <f>VLOOKUP(Table1[[#This Row],[Loser]],Ranking!C:D,2,FALSE)</f>
        <v>B10</v>
      </c>
      <c r="L725" s="1">
        <v>76</v>
      </c>
      <c r="N725" s="1">
        <f>Table1[[#This Row],[Winning Score]]-Table1[[#This Row],[Losing Score]]</f>
        <v>4</v>
      </c>
      <c r="O725" s="1">
        <f>Table1[[#This Row],[Losing Seed]]-Table1[[#This Row],[Winning Seed]]</f>
        <v>-3</v>
      </c>
      <c r="P725" s="1" t="str">
        <f>IF(Table1[[#This Row],[SeD]]&lt;-2,Table1[[#This Row],[Winning Seed]]&amp; " over " &amp;Table1[[#This Row],[Losing Seed]],"")</f>
        <v>10 over 7</v>
      </c>
      <c r="Q725">
        <f>VLOOKUP(Table1[[#This Row],[Losing Seed]],'Seed History'!$N$4:$O$19,2)</f>
        <v>0.90277777777777779</v>
      </c>
      <c r="R725" s="1">
        <f>IF(Table1[[#This Row],[Round]]="PI",0,Table1[[#This Row],[Round]]-1)</f>
        <v>0</v>
      </c>
      <c r="S725">
        <f>Table1[[#This Row],[LAW]]-Table1[[#This Row],[LEW]]</f>
        <v>-0.90277777777777779</v>
      </c>
    </row>
    <row r="726" spans="1:19" x14ac:dyDescent="0.25">
      <c r="A726" s="66">
        <v>35139</v>
      </c>
      <c r="B726" s="51">
        <f>YEAR(Table1[[#This Row],[Date]])</f>
        <v>1996</v>
      </c>
      <c r="C726" s="1">
        <v>1</v>
      </c>
      <c r="D726" t="s">
        <v>38</v>
      </c>
      <c r="E726" s="1">
        <v>10</v>
      </c>
      <c r="F726" t="s">
        <v>347</v>
      </c>
      <c r="G726" t="str">
        <f>VLOOKUP(Table1[[#This Row],[Winner]],Ranking!C:D,2,FALSE)</f>
        <v>WCC</v>
      </c>
      <c r="H726" s="1">
        <v>91</v>
      </c>
      <c r="I726" s="1">
        <v>7</v>
      </c>
      <c r="J726" t="s">
        <v>31</v>
      </c>
      <c r="K726" t="str">
        <f>VLOOKUP(Table1[[#This Row],[Loser]],Ranking!C:D,2,FALSE)</f>
        <v>B10</v>
      </c>
      <c r="L726" s="1">
        <v>79</v>
      </c>
      <c r="N726" s="1">
        <f>Table1[[#This Row],[Winning Score]]-Table1[[#This Row],[Losing Score]]</f>
        <v>12</v>
      </c>
      <c r="O726" s="1">
        <f>Table1[[#This Row],[Losing Seed]]-Table1[[#This Row],[Winning Seed]]</f>
        <v>-3</v>
      </c>
      <c r="P726" s="1" t="str">
        <f>IF(Table1[[#This Row],[SeD]]&lt;-2,Table1[[#This Row],[Winning Seed]]&amp; " over " &amp;Table1[[#This Row],[Losing Seed]],"")</f>
        <v>10 over 7</v>
      </c>
      <c r="Q726">
        <f>VLOOKUP(Table1[[#This Row],[Losing Seed]],'Seed History'!$N$4:$O$19,2)</f>
        <v>0.90277777777777779</v>
      </c>
      <c r="R726" s="1">
        <f>IF(Table1[[#This Row],[Round]]="PI",0,Table1[[#This Row],[Round]]-1)</f>
        <v>0</v>
      </c>
      <c r="S726">
        <f>Table1[[#This Row],[LAW]]-Table1[[#This Row],[LEW]]</f>
        <v>-0.90277777777777779</v>
      </c>
    </row>
    <row r="727" spans="1:19" x14ac:dyDescent="0.25">
      <c r="A727" s="66">
        <v>35140</v>
      </c>
      <c r="B727" s="51">
        <f>YEAR(Table1[[#This Row],[Date]])</f>
        <v>1996</v>
      </c>
      <c r="C727" s="1">
        <v>2</v>
      </c>
      <c r="D727" t="s">
        <v>49</v>
      </c>
      <c r="E727" s="1">
        <v>12</v>
      </c>
      <c r="F727" t="s">
        <v>41</v>
      </c>
      <c r="G727" t="str">
        <f>VLOOKUP(Table1[[#This Row],[Winner]],Ranking!C:D,2,FALSE)</f>
        <v>SEC</v>
      </c>
      <c r="H727" s="1">
        <v>65</v>
      </c>
      <c r="I727" s="1">
        <v>4</v>
      </c>
      <c r="J727" t="s">
        <v>262</v>
      </c>
      <c r="K727" t="str">
        <f>VLOOKUP(Table1[[#This Row],[Loser]],Ranking!C:D,2,FALSE)</f>
        <v>BE</v>
      </c>
      <c r="L727" s="1">
        <v>56</v>
      </c>
      <c r="N727" s="1">
        <f>Table1[[#This Row],[Winning Score]]-Table1[[#This Row],[Losing Score]]</f>
        <v>9</v>
      </c>
      <c r="O727" s="1">
        <f>Table1[[#This Row],[Losing Seed]]-Table1[[#This Row],[Winning Seed]]</f>
        <v>-8</v>
      </c>
      <c r="P727" s="1" t="str">
        <f>IF(Table1[[#This Row],[SeD]]&lt;-2,Table1[[#This Row],[Winning Seed]]&amp; " over " &amp;Table1[[#This Row],[Losing Seed]],"")</f>
        <v>12 over 4</v>
      </c>
      <c r="Q727">
        <f>VLOOKUP(Table1[[#This Row],[Losing Seed]],'Seed History'!$N$4:$O$19,2)</f>
        <v>1.5208333333333333</v>
      </c>
      <c r="R727" s="1">
        <f>IF(Table1[[#This Row],[Round]]="PI",0,Table1[[#This Row],[Round]]-1)</f>
        <v>1</v>
      </c>
      <c r="S727">
        <f>Table1[[#This Row],[LAW]]-Table1[[#This Row],[LEW]]</f>
        <v>-0.52083333333333326</v>
      </c>
    </row>
    <row r="728" spans="1:19" x14ac:dyDescent="0.25">
      <c r="A728" s="66">
        <v>35140</v>
      </c>
      <c r="B728" s="51">
        <f>YEAR(Table1[[#This Row],[Date]])</f>
        <v>1996</v>
      </c>
      <c r="C728" s="1">
        <v>2</v>
      </c>
      <c r="D728" t="s">
        <v>38</v>
      </c>
      <c r="E728" s="1">
        <v>8</v>
      </c>
      <c r="F728" t="s">
        <v>60</v>
      </c>
      <c r="G728" t="str">
        <f>VLOOKUP(Table1[[#This Row],[Winner]],Ranking!C:D,2,FALSE)</f>
        <v>SEC</v>
      </c>
      <c r="H728" s="1">
        <v>76</v>
      </c>
      <c r="I728" s="1">
        <v>1</v>
      </c>
      <c r="J728" t="s">
        <v>29</v>
      </c>
      <c r="K728" t="str">
        <f>VLOOKUP(Table1[[#This Row],[Loser]],Ranking!C:D,2,FALSE)</f>
        <v>B10</v>
      </c>
      <c r="L728" s="1">
        <v>69</v>
      </c>
      <c r="N728" s="1">
        <f>Table1[[#This Row],[Winning Score]]-Table1[[#This Row],[Losing Score]]</f>
        <v>7</v>
      </c>
      <c r="O728" s="1">
        <f>Table1[[#This Row],[Losing Seed]]-Table1[[#This Row],[Winning Seed]]</f>
        <v>-7</v>
      </c>
      <c r="P728" s="1" t="str">
        <f>IF(Table1[[#This Row],[SeD]]&lt;-2,Table1[[#This Row],[Winning Seed]]&amp; " over " &amp;Table1[[#This Row],[Losing Seed]],"")</f>
        <v>8 over 1</v>
      </c>
      <c r="Q728">
        <f>VLOOKUP(Table1[[#This Row],[Losing Seed]],'Seed History'!$N$4:$O$19,2)</f>
        <v>3.3263888888888888</v>
      </c>
      <c r="R728" s="1">
        <f>IF(Table1[[#This Row],[Round]]="PI",0,Table1[[#This Row],[Round]]-1)</f>
        <v>1</v>
      </c>
      <c r="S728">
        <f>Table1[[#This Row],[LAW]]-Table1[[#This Row],[LEW]]</f>
        <v>-2.3263888888888888</v>
      </c>
    </row>
    <row r="729" spans="1:19" x14ac:dyDescent="0.25">
      <c r="A729" s="66">
        <v>35140</v>
      </c>
      <c r="B729" s="51">
        <f>YEAR(Table1[[#This Row],[Date]])</f>
        <v>1996</v>
      </c>
      <c r="C729" s="1">
        <v>2</v>
      </c>
      <c r="D729" t="s">
        <v>49</v>
      </c>
      <c r="E729" s="1">
        <v>1</v>
      </c>
      <c r="F729" t="s">
        <v>265</v>
      </c>
      <c r="G729" t="str">
        <f>VLOOKUP(Table1[[#This Row],[Winner]],Ranking!C:D,2,FALSE)</f>
        <v>A10</v>
      </c>
      <c r="H729" s="1">
        <v>79</v>
      </c>
      <c r="I729" s="1">
        <v>9</v>
      </c>
      <c r="J729" t="s">
        <v>369</v>
      </c>
      <c r="K729" t="str">
        <f>VLOOKUP(Table1[[#This Row],[Loser]],Ranking!C:D,2,FALSE)</f>
        <v>P12</v>
      </c>
      <c r="L729" s="1">
        <v>74</v>
      </c>
      <c r="N729" s="1">
        <f>Table1[[#This Row],[Winning Score]]-Table1[[#This Row],[Losing Score]]</f>
        <v>5</v>
      </c>
      <c r="O729" s="1">
        <f>Table1[[#This Row],[Losing Seed]]-Table1[[#This Row],[Winning Seed]]</f>
        <v>8</v>
      </c>
      <c r="P729" s="1" t="str">
        <f>IF(Table1[[#This Row],[SeD]]&lt;-2,Table1[[#This Row],[Winning Seed]]&amp; " over " &amp;Table1[[#This Row],[Losing Seed]],"")</f>
        <v/>
      </c>
      <c r="Q729">
        <f>VLOOKUP(Table1[[#This Row],[Losing Seed]],'Seed History'!$N$4:$O$19,2)</f>
        <v>0.59027777777777779</v>
      </c>
      <c r="R729" s="1">
        <f>IF(Table1[[#This Row],[Round]]="PI",0,Table1[[#This Row],[Round]]-1)</f>
        <v>1</v>
      </c>
      <c r="S729">
        <f>Table1[[#This Row],[LAW]]-Table1[[#This Row],[LEW]]</f>
        <v>0.40972222222222221</v>
      </c>
    </row>
    <row r="730" spans="1:19" x14ac:dyDescent="0.25">
      <c r="A730" s="66">
        <v>35140</v>
      </c>
      <c r="B730" s="51">
        <f>YEAR(Table1[[#This Row],[Date]])</f>
        <v>1996</v>
      </c>
      <c r="C730" s="1">
        <v>2</v>
      </c>
      <c r="D730" t="s">
        <v>439</v>
      </c>
      <c r="E730" s="1">
        <v>1</v>
      </c>
      <c r="F730" t="s">
        <v>26</v>
      </c>
      <c r="G730" t="str">
        <f>VLOOKUP(Table1[[#This Row],[Winner]],Ranking!C:D,2,FALSE)</f>
        <v>SEC</v>
      </c>
      <c r="H730" s="1">
        <v>84</v>
      </c>
      <c r="I730" s="1">
        <v>9</v>
      </c>
      <c r="J730" t="s">
        <v>405</v>
      </c>
      <c r="K730" t="str">
        <f>VLOOKUP(Table1[[#This Row],[Loser]],Ranking!C:D,2,FALSE)</f>
        <v>ACC</v>
      </c>
      <c r="L730" s="1">
        <v>60</v>
      </c>
      <c r="N730" s="1">
        <f>Table1[[#This Row],[Winning Score]]-Table1[[#This Row],[Losing Score]]</f>
        <v>24</v>
      </c>
      <c r="O730" s="1">
        <f>Table1[[#This Row],[Losing Seed]]-Table1[[#This Row],[Winning Seed]]</f>
        <v>8</v>
      </c>
      <c r="P730" s="1" t="str">
        <f>IF(Table1[[#This Row],[SeD]]&lt;-2,Table1[[#This Row],[Winning Seed]]&amp; " over " &amp;Table1[[#This Row],[Losing Seed]],"")</f>
        <v/>
      </c>
      <c r="Q730">
        <f>VLOOKUP(Table1[[#This Row],[Losing Seed]],'Seed History'!$N$4:$O$19,2)</f>
        <v>0.59027777777777779</v>
      </c>
      <c r="R730" s="1">
        <f>IF(Table1[[#This Row],[Round]]="PI",0,Table1[[#This Row],[Round]]-1)</f>
        <v>1</v>
      </c>
      <c r="S730">
        <f>Table1[[#This Row],[LAW]]-Table1[[#This Row],[LEW]]</f>
        <v>0.40972222222222221</v>
      </c>
    </row>
    <row r="731" spans="1:19" x14ac:dyDescent="0.25">
      <c r="A731" s="66">
        <v>35140</v>
      </c>
      <c r="B731" s="51">
        <f>YEAR(Table1[[#This Row],[Date]])</f>
        <v>1996</v>
      </c>
      <c r="C731" s="1">
        <v>2</v>
      </c>
      <c r="D731" t="s">
        <v>439</v>
      </c>
      <c r="E731" s="1">
        <v>4</v>
      </c>
      <c r="F731" t="s">
        <v>65</v>
      </c>
      <c r="G731" t="str">
        <f>VLOOKUP(Table1[[#This Row],[Winner]],Ranking!C:D,2,FALSE)</f>
        <v>P12</v>
      </c>
      <c r="H731" s="1">
        <v>73</v>
      </c>
      <c r="I731" s="1">
        <v>5</v>
      </c>
      <c r="J731" t="s">
        <v>237</v>
      </c>
      <c r="K731" t="str">
        <f>VLOOKUP(Table1[[#This Row],[Loser]],Ranking!C:D,2,FALSE)</f>
        <v>B12</v>
      </c>
      <c r="L731" s="1">
        <v>67</v>
      </c>
      <c r="N731" s="1">
        <f>Table1[[#This Row],[Winning Score]]-Table1[[#This Row],[Losing Score]]</f>
        <v>6</v>
      </c>
      <c r="O731" s="1">
        <f>Table1[[#This Row],[Losing Seed]]-Table1[[#This Row],[Winning Seed]]</f>
        <v>1</v>
      </c>
      <c r="P731" s="1" t="str">
        <f>IF(Table1[[#This Row],[SeD]]&lt;-2,Table1[[#This Row],[Winning Seed]]&amp; " over " &amp;Table1[[#This Row],[Losing Seed]],"")</f>
        <v/>
      </c>
      <c r="Q731">
        <f>VLOOKUP(Table1[[#This Row],[Losing Seed]],'Seed History'!$N$4:$O$19,2)</f>
        <v>1.1180555555555556</v>
      </c>
      <c r="R731" s="1">
        <f>IF(Table1[[#This Row],[Round]]="PI",0,Table1[[#This Row],[Round]]-1)</f>
        <v>1</v>
      </c>
      <c r="S731">
        <f>Table1[[#This Row],[LAW]]-Table1[[#This Row],[LEW]]</f>
        <v>-0.11805555555555558</v>
      </c>
    </row>
    <row r="732" spans="1:19" x14ac:dyDescent="0.25">
      <c r="A732" s="66">
        <v>35140</v>
      </c>
      <c r="B732" s="51">
        <f>YEAR(Table1[[#This Row],[Date]])</f>
        <v>1996</v>
      </c>
      <c r="C732" s="1">
        <v>2</v>
      </c>
      <c r="D732" t="s">
        <v>461</v>
      </c>
      <c r="E732" s="1">
        <v>1</v>
      </c>
      <c r="F732" t="s">
        <v>80</v>
      </c>
      <c r="G732" t="str">
        <f>VLOOKUP(Table1[[#This Row],[Winner]],Ranking!C:D,2,FALSE)</f>
        <v>BE</v>
      </c>
      <c r="H732" s="1">
        <v>95</v>
      </c>
      <c r="I732" s="1">
        <v>9</v>
      </c>
      <c r="J732" t="s">
        <v>195</v>
      </c>
      <c r="K732" t="str">
        <f>VLOOKUP(Table1[[#This Row],[Loser]],Ranking!C:D,2,FALSE)</f>
        <v>MAC</v>
      </c>
      <c r="L732" s="1">
        <v>81</v>
      </c>
      <c r="N732" s="1">
        <f>Table1[[#This Row],[Winning Score]]-Table1[[#This Row],[Losing Score]]</f>
        <v>14</v>
      </c>
      <c r="O732" s="1">
        <f>Table1[[#This Row],[Losing Seed]]-Table1[[#This Row],[Winning Seed]]</f>
        <v>8</v>
      </c>
      <c r="P732" s="1" t="str">
        <f>IF(Table1[[#This Row],[SeD]]&lt;-2,Table1[[#This Row],[Winning Seed]]&amp; " over " &amp;Table1[[#This Row],[Losing Seed]],"")</f>
        <v/>
      </c>
      <c r="Q732">
        <f>VLOOKUP(Table1[[#This Row],[Losing Seed]],'Seed History'!$N$4:$O$19,2)</f>
        <v>0.59027777777777779</v>
      </c>
      <c r="R732" s="1">
        <f>IF(Table1[[#This Row],[Round]]="PI",0,Table1[[#This Row],[Round]]-1)</f>
        <v>1</v>
      </c>
      <c r="S732">
        <f>Table1[[#This Row],[LAW]]-Table1[[#This Row],[LEW]]</f>
        <v>0.40972222222222221</v>
      </c>
    </row>
    <row r="733" spans="1:19" x14ac:dyDescent="0.25">
      <c r="A733" s="66">
        <v>35140</v>
      </c>
      <c r="B733" s="51">
        <f>YEAR(Table1[[#This Row],[Date]])</f>
        <v>1996</v>
      </c>
      <c r="C733" s="1">
        <v>2</v>
      </c>
      <c r="D733" t="s">
        <v>461</v>
      </c>
      <c r="E733" s="1">
        <v>5</v>
      </c>
      <c r="F733" t="s">
        <v>275</v>
      </c>
      <c r="G733" t="str">
        <f>VLOOKUP(Table1[[#This Row],[Winner]],Ranking!C:D,2,FALSE)</f>
        <v>SEC</v>
      </c>
      <c r="H733" s="1">
        <v>63</v>
      </c>
      <c r="I733" s="1">
        <v>13</v>
      </c>
      <c r="J733" t="s">
        <v>91</v>
      </c>
      <c r="K733" t="str">
        <f>VLOOKUP(Table1[[#This Row],[Loser]],Ranking!C:D,2,FALSE)</f>
        <v>Ivy</v>
      </c>
      <c r="L733" s="1">
        <v>41</v>
      </c>
      <c r="N733" s="1">
        <f>Table1[[#This Row],[Winning Score]]-Table1[[#This Row],[Losing Score]]</f>
        <v>22</v>
      </c>
      <c r="O733" s="1">
        <f>Table1[[#This Row],[Losing Seed]]-Table1[[#This Row],[Winning Seed]]</f>
        <v>8</v>
      </c>
      <c r="P733" s="1" t="str">
        <f>IF(Table1[[#This Row],[SeD]]&lt;-2,Table1[[#This Row],[Winning Seed]]&amp; " over " &amp;Table1[[#This Row],[Losing Seed]],"")</f>
        <v/>
      </c>
      <c r="Q733">
        <f>VLOOKUP(Table1[[#This Row],[Losing Seed]],'Seed History'!$N$4:$O$19,2)</f>
        <v>0.25694444444444442</v>
      </c>
      <c r="R733" s="1">
        <f>IF(Table1[[#This Row],[Round]]="PI",0,Table1[[#This Row],[Round]]-1)</f>
        <v>1</v>
      </c>
      <c r="S733">
        <f>Table1[[#This Row],[LAW]]-Table1[[#This Row],[LEW]]</f>
        <v>0.74305555555555558</v>
      </c>
    </row>
    <row r="734" spans="1:19" x14ac:dyDescent="0.25">
      <c r="A734" s="66">
        <v>35140</v>
      </c>
      <c r="B734" s="51">
        <f>YEAR(Table1[[#This Row],[Date]])</f>
        <v>1996</v>
      </c>
      <c r="C734" s="1">
        <v>2</v>
      </c>
      <c r="D734" t="s">
        <v>38</v>
      </c>
      <c r="E734" s="1">
        <v>4</v>
      </c>
      <c r="F734" t="s">
        <v>86</v>
      </c>
      <c r="G734" t="str">
        <f>VLOOKUP(Table1[[#This Row],[Winner]],Ranking!C:D,2,FALSE)</f>
        <v>ACC</v>
      </c>
      <c r="H734" s="1">
        <v>69</v>
      </c>
      <c r="I734" s="1">
        <v>12</v>
      </c>
      <c r="J734" t="s">
        <v>189</v>
      </c>
      <c r="K734" t="str">
        <f>VLOOKUP(Table1[[#This Row],[Loser]],Ranking!C:D,2,FALSE)</f>
        <v>CAA</v>
      </c>
      <c r="L734" s="1">
        <v>58</v>
      </c>
      <c r="N734" s="1">
        <f>Table1[[#This Row],[Winning Score]]-Table1[[#This Row],[Losing Score]]</f>
        <v>11</v>
      </c>
      <c r="O734" s="1">
        <f>Table1[[#This Row],[Losing Seed]]-Table1[[#This Row],[Winning Seed]]</f>
        <v>8</v>
      </c>
      <c r="P734" s="1" t="str">
        <f>IF(Table1[[#This Row],[SeD]]&lt;-2,Table1[[#This Row],[Winning Seed]]&amp; " over " &amp;Table1[[#This Row],[Losing Seed]],"")</f>
        <v/>
      </c>
      <c r="Q734">
        <f>VLOOKUP(Table1[[#This Row],[Losing Seed]],'Seed History'!$N$4:$O$19,2)</f>
        <v>0.52083333333333337</v>
      </c>
      <c r="R734" s="1">
        <f>IF(Table1[[#This Row],[Round]]="PI",0,Table1[[#This Row],[Round]]-1)</f>
        <v>1</v>
      </c>
      <c r="S734">
        <f>Table1[[#This Row],[LAW]]-Table1[[#This Row],[LEW]]</f>
        <v>0.47916666666666663</v>
      </c>
    </row>
    <row r="735" spans="1:19" x14ac:dyDescent="0.25">
      <c r="A735" s="66">
        <v>35141</v>
      </c>
      <c r="B735" s="51">
        <f>YEAR(Table1[[#This Row],[Date]])</f>
        <v>1996</v>
      </c>
      <c r="C735" s="1">
        <v>2</v>
      </c>
      <c r="D735" t="s">
        <v>49</v>
      </c>
      <c r="E735" s="1">
        <v>2</v>
      </c>
      <c r="F735" t="s">
        <v>66</v>
      </c>
      <c r="G735" t="str">
        <f>VLOOKUP(Table1[[#This Row],[Winner]],Ranking!C:D,2,FALSE)</f>
        <v>BE</v>
      </c>
      <c r="H735" s="1">
        <v>73</v>
      </c>
      <c r="I735" s="1">
        <v>7</v>
      </c>
      <c r="J735" t="s">
        <v>291</v>
      </c>
      <c r="K735" t="str">
        <f>VLOOKUP(Table1[[#This Row],[Loser]],Ranking!C:D,2,FALSE)</f>
        <v>MWC</v>
      </c>
      <c r="L735" s="1">
        <v>62</v>
      </c>
      <c r="N735" s="1">
        <f>Table1[[#This Row],[Winning Score]]-Table1[[#This Row],[Losing Score]]</f>
        <v>11</v>
      </c>
      <c r="O735" s="1">
        <f>Table1[[#This Row],[Losing Seed]]-Table1[[#This Row],[Winning Seed]]</f>
        <v>5</v>
      </c>
      <c r="P735" s="1" t="str">
        <f>IF(Table1[[#This Row],[SeD]]&lt;-2,Table1[[#This Row],[Winning Seed]]&amp; " over " &amp;Table1[[#This Row],[Losing Seed]],"")</f>
        <v/>
      </c>
      <c r="Q735">
        <f>VLOOKUP(Table1[[#This Row],[Losing Seed]],'Seed History'!$N$4:$O$19,2)</f>
        <v>0.90277777777777779</v>
      </c>
      <c r="R735" s="1">
        <f>IF(Table1[[#This Row],[Round]]="PI",0,Table1[[#This Row],[Round]]-1)</f>
        <v>1</v>
      </c>
      <c r="S735">
        <f>Table1[[#This Row],[LAW]]-Table1[[#This Row],[LEW]]</f>
        <v>9.722222222222221E-2</v>
      </c>
    </row>
    <row r="736" spans="1:19" x14ac:dyDescent="0.25">
      <c r="A736" s="66">
        <v>35141</v>
      </c>
      <c r="B736" s="51">
        <f>YEAR(Table1[[#This Row],[Date]])</f>
        <v>1996</v>
      </c>
      <c r="C736" s="1">
        <v>2</v>
      </c>
      <c r="D736" t="s">
        <v>49</v>
      </c>
      <c r="E736" s="1">
        <v>3</v>
      </c>
      <c r="F736" t="s">
        <v>92</v>
      </c>
      <c r="G736" t="str">
        <f>VLOOKUP(Table1[[#This Row],[Winner]],Ranking!C:D,2,FALSE)</f>
        <v>B12</v>
      </c>
      <c r="H736" s="1">
        <v>92</v>
      </c>
      <c r="I736" s="1">
        <v>6</v>
      </c>
      <c r="J736" t="s">
        <v>298</v>
      </c>
      <c r="K736" t="str">
        <f>VLOOKUP(Table1[[#This Row],[Loser]],Ranking!C:D,2,FALSE)</f>
        <v>ACC</v>
      </c>
      <c r="L736" s="1">
        <v>73</v>
      </c>
      <c r="N736" s="1">
        <f>Table1[[#This Row],[Winning Score]]-Table1[[#This Row],[Losing Score]]</f>
        <v>19</v>
      </c>
      <c r="O736" s="1">
        <f>Table1[[#This Row],[Losing Seed]]-Table1[[#This Row],[Winning Seed]]</f>
        <v>3</v>
      </c>
      <c r="P736" s="1" t="str">
        <f>IF(Table1[[#This Row],[SeD]]&lt;-2,Table1[[#This Row],[Winning Seed]]&amp; " over " &amp;Table1[[#This Row],[Losing Seed]],"")</f>
        <v/>
      </c>
      <c r="Q736">
        <f>VLOOKUP(Table1[[#This Row],[Losing Seed]],'Seed History'!$N$4:$O$19,2)</f>
        <v>1.0625</v>
      </c>
      <c r="R736" s="1">
        <f>IF(Table1[[#This Row],[Round]]="PI",0,Table1[[#This Row],[Round]]-1)</f>
        <v>1</v>
      </c>
      <c r="S736">
        <f>Table1[[#This Row],[LAW]]-Table1[[#This Row],[LEW]]</f>
        <v>-6.25E-2</v>
      </c>
    </row>
    <row r="737" spans="1:19" x14ac:dyDescent="0.25">
      <c r="A737" s="66">
        <v>35141</v>
      </c>
      <c r="B737" s="51">
        <f>YEAR(Table1[[#This Row],[Date]])</f>
        <v>1996</v>
      </c>
      <c r="C737" s="1">
        <v>2</v>
      </c>
      <c r="D737" t="s">
        <v>439</v>
      </c>
      <c r="E737" s="1">
        <v>2</v>
      </c>
      <c r="F737" t="s">
        <v>408</v>
      </c>
      <c r="G737" t="str">
        <f>VLOOKUP(Table1[[#This Row],[Winner]],Ranking!C:D,2,FALSE)</f>
        <v>ACC</v>
      </c>
      <c r="H737" s="1">
        <v>65</v>
      </c>
      <c r="I737" s="1">
        <v>10</v>
      </c>
      <c r="J737" t="s">
        <v>34</v>
      </c>
      <c r="K737" t="str">
        <f>VLOOKUP(Table1[[#This Row],[Loser]],Ranking!C:D,2,FALSE)</f>
        <v>B12</v>
      </c>
      <c r="L737" s="1">
        <v>62</v>
      </c>
      <c r="N737" s="1">
        <f>Table1[[#This Row],[Winning Score]]-Table1[[#This Row],[Losing Score]]</f>
        <v>3</v>
      </c>
      <c r="O737" s="1">
        <f>Table1[[#This Row],[Losing Seed]]-Table1[[#This Row],[Winning Seed]]</f>
        <v>8</v>
      </c>
      <c r="P737" s="1" t="str">
        <f>IF(Table1[[#This Row],[SeD]]&lt;-2,Table1[[#This Row],[Winning Seed]]&amp; " over " &amp;Table1[[#This Row],[Losing Seed]],"")</f>
        <v/>
      </c>
      <c r="Q737">
        <f>VLOOKUP(Table1[[#This Row],[Losing Seed]],'Seed History'!$N$4:$O$19,2)</f>
        <v>0.61805555555555558</v>
      </c>
      <c r="R737" s="1">
        <f>IF(Table1[[#This Row],[Round]]="PI",0,Table1[[#This Row],[Round]]-1)</f>
        <v>1</v>
      </c>
      <c r="S737">
        <f>Table1[[#This Row],[LAW]]-Table1[[#This Row],[LEW]]</f>
        <v>0.38194444444444442</v>
      </c>
    </row>
    <row r="738" spans="1:19" x14ac:dyDescent="0.25">
      <c r="A738" s="66">
        <v>35141</v>
      </c>
      <c r="B738" s="51">
        <f>YEAR(Table1[[#This Row],[Date]])</f>
        <v>1996</v>
      </c>
      <c r="C738" s="1">
        <v>2</v>
      </c>
      <c r="D738" t="s">
        <v>461</v>
      </c>
      <c r="E738" s="1">
        <v>2</v>
      </c>
      <c r="F738" t="s">
        <v>28</v>
      </c>
      <c r="G738" t="str">
        <f>VLOOKUP(Table1[[#This Row],[Winner]],Ranking!C:D,2,FALSE)</f>
        <v>Amer</v>
      </c>
      <c r="H738" s="1">
        <v>78</v>
      </c>
      <c r="I738" s="1">
        <v>7</v>
      </c>
      <c r="J738" t="s">
        <v>373</v>
      </c>
      <c r="K738" t="str">
        <f>VLOOKUP(Table1[[#This Row],[Loser]],Ranking!C:D,2,FALSE)</f>
        <v>Amer</v>
      </c>
      <c r="L738" s="1">
        <v>65</v>
      </c>
      <c r="N738" s="1">
        <f>Table1[[#This Row],[Winning Score]]-Table1[[#This Row],[Losing Score]]</f>
        <v>13</v>
      </c>
      <c r="O738" s="1">
        <f>Table1[[#This Row],[Losing Seed]]-Table1[[#This Row],[Winning Seed]]</f>
        <v>5</v>
      </c>
      <c r="P738" s="1" t="str">
        <f>IF(Table1[[#This Row],[SeD]]&lt;-2,Table1[[#This Row],[Winning Seed]]&amp; " over " &amp;Table1[[#This Row],[Losing Seed]],"")</f>
        <v/>
      </c>
      <c r="Q738">
        <f>VLOOKUP(Table1[[#This Row],[Losing Seed]],'Seed History'!$N$4:$O$19,2)</f>
        <v>0.90277777777777779</v>
      </c>
      <c r="R738" s="1">
        <f>IF(Table1[[#This Row],[Round]]="PI",0,Table1[[#This Row],[Round]]-1)</f>
        <v>1</v>
      </c>
      <c r="S738">
        <f>Table1[[#This Row],[LAW]]-Table1[[#This Row],[LEW]]</f>
        <v>9.722222222222221E-2</v>
      </c>
    </row>
    <row r="739" spans="1:19" x14ac:dyDescent="0.25">
      <c r="A739" s="66">
        <v>35141</v>
      </c>
      <c r="B739" s="51">
        <f>YEAR(Table1[[#This Row],[Date]])</f>
        <v>1996</v>
      </c>
      <c r="C739" s="1">
        <v>2</v>
      </c>
      <c r="D739" t="s">
        <v>461</v>
      </c>
      <c r="E739" s="1">
        <v>3</v>
      </c>
      <c r="F739" t="s">
        <v>216</v>
      </c>
      <c r="G739" t="str">
        <f>VLOOKUP(Table1[[#This Row],[Winner]],Ranking!C:D,2,FALSE)</f>
        <v>ACC</v>
      </c>
      <c r="H739" s="1">
        <v>103</v>
      </c>
      <c r="I739" s="1">
        <v>11</v>
      </c>
      <c r="J739" t="s">
        <v>138</v>
      </c>
      <c r="K739" t="str">
        <f>VLOOKUP(Table1[[#This Row],[Loser]],Ranking!C:D,2,FALSE)</f>
        <v>ACC</v>
      </c>
      <c r="L739" s="1">
        <v>89</v>
      </c>
      <c r="N739" s="1">
        <f>Table1[[#This Row],[Winning Score]]-Table1[[#This Row],[Losing Score]]</f>
        <v>14</v>
      </c>
      <c r="O739" s="1">
        <f>Table1[[#This Row],[Losing Seed]]-Table1[[#This Row],[Winning Seed]]</f>
        <v>8</v>
      </c>
      <c r="P739" s="1" t="str">
        <f>IF(Table1[[#This Row],[SeD]]&lt;-2,Table1[[#This Row],[Winning Seed]]&amp; " over " &amp;Table1[[#This Row],[Losing Seed]],"")</f>
        <v/>
      </c>
      <c r="Q739">
        <f>VLOOKUP(Table1[[#This Row],[Losing Seed]],'Seed History'!$N$4:$O$19,2)</f>
        <v>0.63194444444444442</v>
      </c>
      <c r="R739" s="1">
        <f>IF(Table1[[#This Row],[Round]]="PI",0,Table1[[#This Row],[Round]]-1)</f>
        <v>1</v>
      </c>
      <c r="S739">
        <f>Table1[[#This Row],[LAW]]-Table1[[#This Row],[LEW]]</f>
        <v>0.36805555555555558</v>
      </c>
    </row>
    <row r="740" spans="1:19" x14ac:dyDescent="0.25">
      <c r="A740" s="66">
        <v>35141</v>
      </c>
      <c r="B740" s="51">
        <f>YEAR(Table1[[#This Row],[Date]])</f>
        <v>1996</v>
      </c>
      <c r="C740" s="1">
        <v>2</v>
      </c>
      <c r="D740" t="s">
        <v>38</v>
      </c>
      <c r="E740" s="1">
        <v>2</v>
      </c>
      <c r="F740" t="s">
        <v>37</v>
      </c>
      <c r="G740" t="str">
        <f>VLOOKUP(Table1[[#This Row],[Winner]],Ranking!C:D,2,FALSE)</f>
        <v>B12</v>
      </c>
      <c r="H740" s="1">
        <v>76</v>
      </c>
      <c r="I740" s="1">
        <v>10</v>
      </c>
      <c r="J740" t="s">
        <v>347</v>
      </c>
      <c r="K740" t="str">
        <f>VLOOKUP(Table1[[#This Row],[Loser]],Ranking!C:D,2,FALSE)</f>
        <v>WCC</v>
      </c>
      <c r="L740" s="1">
        <v>51</v>
      </c>
      <c r="N740" s="1">
        <f>Table1[[#This Row],[Winning Score]]-Table1[[#This Row],[Losing Score]]</f>
        <v>25</v>
      </c>
      <c r="O740" s="1">
        <f>Table1[[#This Row],[Losing Seed]]-Table1[[#This Row],[Winning Seed]]</f>
        <v>8</v>
      </c>
      <c r="P740" s="1" t="str">
        <f>IF(Table1[[#This Row],[SeD]]&lt;-2,Table1[[#This Row],[Winning Seed]]&amp; " over " &amp;Table1[[#This Row],[Losing Seed]],"")</f>
        <v/>
      </c>
      <c r="Q740">
        <f>VLOOKUP(Table1[[#This Row],[Losing Seed]],'Seed History'!$N$4:$O$19,2)</f>
        <v>0.61805555555555558</v>
      </c>
      <c r="R740" s="1">
        <f>IF(Table1[[#This Row],[Round]]="PI",0,Table1[[#This Row],[Round]]-1)</f>
        <v>1</v>
      </c>
      <c r="S740">
        <f>Table1[[#This Row],[LAW]]-Table1[[#This Row],[LEW]]</f>
        <v>0.38194444444444442</v>
      </c>
    </row>
    <row r="741" spans="1:19" x14ac:dyDescent="0.25">
      <c r="A741" s="66">
        <v>35141</v>
      </c>
      <c r="B741" s="51">
        <f>YEAR(Table1[[#This Row],[Date]])</f>
        <v>1996</v>
      </c>
      <c r="C741" s="1">
        <v>2</v>
      </c>
      <c r="D741" t="s">
        <v>38</v>
      </c>
      <c r="E741" s="1">
        <v>3</v>
      </c>
      <c r="F741" t="s">
        <v>48</v>
      </c>
      <c r="G741" t="str">
        <f>VLOOKUP(Table1[[#This Row],[Winner]],Ranking!C:D,2,FALSE)</f>
        <v>P12</v>
      </c>
      <c r="H741" s="1">
        <v>87</v>
      </c>
      <c r="I741" s="1">
        <v>6</v>
      </c>
      <c r="J741" t="s">
        <v>69</v>
      </c>
      <c r="K741" t="str">
        <f>VLOOKUP(Table1[[#This Row],[Loser]],Ranking!C:D,2,FALSE)</f>
        <v>B10</v>
      </c>
      <c r="L741" s="1">
        <v>73</v>
      </c>
      <c r="N741" s="1">
        <f>Table1[[#This Row],[Winning Score]]-Table1[[#This Row],[Losing Score]]</f>
        <v>14</v>
      </c>
      <c r="O741" s="1">
        <f>Table1[[#This Row],[Losing Seed]]-Table1[[#This Row],[Winning Seed]]</f>
        <v>3</v>
      </c>
      <c r="P741" s="1" t="str">
        <f>IF(Table1[[#This Row],[SeD]]&lt;-2,Table1[[#This Row],[Winning Seed]]&amp; " over " &amp;Table1[[#This Row],[Losing Seed]],"")</f>
        <v/>
      </c>
      <c r="Q741">
        <f>VLOOKUP(Table1[[#This Row],[Losing Seed]],'Seed History'!$N$4:$O$19,2)</f>
        <v>1.0625</v>
      </c>
      <c r="R741" s="1">
        <f>IF(Table1[[#This Row],[Round]]="PI",0,Table1[[#This Row],[Round]]-1)</f>
        <v>1</v>
      </c>
      <c r="S741">
        <f>Table1[[#This Row],[LAW]]-Table1[[#This Row],[LEW]]</f>
        <v>-6.25E-2</v>
      </c>
    </row>
    <row r="742" spans="1:19" x14ac:dyDescent="0.25">
      <c r="A742" s="66">
        <v>35141</v>
      </c>
      <c r="B742" s="51">
        <f>YEAR(Table1[[#This Row],[Date]])</f>
        <v>1996</v>
      </c>
      <c r="C742" s="1">
        <v>2</v>
      </c>
      <c r="D742" t="s">
        <v>439</v>
      </c>
      <c r="E742" s="1">
        <v>6</v>
      </c>
      <c r="F742" t="s">
        <v>54</v>
      </c>
      <c r="G742" t="str">
        <f>VLOOKUP(Table1[[#This Row],[Winner]],Ranking!C:D,2,FALSE)</f>
        <v>ACC</v>
      </c>
      <c r="H742" s="1">
        <v>68</v>
      </c>
      <c r="I742" s="1">
        <v>3</v>
      </c>
      <c r="J742" t="s">
        <v>50</v>
      </c>
      <c r="K742" t="str">
        <f>VLOOKUP(Table1[[#This Row],[Loser]],Ranking!C:D,2,FALSE)</f>
        <v>BE</v>
      </c>
      <c r="L742" s="1">
        <v>64</v>
      </c>
      <c r="N742" s="1">
        <f>Table1[[#This Row],[Winning Score]]-Table1[[#This Row],[Losing Score]]</f>
        <v>4</v>
      </c>
      <c r="O742" s="1">
        <f>Table1[[#This Row],[Losing Seed]]-Table1[[#This Row],[Winning Seed]]</f>
        <v>-3</v>
      </c>
      <c r="P742" s="1" t="str">
        <f>IF(Table1[[#This Row],[SeD]]&lt;-2,Table1[[#This Row],[Winning Seed]]&amp; " over " &amp;Table1[[#This Row],[Losing Seed]],"")</f>
        <v>6 over 3</v>
      </c>
      <c r="Q742">
        <f>VLOOKUP(Table1[[#This Row],[Losing Seed]],'Seed History'!$N$4:$O$19,2)</f>
        <v>1.8472222222222223</v>
      </c>
      <c r="R742" s="1">
        <f>IF(Table1[[#This Row],[Round]]="PI",0,Table1[[#This Row],[Round]]-1)</f>
        <v>1</v>
      </c>
      <c r="S742">
        <f>Table1[[#This Row],[LAW]]-Table1[[#This Row],[LEW]]</f>
        <v>-0.84722222222222232</v>
      </c>
    </row>
    <row r="743" spans="1:19" x14ac:dyDescent="0.25">
      <c r="A743" s="66">
        <v>35145</v>
      </c>
      <c r="B743" s="51">
        <f>YEAR(Table1[[#This Row],[Date]])</f>
        <v>1996</v>
      </c>
      <c r="C743" s="1">
        <v>3</v>
      </c>
      <c r="D743" t="s">
        <v>49</v>
      </c>
      <c r="E743" s="1">
        <v>1</v>
      </c>
      <c r="F743" t="s">
        <v>265</v>
      </c>
      <c r="G743" t="str">
        <f>VLOOKUP(Table1[[#This Row],[Winner]],Ranking!C:D,2,FALSE)</f>
        <v>A10</v>
      </c>
      <c r="H743" s="1">
        <v>79</v>
      </c>
      <c r="I743" s="1">
        <v>12</v>
      </c>
      <c r="J743" t="s">
        <v>41</v>
      </c>
      <c r="K743" t="str">
        <f>VLOOKUP(Table1[[#This Row],[Loser]],Ranking!C:D,2,FALSE)</f>
        <v>SEC</v>
      </c>
      <c r="L743" s="1">
        <v>63</v>
      </c>
      <c r="N743" s="1">
        <f>Table1[[#This Row],[Winning Score]]-Table1[[#This Row],[Losing Score]]</f>
        <v>16</v>
      </c>
      <c r="O743" s="1">
        <f>Table1[[#This Row],[Losing Seed]]-Table1[[#This Row],[Winning Seed]]</f>
        <v>11</v>
      </c>
      <c r="P743" s="1" t="str">
        <f>IF(Table1[[#This Row],[SeD]]&lt;-2,Table1[[#This Row],[Winning Seed]]&amp; " over " &amp;Table1[[#This Row],[Losing Seed]],"")</f>
        <v/>
      </c>
      <c r="Q743">
        <f>VLOOKUP(Table1[[#This Row],[Losing Seed]],'Seed History'!$N$4:$O$19,2)</f>
        <v>0.52083333333333337</v>
      </c>
      <c r="R743" s="1">
        <f>IF(Table1[[#This Row],[Round]]="PI",0,Table1[[#This Row],[Round]]-1)</f>
        <v>2</v>
      </c>
      <c r="S743">
        <f>Table1[[#This Row],[LAW]]-Table1[[#This Row],[LEW]]</f>
        <v>1.4791666666666665</v>
      </c>
    </row>
    <row r="744" spans="1:19" x14ac:dyDescent="0.25">
      <c r="A744" s="66">
        <v>35145</v>
      </c>
      <c r="B744" s="51">
        <f>YEAR(Table1[[#This Row],[Date]])</f>
        <v>1996</v>
      </c>
      <c r="C744" s="1">
        <v>3</v>
      </c>
      <c r="D744" t="s">
        <v>49</v>
      </c>
      <c r="E744" s="1">
        <v>2</v>
      </c>
      <c r="F744" t="s">
        <v>66</v>
      </c>
      <c r="G744" t="str">
        <f>VLOOKUP(Table1[[#This Row],[Winner]],Ranking!C:D,2,FALSE)</f>
        <v>BE</v>
      </c>
      <c r="H744" s="1">
        <v>98</v>
      </c>
      <c r="I744" s="1">
        <v>3</v>
      </c>
      <c r="J744" t="s">
        <v>92</v>
      </c>
      <c r="K744" t="str">
        <f>VLOOKUP(Table1[[#This Row],[Loser]],Ranking!C:D,2,FALSE)</f>
        <v>B12</v>
      </c>
      <c r="L744" s="1">
        <v>90</v>
      </c>
      <c r="N744" s="1">
        <f>Table1[[#This Row],[Winning Score]]-Table1[[#This Row],[Losing Score]]</f>
        <v>8</v>
      </c>
      <c r="O744" s="1">
        <f>Table1[[#This Row],[Losing Seed]]-Table1[[#This Row],[Winning Seed]]</f>
        <v>1</v>
      </c>
      <c r="P744" s="1" t="str">
        <f>IF(Table1[[#This Row],[SeD]]&lt;-2,Table1[[#This Row],[Winning Seed]]&amp; " over " &amp;Table1[[#This Row],[Losing Seed]],"")</f>
        <v/>
      </c>
      <c r="Q744">
        <f>VLOOKUP(Table1[[#This Row],[Losing Seed]],'Seed History'!$N$4:$O$19,2)</f>
        <v>1.8472222222222223</v>
      </c>
      <c r="R744" s="1">
        <f>IF(Table1[[#This Row],[Round]]="PI",0,Table1[[#This Row],[Round]]-1)</f>
        <v>2</v>
      </c>
      <c r="S744">
        <f>Table1[[#This Row],[LAW]]-Table1[[#This Row],[LEW]]</f>
        <v>0.15277777777777768</v>
      </c>
    </row>
    <row r="745" spans="1:19" x14ac:dyDescent="0.25">
      <c r="A745" s="66">
        <v>35145</v>
      </c>
      <c r="B745" s="51">
        <f>YEAR(Table1[[#This Row],[Date]])</f>
        <v>1996</v>
      </c>
      <c r="C745" s="1">
        <v>3</v>
      </c>
      <c r="D745" t="s">
        <v>439</v>
      </c>
      <c r="E745" s="1">
        <v>1</v>
      </c>
      <c r="F745" t="s">
        <v>26</v>
      </c>
      <c r="G745" t="str">
        <f>VLOOKUP(Table1[[#This Row],[Winner]],Ranking!C:D,2,FALSE)</f>
        <v>SEC</v>
      </c>
      <c r="H745" s="1">
        <v>101</v>
      </c>
      <c r="I745" s="1">
        <v>4</v>
      </c>
      <c r="J745" t="s">
        <v>65</v>
      </c>
      <c r="K745" t="str">
        <f>VLOOKUP(Table1[[#This Row],[Loser]],Ranking!C:D,2,FALSE)</f>
        <v>P12</v>
      </c>
      <c r="L745" s="1">
        <v>70</v>
      </c>
      <c r="N745" s="1">
        <f>Table1[[#This Row],[Winning Score]]-Table1[[#This Row],[Losing Score]]</f>
        <v>31</v>
      </c>
      <c r="O745" s="1">
        <f>Table1[[#This Row],[Losing Seed]]-Table1[[#This Row],[Winning Seed]]</f>
        <v>3</v>
      </c>
      <c r="P745" s="1" t="str">
        <f>IF(Table1[[#This Row],[SeD]]&lt;-2,Table1[[#This Row],[Winning Seed]]&amp; " over " &amp;Table1[[#This Row],[Losing Seed]],"")</f>
        <v/>
      </c>
      <c r="Q745">
        <f>VLOOKUP(Table1[[#This Row],[Losing Seed]],'Seed History'!$N$4:$O$19,2)</f>
        <v>1.5208333333333333</v>
      </c>
      <c r="R745" s="1">
        <f>IF(Table1[[#This Row],[Round]]="PI",0,Table1[[#This Row],[Round]]-1)</f>
        <v>2</v>
      </c>
      <c r="S745">
        <f>Table1[[#This Row],[LAW]]-Table1[[#This Row],[LEW]]</f>
        <v>0.47916666666666674</v>
      </c>
    </row>
    <row r="746" spans="1:19" x14ac:dyDescent="0.25">
      <c r="A746" s="66">
        <v>35145</v>
      </c>
      <c r="B746" s="51">
        <f>YEAR(Table1[[#This Row],[Date]])</f>
        <v>1996</v>
      </c>
      <c r="C746" s="1">
        <v>3</v>
      </c>
      <c r="D746" t="s">
        <v>439</v>
      </c>
      <c r="E746" s="1">
        <v>2</v>
      </c>
      <c r="F746" t="s">
        <v>408</v>
      </c>
      <c r="G746" t="str">
        <f>VLOOKUP(Table1[[#This Row],[Winner]],Ranking!C:D,2,FALSE)</f>
        <v>ACC</v>
      </c>
      <c r="H746" s="1">
        <v>60</v>
      </c>
      <c r="I746" s="1">
        <v>6</v>
      </c>
      <c r="J746" t="s">
        <v>54</v>
      </c>
      <c r="K746" t="str">
        <f>VLOOKUP(Table1[[#This Row],[Loser]],Ranking!C:D,2,FALSE)</f>
        <v>ACC</v>
      </c>
      <c r="L746" s="1">
        <v>59</v>
      </c>
      <c r="N746" s="1">
        <f>Table1[[#This Row],[Winning Score]]-Table1[[#This Row],[Losing Score]]</f>
        <v>1</v>
      </c>
      <c r="O746" s="1">
        <f>Table1[[#This Row],[Losing Seed]]-Table1[[#This Row],[Winning Seed]]</f>
        <v>4</v>
      </c>
      <c r="P746" s="1" t="str">
        <f>IF(Table1[[#This Row],[SeD]]&lt;-2,Table1[[#This Row],[Winning Seed]]&amp; " over " &amp;Table1[[#This Row],[Losing Seed]],"")</f>
        <v/>
      </c>
      <c r="Q746">
        <f>VLOOKUP(Table1[[#This Row],[Losing Seed]],'Seed History'!$N$4:$O$19,2)</f>
        <v>1.0625</v>
      </c>
      <c r="R746" s="1">
        <f>IF(Table1[[#This Row],[Round]]="PI",0,Table1[[#This Row],[Round]]-1)</f>
        <v>2</v>
      </c>
      <c r="S746">
        <f>Table1[[#This Row],[LAW]]-Table1[[#This Row],[LEW]]</f>
        <v>0.9375</v>
      </c>
    </row>
    <row r="747" spans="1:19" x14ac:dyDescent="0.25">
      <c r="A747" s="66">
        <v>35146</v>
      </c>
      <c r="B747" s="51">
        <f>YEAR(Table1[[#This Row],[Date]])</f>
        <v>1996</v>
      </c>
      <c r="C747" s="1">
        <v>3</v>
      </c>
      <c r="D747" t="s">
        <v>461</v>
      </c>
      <c r="E747" s="1">
        <v>2</v>
      </c>
      <c r="F747" t="s">
        <v>28</v>
      </c>
      <c r="G747" t="str">
        <f>VLOOKUP(Table1[[#This Row],[Winner]],Ranking!C:D,2,FALSE)</f>
        <v>Amer</v>
      </c>
      <c r="H747" s="1">
        <v>87</v>
      </c>
      <c r="I747" s="1">
        <v>3</v>
      </c>
      <c r="J747" t="s">
        <v>216</v>
      </c>
      <c r="K747" t="str">
        <f>VLOOKUP(Table1[[#This Row],[Loser]],Ranking!C:D,2,FALSE)</f>
        <v>ACC</v>
      </c>
      <c r="L747" s="1">
        <v>70</v>
      </c>
      <c r="N747" s="1">
        <f>Table1[[#This Row],[Winning Score]]-Table1[[#This Row],[Losing Score]]</f>
        <v>17</v>
      </c>
      <c r="O747" s="1">
        <f>Table1[[#This Row],[Losing Seed]]-Table1[[#This Row],[Winning Seed]]</f>
        <v>1</v>
      </c>
      <c r="P747" s="1" t="str">
        <f>IF(Table1[[#This Row],[SeD]]&lt;-2,Table1[[#This Row],[Winning Seed]]&amp; " over " &amp;Table1[[#This Row],[Losing Seed]],"")</f>
        <v/>
      </c>
      <c r="Q747">
        <f>VLOOKUP(Table1[[#This Row],[Losing Seed]],'Seed History'!$N$4:$O$19,2)</f>
        <v>1.8472222222222223</v>
      </c>
      <c r="R747" s="1">
        <f>IF(Table1[[#This Row],[Round]]="PI",0,Table1[[#This Row],[Round]]-1)</f>
        <v>2</v>
      </c>
      <c r="S747">
        <f>Table1[[#This Row],[LAW]]-Table1[[#This Row],[LEW]]</f>
        <v>0.15277777777777768</v>
      </c>
    </row>
    <row r="748" spans="1:19" x14ac:dyDescent="0.25">
      <c r="A748" s="66">
        <v>35146</v>
      </c>
      <c r="B748" s="51">
        <f>YEAR(Table1[[#This Row],[Date]])</f>
        <v>1996</v>
      </c>
      <c r="C748" s="1">
        <v>3</v>
      </c>
      <c r="D748" t="s">
        <v>38</v>
      </c>
      <c r="E748" s="1">
        <v>2</v>
      </c>
      <c r="F748" t="s">
        <v>37</v>
      </c>
      <c r="G748" t="str">
        <f>VLOOKUP(Table1[[#This Row],[Winner]],Ranking!C:D,2,FALSE)</f>
        <v>B12</v>
      </c>
      <c r="H748" s="1">
        <v>83</v>
      </c>
      <c r="I748" s="1">
        <v>3</v>
      </c>
      <c r="J748" t="s">
        <v>48</v>
      </c>
      <c r="K748" t="str">
        <f>VLOOKUP(Table1[[#This Row],[Loser]],Ranking!C:D,2,FALSE)</f>
        <v>P12</v>
      </c>
      <c r="L748" s="1">
        <v>80</v>
      </c>
      <c r="N748" s="1">
        <f>Table1[[#This Row],[Winning Score]]-Table1[[#This Row],[Losing Score]]</f>
        <v>3</v>
      </c>
      <c r="O748" s="1">
        <f>Table1[[#This Row],[Losing Seed]]-Table1[[#This Row],[Winning Seed]]</f>
        <v>1</v>
      </c>
      <c r="P748" s="1" t="str">
        <f>IF(Table1[[#This Row],[SeD]]&lt;-2,Table1[[#This Row],[Winning Seed]]&amp; " over " &amp;Table1[[#This Row],[Losing Seed]],"")</f>
        <v/>
      </c>
      <c r="Q748">
        <f>VLOOKUP(Table1[[#This Row],[Losing Seed]],'Seed History'!$N$4:$O$19,2)</f>
        <v>1.8472222222222223</v>
      </c>
      <c r="R748" s="1">
        <f>IF(Table1[[#This Row],[Round]]="PI",0,Table1[[#This Row],[Round]]-1)</f>
        <v>2</v>
      </c>
      <c r="S748">
        <f>Table1[[#This Row],[LAW]]-Table1[[#This Row],[LEW]]</f>
        <v>0.15277777777777768</v>
      </c>
    </row>
    <row r="749" spans="1:19" x14ac:dyDescent="0.25">
      <c r="A749" s="66">
        <v>35146</v>
      </c>
      <c r="B749" s="51">
        <f>YEAR(Table1[[#This Row],[Date]])</f>
        <v>1996</v>
      </c>
      <c r="C749" s="1">
        <v>3</v>
      </c>
      <c r="D749" t="s">
        <v>38</v>
      </c>
      <c r="E749" s="1">
        <v>4</v>
      </c>
      <c r="F749" t="s">
        <v>86</v>
      </c>
      <c r="G749" t="str">
        <f>VLOOKUP(Table1[[#This Row],[Winner]],Ranking!C:D,2,FALSE)</f>
        <v>ACC</v>
      </c>
      <c r="H749" s="1">
        <v>83</v>
      </c>
      <c r="I749" s="1">
        <v>8</v>
      </c>
      <c r="J749" t="s">
        <v>60</v>
      </c>
      <c r="K749" t="str">
        <f>VLOOKUP(Table1[[#This Row],[Loser]],Ranking!C:D,2,FALSE)</f>
        <v>SEC</v>
      </c>
      <c r="L749" s="1">
        <v>81</v>
      </c>
      <c r="M749" s="1" t="s">
        <v>462</v>
      </c>
      <c r="N749" s="1">
        <f>Table1[[#This Row],[Winning Score]]-Table1[[#This Row],[Losing Score]]</f>
        <v>2</v>
      </c>
      <c r="O749" s="1">
        <f>Table1[[#This Row],[Losing Seed]]-Table1[[#This Row],[Winning Seed]]</f>
        <v>4</v>
      </c>
      <c r="P749" s="1" t="str">
        <f>IF(Table1[[#This Row],[SeD]]&lt;-2,Table1[[#This Row],[Winning Seed]]&amp; " over " &amp;Table1[[#This Row],[Losing Seed]],"")</f>
        <v/>
      </c>
      <c r="Q749">
        <f>VLOOKUP(Table1[[#This Row],[Losing Seed]],'Seed History'!$N$4:$O$19,2)</f>
        <v>0.70833333333333337</v>
      </c>
      <c r="R749" s="1">
        <f>IF(Table1[[#This Row],[Round]]="PI",0,Table1[[#This Row],[Round]]-1)</f>
        <v>2</v>
      </c>
      <c r="S749">
        <f>Table1[[#This Row],[LAW]]-Table1[[#This Row],[LEW]]</f>
        <v>1.2916666666666665</v>
      </c>
    </row>
    <row r="750" spans="1:19" x14ac:dyDescent="0.25">
      <c r="A750" s="66">
        <v>35146</v>
      </c>
      <c r="B750" s="51">
        <f>YEAR(Table1[[#This Row],[Date]])</f>
        <v>1996</v>
      </c>
      <c r="C750" s="1">
        <v>3</v>
      </c>
      <c r="D750" t="s">
        <v>461</v>
      </c>
      <c r="E750" s="1">
        <v>5</v>
      </c>
      <c r="F750" t="s">
        <v>275</v>
      </c>
      <c r="G750" t="str">
        <f>VLOOKUP(Table1[[#This Row],[Winner]],Ranking!C:D,2,FALSE)</f>
        <v>SEC</v>
      </c>
      <c r="H750" s="1">
        <v>60</v>
      </c>
      <c r="I750" s="1">
        <v>1</v>
      </c>
      <c r="J750" t="s">
        <v>80</v>
      </c>
      <c r="K750" t="str">
        <f>VLOOKUP(Table1[[#This Row],[Loser]],Ranking!C:D,2,FALSE)</f>
        <v>BE</v>
      </c>
      <c r="L750" s="1">
        <v>55</v>
      </c>
      <c r="N750" s="1">
        <f>Table1[[#This Row],[Winning Score]]-Table1[[#This Row],[Losing Score]]</f>
        <v>5</v>
      </c>
      <c r="O750" s="1">
        <f>Table1[[#This Row],[Losing Seed]]-Table1[[#This Row],[Winning Seed]]</f>
        <v>-4</v>
      </c>
      <c r="P750" s="1" t="str">
        <f>IF(Table1[[#This Row],[SeD]]&lt;-2,Table1[[#This Row],[Winning Seed]]&amp; " over " &amp;Table1[[#This Row],[Losing Seed]],"")</f>
        <v>5 over 1</v>
      </c>
      <c r="Q750">
        <f>VLOOKUP(Table1[[#This Row],[Losing Seed]],'Seed History'!$N$4:$O$19,2)</f>
        <v>3.3263888888888888</v>
      </c>
      <c r="R750" s="1">
        <f>IF(Table1[[#This Row],[Round]]="PI",0,Table1[[#This Row],[Round]]-1)</f>
        <v>2</v>
      </c>
      <c r="S750">
        <f>Table1[[#This Row],[LAW]]-Table1[[#This Row],[LEW]]</f>
        <v>-1.3263888888888888</v>
      </c>
    </row>
    <row r="751" spans="1:19" x14ac:dyDescent="0.25">
      <c r="A751" s="66">
        <v>35147</v>
      </c>
      <c r="B751" s="51">
        <f>YEAR(Table1[[#This Row],[Date]])</f>
        <v>1996</v>
      </c>
      <c r="C751" s="1">
        <v>4</v>
      </c>
      <c r="D751" t="s">
        <v>49</v>
      </c>
      <c r="E751" s="1">
        <v>1</v>
      </c>
      <c r="F751" t="s">
        <v>265</v>
      </c>
      <c r="G751" t="str">
        <f>VLOOKUP(Table1[[#This Row],[Winner]],Ranking!C:D,2,FALSE)</f>
        <v>A10</v>
      </c>
      <c r="H751" s="1">
        <v>86</v>
      </c>
      <c r="I751" s="1">
        <v>2</v>
      </c>
      <c r="J751" t="s">
        <v>66</v>
      </c>
      <c r="K751" t="str">
        <f>VLOOKUP(Table1[[#This Row],[Loser]],Ranking!C:D,2,FALSE)</f>
        <v>BE</v>
      </c>
      <c r="L751" s="1">
        <v>62</v>
      </c>
      <c r="N751" s="1">
        <f>Table1[[#This Row],[Winning Score]]-Table1[[#This Row],[Losing Score]]</f>
        <v>24</v>
      </c>
      <c r="O751" s="1">
        <f>Table1[[#This Row],[Losing Seed]]-Table1[[#This Row],[Winning Seed]]</f>
        <v>1</v>
      </c>
      <c r="P751" s="1" t="str">
        <f>IF(Table1[[#This Row],[SeD]]&lt;-2,Table1[[#This Row],[Winning Seed]]&amp; " over " &amp;Table1[[#This Row],[Losing Seed]],"")</f>
        <v/>
      </c>
      <c r="Q751">
        <f>VLOOKUP(Table1[[#This Row],[Losing Seed]],'Seed History'!$N$4:$O$19,2)</f>
        <v>2.3472222222222223</v>
      </c>
      <c r="R751" s="1">
        <f>IF(Table1[[#This Row],[Round]]="PI",0,Table1[[#This Row],[Round]]-1)</f>
        <v>3</v>
      </c>
      <c r="S751">
        <f>Table1[[#This Row],[LAW]]-Table1[[#This Row],[LEW]]</f>
        <v>0.65277777777777768</v>
      </c>
    </row>
    <row r="752" spans="1:19" x14ac:dyDescent="0.25">
      <c r="A752" s="66">
        <v>35147</v>
      </c>
      <c r="B752" s="51">
        <f>YEAR(Table1[[#This Row],[Date]])</f>
        <v>1996</v>
      </c>
      <c r="C752" s="1">
        <v>4</v>
      </c>
      <c r="D752" t="s">
        <v>439</v>
      </c>
      <c r="E752" s="1">
        <v>1</v>
      </c>
      <c r="F752" t="s">
        <v>26</v>
      </c>
      <c r="G752" t="str">
        <f>VLOOKUP(Table1[[#This Row],[Winner]],Ranking!C:D,2,FALSE)</f>
        <v>SEC</v>
      </c>
      <c r="H752" s="1">
        <v>83</v>
      </c>
      <c r="I752" s="1">
        <v>2</v>
      </c>
      <c r="J752" t="s">
        <v>408</v>
      </c>
      <c r="K752" t="str">
        <f>VLOOKUP(Table1[[#This Row],[Loser]],Ranking!C:D,2,FALSE)</f>
        <v>ACC</v>
      </c>
      <c r="L752" s="1">
        <v>63</v>
      </c>
      <c r="N752" s="1">
        <f>Table1[[#This Row],[Winning Score]]-Table1[[#This Row],[Losing Score]]</f>
        <v>20</v>
      </c>
      <c r="O752" s="1">
        <f>Table1[[#This Row],[Losing Seed]]-Table1[[#This Row],[Winning Seed]]</f>
        <v>1</v>
      </c>
      <c r="P752" s="1" t="str">
        <f>IF(Table1[[#This Row],[SeD]]&lt;-2,Table1[[#This Row],[Winning Seed]]&amp; " over " &amp;Table1[[#This Row],[Losing Seed]],"")</f>
        <v/>
      </c>
      <c r="Q752">
        <f>VLOOKUP(Table1[[#This Row],[Losing Seed]],'Seed History'!$N$4:$O$19,2)</f>
        <v>2.3472222222222223</v>
      </c>
      <c r="R752" s="1">
        <f>IF(Table1[[#This Row],[Round]]="PI",0,Table1[[#This Row],[Round]]-1)</f>
        <v>3</v>
      </c>
      <c r="S752">
        <f>Table1[[#This Row],[LAW]]-Table1[[#This Row],[LEW]]</f>
        <v>0.65277777777777768</v>
      </c>
    </row>
    <row r="753" spans="1:19" x14ac:dyDescent="0.25">
      <c r="A753" s="66">
        <v>35148</v>
      </c>
      <c r="B753" s="51">
        <f>YEAR(Table1[[#This Row],[Date]])</f>
        <v>1996</v>
      </c>
      <c r="C753" s="1">
        <v>4</v>
      </c>
      <c r="D753" t="s">
        <v>461</v>
      </c>
      <c r="E753" s="1">
        <v>5</v>
      </c>
      <c r="F753" t="s">
        <v>275</v>
      </c>
      <c r="G753" t="str">
        <f>VLOOKUP(Table1[[#This Row],[Winner]],Ranking!C:D,2,FALSE)</f>
        <v>SEC</v>
      </c>
      <c r="H753" s="1">
        <v>73</v>
      </c>
      <c r="I753" s="1">
        <v>2</v>
      </c>
      <c r="J753" t="s">
        <v>28</v>
      </c>
      <c r="K753" t="str">
        <f>VLOOKUP(Table1[[#This Row],[Loser]],Ranking!C:D,2,FALSE)</f>
        <v>Amer</v>
      </c>
      <c r="L753" s="1">
        <v>63</v>
      </c>
      <c r="N753" s="1">
        <f>Table1[[#This Row],[Winning Score]]-Table1[[#This Row],[Losing Score]]</f>
        <v>10</v>
      </c>
      <c r="O753" s="1">
        <f>Table1[[#This Row],[Losing Seed]]-Table1[[#This Row],[Winning Seed]]</f>
        <v>-3</v>
      </c>
      <c r="P753" s="1" t="str">
        <f>IF(Table1[[#This Row],[SeD]]&lt;-2,Table1[[#This Row],[Winning Seed]]&amp; " over " &amp;Table1[[#This Row],[Losing Seed]],"")</f>
        <v>5 over 2</v>
      </c>
      <c r="Q753">
        <f>VLOOKUP(Table1[[#This Row],[Losing Seed]],'Seed History'!$N$4:$O$19,2)</f>
        <v>2.3472222222222223</v>
      </c>
      <c r="R753" s="1">
        <f>IF(Table1[[#This Row],[Round]]="PI",0,Table1[[#This Row],[Round]]-1)</f>
        <v>3</v>
      </c>
      <c r="S753">
        <f>Table1[[#This Row],[LAW]]-Table1[[#This Row],[LEW]]</f>
        <v>0.65277777777777768</v>
      </c>
    </row>
    <row r="754" spans="1:19" x14ac:dyDescent="0.25">
      <c r="A754" s="66">
        <v>35148</v>
      </c>
      <c r="B754" s="51">
        <f>YEAR(Table1[[#This Row],[Date]])</f>
        <v>1996</v>
      </c>
      <c r="C754" s="1">
        <v>4</v>
      </c>
      <c r="D754" t="s">
        <v>38</v>
      </c>
      <c r="E754" s="1">
        <v>4</v>
      </c>
      <c r="F754" t="s">
        <v>86</v>
      </c>
      <c r="G754" t="str">
        <f>VLOOKUP(Table1[[#This Row],[Winner]],Ranking!C:D,2,FALSE)</f>
        <v>ACC</v>
      </c>
      <c r="H754" s="1">
        <v>60</v>
      </c>
      <c r="I754" s="1">
        <v>2</v>
      </c>
      <c r="J754" t="s">
        <v>37</v>
      </c>
      <c r="K754" t="str">
        <f>VLOOKUP(Table1[[#This Row],[Loser]],Ranking!C:D,2,FALSE)</f>
        <v>B12</v>
      </c>
      <c r="L754" s="1">
        <v>57</v>
      </c>
      <c r="N754" s="1">
        <f>Table1[[#This Row],[Winning Score]]-Table1[[#This Row],[Losing Score]]</f>
        <v>3</v>
      </c>
      <c r="O754" s="1">
        <f>Table1[[#This Row],[Losing Seed]]-Table1[[#This Row],[Winning Seed]]</f>
        <v>-2</v>
      </c>
      <c r="P754" s="1" t="str">
        <f>IF(Table1[[#This Row],[SeD]]&lt;-2,Table1[[#This Row],[Winning Seed]]&amp; " over " &amp;Table1[[#This Row],[Losing Seed]],"")</f>
        <v/>
      </c>
      <c r="Q754">
        <f>VLOOKUP(Table1[[#This Row],[Losing Seed]],'Seed History'!$N$4:$O$19,2)</f>
        <v>2.3472222222222223</v>
      </c>
      <c r="R754" s="1">
        <f>IF(Table1[[#This Row],[Round]]="PI",0,Table1[[#This Row],[Round]]-1)</f>
        <v>3</v>
      </c>
      <c r="S754">
        <f>Table1[[#This Row],[LAW]]-Table1[[#This Row],[LEW]]</f>
        <v>0.65277777777777768</v>
      </c>
    </row>
    <row r="755" spans="1:19" x14ac:dyDescent="0.25">
      <c r="A755" s="66">
        <v>35154</v>
      </c>
      <c r="B755" s="51">
        <f>YEAR(Table1[[#This Row],[Date]])</f>
        <v>1996</v>
      </c>
      <c r="C755" s="1">
        <v>5</v>
      </c>
      <c r="D755" t="s">
        <v>467</v>
      </c>
      <c r="E755" s="1">
        <v>1</v>
      </c>
      <c r="F755" t="s">
        <v>26</v>
      </c>
      <c r="G755" t="str">
        <f>VLOOKUP(Table1[[#This Row],[Winner]],Ranking!C:D,2,FALSE)</f>
        <v>SEC</v>
      </c>
      <c r="H755" s="1">
        <v>81</v>
      </c>
      <c r="I755" s="1">
        <v>1</v>
      </c>
      <c r="J755" t="s">
        <v>265</v>
      </c>
      <c r="K755" t="str">
        <f>VLOOKUP(Table1[[#This Row],[Loser]],Ranking!C:D,2,FALSE)</f>
        <v>A10</v>
      </c>
      <c r="L755" s="1">
        <v>74</v>
      </c>
      <c r="N755" s="1">
        <f>Table1[[#This Row],[Winning Score]]-Table1[[#This Row],[Losing Score]]</f>
        <v>7</v>
      </c>
      <c r="O755" s="1">
        <f>Table1[[#This Row],[Losing Seed]]-Table1[[#This Row],[Winning Seed]]</f>
        <v>0</v>
      </c>
      <c r="P755" s="1" t="str">
        <f>IF(Table1[[#This Row],[SeD]]&lt;-2,Table1[[#This Row],[Winning Seed]]&amp; " over " &amp;Table1[[#This Row],[Losing Seed]],"")</f>
        <v/>
      </c>
      <c r="Q755">
        <f>VLOOKUP(Table1[[#This Row],[Losing Seed]],'Seed History'!$N$4:$O$19,2)</f>
        <v>3.3263888888888888</v>
      </c>
      <c r="R755" s="1">
        <f>IF(Table1[[#This Row],[Round]]="PI",0,Table1[[#This Row],[Round]]-1)</f>
        <v>4</v>
      </c>
      <c r="S755">
        <f>Table1[[#This Row],[LAW]]-Table1[[#This Row],[LEW]]</f>
        <v>0.67361111111111116</v>
      </c>
    </row>
    <row r="756" spans="1:19" x14ac:dyDescent="0.25">
      <c r="A756" s="66">
        <v>35154</v>
      </c>
      <c r="B756" s="51">
        <f>YEAR(Table1[[#This Row],[Date]])</f>
        <v>1996</v>
      </c>
      <c r="C756" s="1">
        <v>5</v>
      </c>
      <c r="D756" t="s">
        <v>467</v>
      </c>
      <c r="E756" s="1">
        <v>4</v>
      </c>
      <c r="F756" t="s">
        <v>86</v>
      </c>
      <c r="G756" t="str">
        <f>VLOOKUP(Table1[[#This Row],[Winner]],Ranking!C:D,2,FALSE)</f>
        <v>ACC</v>
      </c>
      <c r="H756" s="1">
        <v>77</v>
      </c>
      <c r="I756" s="1">
        <v>5</v>
      </c>
      <c r="J756" t="s">
        <v>275</v>
      </c>
      <c r="K756" t="str">
        <f>VLOOKUP(Table1[[#This Row],[Loser]],Ranking!C:D,2,FALSE)</f>
        <v>SEC</v>
      </c>
      <c r="L756" s="1">
        <v>69</v>
      </c>
      <c r="N756" s="1">
        <f>Table1[[#This Row],[Winning Score]]-Table1[[#This Row],[Losing Score]]</f>
        <v>8</v>
      </c>
      <c r="O756" s="1">
        <f>Table1[[#This Row],[Losing Seed]]-Table1[[#This Row],[Winning Seed]]</f>
        <v>1</v>
      </c>
      <c r="P756" s="1" t="str">
        <f>IF(Table1[[#This Row],[SeD]]&lt;-2,Table1[[#This Row],[Winning Seed]]&amp; " over " &amp;Table1[[#This Row],[Losing Seed]],"")</f>
        <v/>
      </c>
      <c r="Q756">
        <f>VLOOKUP(Table1[[#This Row],[Losing Seed]],'Seed History'!$N$4:$O$19,2)</f>
        <v>1.1180555555555556</v>
      </c>
      <c r="R756" s="1">
        <f>IF(Table1[[#This Row],[Round]]="PI",0,Table1[[#This Row],[Round]]-1)</f>
        <v>4</v>
      </c>
      <c r="S756">
        <f>Table1[[#This Row],[LAW]]-Table1[[#This Row],[LEW]]</f>
        <v>2.8819444444444446</v>
      </c>
    </row>
    <row r="757" spans="1:19" x14ac:dyDescent="0.25">
      <c r="A757" s="66">
        <v>35156</v>
      </c>
      <c r="B757" s="51">
        <f>YEAR(Table1[[#This Row],[Date]])</f>
        <v>1996</v>
      </c>
      <c r="C757" s="1">
        <v>6</v>
      </c>
      <c r="D757" t="s">
        <v>468</v>
      </c>
      <c r="E757" s="1">
        <v>1</v>
      </c>
      <c r="F757" t="s">
        <v>26</v>
      </c>
      <c r="G757" t="str">
        <f>VLOOKUP(Table1[[#This Row],[Winner]],Ranking!C:D,2,FALSE)</f>
        <v>SEC</v>
      </c>
      <c r="H757" s="1">
        <v>76</v>
      </c>
      <c r="I757" s="1">
        <v>4</v>
      </c>
      <c r="J757" t="s">
        <v>86</v>
      </c>
      <c r="K757" t="str">
        <f>VLOOKUP(Table1[[#This Row],[Loser]],Ranking!C:D,2,FALSE)</f>
        <v>ACC</v>
      </c>
      <c r="L757" s="1">
        <v>67</v>
      </c>
      <c r="N757" s="1">
        <f>Table1[[#This Row],[Winning Score]]-Table1[[#This Row],[Losing Score]]</f>
        <v>9</v>
      </c>
      <c r="O757" s="1">
        <f>Table1[[#This Row],[Losing Seed]]-Table1[[#This Row],[Winning Seed]]</f>
        <v>3</v>
      </c>
      <c r="P757" s="1" t="str">
        <f>IF(Table1[[#This Row],[SeD]]&lt;-2,Table1[[#This Row],[Winning Seed]]&amp; " over " &amp;Table1[[#This Row],[Losing Seed]],"")</f>
        <v/>
      </c>
      <c r="Q757">
        <f>VLOOKUP(Table1[[#This Row],[Losing Seed]],'Seed History'!$N$4:$O$19,2)</f>
        <v>1.5208333333333333</v>
      </c>
      <c r="R757" s="1">
        <f>IF(Table1[[#This Row],[Round]]="PI",0,Table1[[#This Row],[Round]]-1)</f>
        <v>5</v>
      </c>
      <c r="S757">
        <f>Table1[[#This Row],[LAW]]-Table1[[#This Row],[LEW]]</f>
        <v>3.479166666666667</v>
      </c>
    </row>
    <row r="758" spans="1:19" x14ac:dyDescent="0.25">
      <c r="A758" s="66">
        <v>35502</v>
      </c>
      <c r="B758" s="51">
        <f>YEAR(Table1[[#This Row],[Date]])</f>
        <v>1997</v>
      </c>
      <c r="C758" s="1">
        <v>1</v>
      </c>
      <c r="D758" t="s">
        <v>461</v>
      </c>
      <c r="E758" s="1">
        <v>12</v>
      </c>
      <c r="F758" t="s">
        <v>488</v>
      </c>
      <c r="G758" t="str">
        <f>VLOOKUP(Table1[[#This Row],[Winner]],Ranking!C:D,2,FALSE)</f>
        <v>CAA</v>
      </c>
      <c r="H758" s="1">
        <v>75</v>
      </c>
      <c r="I758" s="1">
        <v>5</v>
      </c>
      <c r="J758" t="s">
        <v>31</v>
      </c>
      <c r="K758" t="str">
        <f>VLOOKUP(Table1[[#This Row],[Loser]],Ranking!C:D,2,FALSE)</f>
        <v>B10</v>
      </c>
      <c r="L758" s="1">
        <v>66</v>
      </c>
      <c r="N758" s="1">
        <f>Table1[[#This Row],[Winning Score]]-Table1[[#This Row],[Losing Score]]</f>
        <v>9</v>
      </c>
      <c r="O758" s="1">
        <f>Table1[[#This Row],[Losing Seed]]-Table1[[#This Row],[Winning Seed]]</f>
        <v>-7</v>
      </c>
      <c r="P758" s="1" t="str">
        <f>IF(Table1[[#This Row],[SeD]]&lt;-2,Table1[[#This Row],[Winning Seed]]&amp; " over " &amp;Table1[[#This Row],[Losing Seed]],"")</f>
        <v>12 over 5</v>
      </c>
      <c r="Q758">
        <f>VLOOKUP(Table1[[#This Row],[Losing Seed]],'Seed History'!$N$4:$O$19,2)</f>
        <v>1.1180555555555556</v>
      </c>
      <c r="R758" s="1">
        <f>IF(Table1[[#This Row],[Round]]="PI",0,Table1[[#This Row],[Round]]-1)</f>
        <v>0</v>
      </c>
      <c r="S758">
        <f>Table1[[#This Row],[LAW]]-Table1[[#This Row],[LEW]]</f>
        <v>-1.1180555555555556</v>
      </c>
    </row>
    <row r="759" spans="1:19" x14ac:dyDescent="0.25">
      <c r="A759" s="66">
        <v>35502</v>
      </c>
      <c r="B759" s="51">
        <f>YEAR(Table1[[#This Row],[Date]])</f>
        <v>1997</v>
      </c>
      <c r="C759" s="1">
        <v>1</v>
      </c>
      <c r="D759" t="s">
        <v>49</v>
      </c>
      <c r="E759" s="1">
        <v>1</v>
      </c>
      <c r="F759" t="s">
        <v>298</v>
      </c>
      <c r="G759" t="str">
        <f>VLOOKUP(Table1[[#This Row],[Winner]],Ranking!C:D,2,FALSE)</f>
        <v>ACC</v>
      </c>
      <c r="H759" s="1">
        <v>82</v>
      </c>
      <c r="I759" s="1">
        <v>16</v>
      </c>
      <c r="J759" t="s">
        <v>200</v>
      </c>
      <c r="K759" t="str">
        <f>VLOOKUP(Table1[[#This Row],[Loser]],Ranking!C:D,2,FALSE)</f>
        <v>MAAC</v>
      </c>
      <c r="L759" s="1">
        <v>74</v>
      </c>
      <c r="N759" s="1">
        <f>Table1[[#This Row],[Winning Score]]-Table1[[#This Row],[Losing Score]]</f>
        <v>8</v>
      </c>
      <c r="O759" s="1">
        <f>Table1[[#This Row],[Losing Seed]]-Table1[[#This Row],[Winning Seed]]</f>
        <v>15</v>
      </c>
      <c r="P759" s="1" t="str">
        <f>IF(Table1[[#This Row],[SeD]]&lt;-2,Table1[[#This Row],[Winning Seed]]&amp; " over " &amp;Table1[[#This Row],[Losing Seed]],"")</f>
        <v/>
      </c>
      <c r="Q759">
        <f>VLOOKUP(Table1[[#This Row],[Losing Seed]],'Seed History'!$N$4:$O$19,2)</f>
        <v>6.9444444444444441E-3</v>
      </c>
      <c r="R759" s="1">
        <f>IF(Table1[[#This Row],[Round]]="PI",0,Table1[[#This Row],[Round]]-1)</f>
        <v>0</v>
      </c>
      <c r="S759">
        <f>Table1[[#This Row],[LAW]]-Table1[[#This Row],[LEW]]</f>
        <v>-6.9444444444444441E-3</v>
      </c>
    </row>
    <row r="760" spans="1:19" x14ac:dyDescent="0.25">
      <c r="A760" s="66">
        <v>35502</v>
      </c>
      <c r="B760" s="51">
        <f>YEAR(Table1[[#This Row],[Date]])</f>
        <v>1997</v>
      </c>
      <c r="C760" s="1">
        <v>1</v>
      </c>
      <c r="D760" t="s">
        <v>49</v>
      </c>
      <c r="E760" s="1">
        <v>4</v>
      </c>
      <c r="F760" t="s">
        <v>50</v>
      </c>
      <c r="G760" t="str">
        <f>VLOOKUP(Table1[[#This Row],[Winner]],Ranking!C:D,2,FALSE)</f>
        <v>BE</v>
      </c>
      <c r="H760" s="1">
        <v>101</v>
      </c>
      <c r="I760" s="1">
        <v>13</v>
      </c>
      <c r="J760" t="s">
        <v>251</v>
      </c>
      <c r="K760" t="e">
        <f>VLOOKUP(Table1[[#This Row],[Loser]],Ranking!C:D,2,FALSE)</f>
        <v>#N/A</v>
      </c>
      <c r="L760" s="1">
        <v>91</v>
      </c>
      <c r="N760" s="1">
        <f>Table1[[#This Row],[Winning Score]]-Table1[[#This Row],[Losing Score]]</f>
        <v>10</v>
      </c>
      <c r="O760" s="1">
        <f>Table1[[#This Row],[Losing Seed]]-Table1[[#This Row],[Winning Seed]]</f>
        <v>9</v>
      </c>
      <c r="P760" s="1" t="str">
        <f>IF(Table1[[#This Row],[SeD]]&lt;-2,Table1[[#This Row],[Winning Seed]]&amp; " over " &amp;Table1[[#This Row],[Losing Seed]],"")</f>
        <v/>
      </c>
      <c r="Q760">
        <f>VLOOKUP(Table1[[#This Row],[Losing Seed]],'Seed History'!$N$4:$O$19,2)</f>
        <v>0.25694444444444442</v>
      </c>
      <c r="R760" s="1">
        <f>IF(Table1[[#This Row],[Round]]="PI",0,Table1[[#This Row],[Round]]-1)</f>
        <v>0</v>
      </c>
      <c r="S760">
        <f>Table1[[#This Row],[LAW]]-Table1[[#This Row],[LEW]]</f>
        <v>-0.25694444444444442</v>
      </c>
    </row>
    <row r="761" spans="1:19" x14ac:dyDescent="0.25">
      <c r="A761" s="66">
        <v>35502</v>
      </c>
      <c r="B761" s="51">
        <f>YEAR(Table1[[#This Row],[Date]])</f>
        <v>1997</v>
      </c>
      <c r="C761" s="1">
        <v>1</v>
      </c>
      <c r="D761" t="s">
        <v>49</v>
      </c>
      <c r="E761" s="1">
        <v>5</v>
      </c>
      <c r="F761" t="s">
        <v>84</v>
      </c>
      <c r="G761" t="str">
        <f>VLOOKUP(Table1[[#This Row],[Winner]],Ranking!C:D,2,FALSE)</f>
        <v>P12</v>
      </c>
      <c r="H761" s="1">
        <v>55</v>
      </c>
      <c r="I761" s="1">
        <v>12</v>
      </c>
      <c r="J761" t="s">
        <v>91</v>
      </c>
      <c r="K761" t="str">
        <f>VLOOKUP(Table1[[#This Row],[Loser]],Ranking!C:D,2,FALSE)</f>
        <v>Ivy</v>
      </c>
      <c r="L761" s="1">
        <v>52</v>
      </c>
      <c r="N761" s="1">
        <f>Table1[[#This Row],[Winning Score]]-Table1[[#This Row],[Losing Score]]</f>
        <v>3</v>
      </c>
      <c r="O761" s="1">
        <f>Table1[[#This Row],[Losing Seed]]-Table1[[#This Row],[Winning Seed]]</f>
        <v>7</v>
      </c>
      <c r="P761" s="1" t="str">
        <f>IF(Table1[[#This Row],[SeD]]&lt;-2,Table1[[#This Row],[Winning Seed]]&amp; " over " &amp;Table1[[#This Row],[Losing Seed]],"")</f>
        <v/>
      </c>
      <c r="Q761">
        <f>VLOOKUP(Table1[[#This Row],[Losing Seed]],'Seed History'!$N$4:$O$19,2)</f>
        <v>0.52083333333333337</v>
      </c>
      <c r="R761" s="1">
        <f>IF(Table1[[#This Row],[Round]]="PI",0,Table1[[#This Row],[Round]]-1)</f>
        <v>0</v>
      </c>
      <c r="S761">
        <f>Table1[[#This Row],[LAW]]-Table1[[#This Row],[LEW]]</f>
        <v>-0.52083333333333337</v>
      </c>
    </row>
    <row r="762" spans="1:19" x14ac:dyDescent="0.25">
      <c r="A762" s="66">
        <v>35502</v>
      </c>
      <c r="B762" s="51">
        <f>YEAR(Table1[[#This Row],[Date]])</f>
        <v>1997</v>
      </c>
      <c r="C762" s="1">
        <v>1</v>
      </c>
      <c r="D762" t="s">
        <v>439</v>
      </c>
      <c r="E762" s="1">
        <v>2</v>
      </c>
      <c r="F762" t="s">
        <v>67</v>
      </c>
      <c r="G762" t="str">
        <f>VLOOKUP(Table1[[#This Row],[Winner]],Ranking!C:D,2,FALSE)</f>
        <v>P12</v>
      </c>
      <c r="H762" s="1">
        <v>109</v>
      </c>
      <c r="I762" s="1">
        <v>15</v>
      </c>
      <c r="J762" t="s">
        <v>164</v>
      </c>
      <c r="K762" t="str">
        <f>VLOOKUP(Table1[[#This Row],[Loser]],Ranking!C:D,2,FALSE)</f>
        <v>BSth</v>
      </c>
      <c r="L762" s="1">
        <v>75</v>
      </c>
      <c r="N762" s="1">
        <f>Table1[[#This Row],[Winning Score]]-Table1[[#This Row],[Losing Score]]</f>
        <v>34</v>
      </c>
      <c r="O762" s="1">
        <f>Table1[[#This Row],[Losing Seed]]-Table1[[#This Row],[Winning Seed]]</f>
        <v>13</v>
      </c>
      <c r="P762" s="1" t="str">
        <f>IF(Table1[[#This Row],[SeD]]&lt;-2,Table1[[#This Row],[Winning Seed]]&amp; " over " &amp;Table1[[#This Row],[Losing Seed]],"")</f>
        <v/>
      </c>
      <c r="Q762">
        <f>VLOOKUP(Table1[[#This Row],[Losing Seed]],'Seed History'!$N$4:$O$19,2)</f>
        <v>7.6388888888888895E-2</v>
      </c>
      <c r="R762" s="1">
        <f>IF(Table1[[#This Row],[Round]]="PI",0,Table1[[#This Row],[Round]]-1)</f>
        <v>0</v>
      </c>
      <c r="S762">
        <f>Table1[[#This Row],[LAW]]-Table1[[#This Row],[LEW]]</f>
        <v>-7.6388888888888895E-2</v>
      </c>
    </row>
    <row r="763" spans="1:19" x14ac:dyDescent="0.25">
      <c r="A763" s="66">
        <v>35502</v>
      </c>
      <c r="B763" s="51">
        <f>YEAR(Table1[[#This Row],[Date]])</f>
        <v>1997</v>
      </c>
      <c r="C763" s="1">
        <v>1</v>
      </c>
      <c r="D763" t="s">
        <v>439</v>
      </c>
      <c r="E763" s="1">
        <v>3</v>
      </c>
      <c r="F763" t="s">
        <v>28</v>
      </c>
      <c r="G763" t="str">
        <f>VLOOKUP(Table1[[#This Row],[Winner]],Ranking!C:D,2,FALSE)</f>
        <v>Amer</v>
      </c>
      <c r="H763" s="1">
        <v>86</v>
      </c>
      <c r="I763" s="1">
        <v>14</v>
      </c>
      <c r="J763" t="s">
        <v>33</v>
      </c>
      <c r="K763" t="str">
        <f>VLOOKUP(Table1[[#This Row],[Loser]],Ranking!C:D,2,FALSE)</f>
        <v>BE</v>
      </c>
      <c r="L763" s="1">
        <v>69</v>
      </c>
      <c r="N763" s="1">
        <f>Table1[[#This Row],[Winning Score]]-Table1[[#This Row],[Losing Score]]</f>
        <v>17</v>
      </c>
      <c r="O763" s="1">
        <f>Table1[[#This Row],[Losing Seed]]-Table1[[#This Row],[Winning Seed]]</f>
        <v>11</v>
      </c>
      <c r="P763" s="1" t="str">
        <f>IF(Table1[[#This Row],[SeD]]&lt;-2,Table1[[#This Row],[Winning Seed]]&amp; " over " &amp;Table1[[#This Row],[Losing Seed]],"")</f>
        <v/>
      </c>
      <c r="Q763">
        <f>VLOOKUP(Table1[[#This Row],[Losing Seed]],'Seed History'!$N$4:$O$19,2)</f>
        <v>0.16666666666666666</v>
      </c>
      <c r="R763" s="1">
        <f>IF(Table1[[#This Row],[Round]]="PI",0,Table1[[#This Row],[Round]]-1)</f>
        <v>0</v>
      </c>
      <c r="S763">
        <f>Table1[[#This Row],[LAW]]-Table1[[#This Row],[LEW]]</f>
        <v>-0.16666666666666666</v>
      </c>
    </row>
    <row r="764" spans="1:19" x14ac:dyDescent="0.25">
      <c r="A764" s="66">
        <v>35502</v>
      </c>
      <c r="B764" s="51">
        <f>YEAR(Table1[[#This Row],[Date]])</f>
        <v>1997</v>
      </c>
      <c r="C764" s="1">
        <v>1</v>
      </c>
      <c r="D764" t="s">
        <v>439</v>
      </c>
      <c r="E764" s="1">
        <v>6</v>
      </c>
      <c r="F764" t="s">
        <v>237</v>
      </c>
      <c r="G764" t="str">
        <f>VLOOKUP(Table1[[#This Row],[Winner]],Ranking!C:D,2,FALSE)</f>
        <v>B12</v>
      </c>
      <c r="H764" s="1">
        <v>69</v>
      </c>
      <c r="I764" s="1">
        <v>11</v>
      </c>
      <c r="J764" t="s">
        <v>233</v>
      </c>
      <c r="K764" t="str">
        <f>VLOOKUP(Table1[[#This Row],[Loser]],Ranking!C:D,2,FALSE)</f>
        <v>MVC</v>
      </c>
      <c r="L764" s="1">
        <v>57</v>
      </c>
      <c r="N764" s="1">
        <f>Table1[[#This Row],[Winning Score]]-Table1[[#This Row],[Losing Score]]</f>
        <v>12</v>
      </c>
      <c r="O764" s="1">
        <f>Table1[[#This Row],[Losing Seed]]-Table1[[#This Row],[Winning Seed]]</f>
        <v>5</v>
      </c>
      <c r="P764" s="1" t="str">
        <f>IF(Table1[[#This Row],[SeD]]&lt;-2,Table1[[#This Row],[Winning Seed]]&amp; " over " &amp;Table1[[#This Row],[Losing Seed]],"")</f>
        <v/>
      </c>
      <c r="Q764">
        <f>VLOOKUP(Table1[[#This Row],[Losing Seed]],'Seed History'!$N$4:$O$19,2)</f>
        <v>0.63194444444444442</v>
      </c>
      <c r="R764" s="1">
        <f>IF(Table1[[#This Row],[Round]]="PI",0,Table1[[#This Row],[Round]]-1)</f>
        <v>0</v>
      </c>
      <c r="S764">
        <f>Table1[[#This Row],[LAW]]-Table1[[#This Row],[LEW]]</f>
        <v>-0.63194444444444442</v>
      </c>
    </row>
    <row r="765" spans="1:19" x14ac:dyDescent="0.25">
      <c r="A765" s="66">
        <v>35502</v>
      </c>
      <c r="B765" s="51">
        <f>YEAR(Table1[[#This Row],[Date]])</f>
        <v>1997</v>
      </c>
      <c r="C765" s="1">
        <v>1</v>
      </c>
      <c r="D765" t="s">
        <v>439</v>
      </c>
      <c r="E765" s="1">
        <v>7</v>
      </c>
      <c r="F765" t="s">
        <v>44</v>
      </c>
      <c r="G765" t="str">
        <f>VLOOKUP(Table1[[#This Row],[Winner]],Ranking!C:D,2,FALSE)</f>
        <v>BE</v>
      </c>
      <c r="H765" s="1">
        <v>80</v>
      </c>
      <c r="I765" s="1">
        <v>10</v>
      </c>
      <c r="J765" t="s">
        <v>78</v>
      </c>
      <c r="K765" t="str">
        <f>VLOOKUP(Table1[[#This Row],[Loser]],Ranking!C:D,2,FALSE)</f>
        <v>SEC</v>
      </c>
      <c r="L765" s="1">
        <v>68</v>
      </c>
      <c r="N765" s="1">
        <f>Table1[[#This Row],[Winning Score]]-Table1[[#This Row],[Losing Score]]</f>
        <v>12</v>
      </c>
      <c r="O765" s="1">
        <f>Table1[[#This Row],[Losing Seed]]-Table1[[#This Row],[Winning Seed]]</f>
        <v>3</v>
      </c>
      <c r="P765" s="1" t="str">
        <f>IF(Table1[[#This Row],[SeD]]&lt;-2,Table1[[#This Row],[Winning Seed]]&amp; " over " &amp;Table1[[#This Row],[Losing Seed]],"")</f>
        <v/>
      </c>
      <c r="Q765">
        <f>VLOOKUP(Table1[[#This Row],[Losing Seed]],'Seed History'!$N$4:$O$19,2)</f>
        <v>0.61805555555555558</v>
      </c>
      <c r="R765" s="1">
        <f>IF(Table1[[#This Row],[Round]]="PI",0,Table1[[#This Row],[Round]]-1)</f>
        <v>0</v>
      </c>
      <c r="S765">
        <f>Table1[[#This Row],[LAW]]-Table1[[#This Row],[LEW]]</f>
        <v>-0.61805555555555558</v>
      </c>
    </row>
    <row r="766" spans="1:19" x14ac:dyDescent="0.25">
      <c r="A766" s="66">
        <v>35502</v>
      </c>
      <c r="B766" s="51">
        <f>YEAR(Table1[[#This Row],[Date]])</f>
        <v>1997</v>
      </c>
      <c r="C766" s="1">
        <v>1</v>
      </c>
      <c r="D766" t="s">
        <v>461</v>
      </c>
      <c r="E766" s="1">
        <v>1</v>
      </c>
      <c r="F766" t="s">
        <v>37</v>
      </c>
      <c r="G766" t="str">
        <f>VLOOKUP(Table1[[#This Row],[Winner]],Ranking!C:D,2,FALSE)</f>
        <v>B12</v>
      </c>
      <c r="H766" s="1">
        <v>78</v>
      </c>
      <c r="I766" s="1">
        <v>16</v>
      </c>
      <c r="J766" t="s">
        <v>239</v>
      </c>
      <c r="K766" t="str">
        <f>VLOOKUP(Table1[[#This Row],[Loser]],Ranking!C:D,2,FALSE)</f>
        <v>SWAC</v>
      </c>
      <c r="L766" s="1">
        <v>64</v>
      </c>
      <c r="N766" s="1">
        <f>Table1[[#This Row],[Winning Score]]-Table1[[#This Row],[Losing Score]]</f>
        <v>14</v>
      </c>
      <c r="O766" s="1">
        <f>Table1[[#This Row],[Losing Seed]]-Table1[[#This Row],[Winning Seed]]</f>
        <v>15</v>
      </c>
      <c r="P766" s="1" t="str">
        <f>IF(Table1[[#This Row],[SeD]]&lt;-2,Table1[[#This Row],[Winning Seed]]&amp; " over " &amp;Table1[[#This Row],[Losing Seed]],"")</f>
        <v/>
      </c>
      <c r="Q766">
        <f>VLOOKUP(Table1[[#This Row],[Losing Seed]],'Seed History'!$N$4:$O$19,2)</f>
        <v>6.9444444444444441E-3</v>
      </c>
      <c r="R766" s="1">
        <f>IF(Table1[[#This Row],[Round]]="PI",0,Table1[[#This Row],[Round]]-1)</f>
        <v>0</v>
      </c>
      <c r="S766">
        <f>Table1[[#This Row],[LAW]]-Table1[[#This Row],[LEW]]</f>
        <v>-6.9444444444444441E-3</v>
      </c>
    </row>
    <row r="767" spans="1:19" x14ac:dyDescent="0.25">
      <c r="A767" s="66">
        <v>35502</v>
      </c>
      <c r="B767" s="51">
        <f>YEAR(Table1[[#This Row],[Date]])</f>
        <v>1997</v>
      </c>
      <c r="C767" s="1">
        <v>1</v>
      </c>
      <c r="D767" t="s">
        <v>461</v>
      </c>
      <c r="E767" s="1">
        <v>4</v>
      </c>
      <c r="F767" t="s">
        <v>48</v>
      </c>
      <c r="G767" t="str">
        <f>VLOOKUP(Table1[[#This Row],[Winner]],Ranking!C:D,2,FALSE)</f>
        <v>P12</v>
      </c>
      <c r="H767" s="1">
        <v>65</v>
      </c>
      <c r="I767" s="1">
        <v>13</v>
      </c>
      <c r="J767" t="s">
        <v>353</v>
      </c>
      <c r="K767" t="str">
        <f>VLOOKUP(Table1[[#This Row],[Loser]],Ranking!C:D,2,FALSE)</f>
        <v>SB</v>
      </c>
      <c r="L767" s="1">
        <v>57</v>
      </c>
      <c r="N767" s="1">
        <f>Table1[[#This Row],[Winning Score]]-Table1[[#This Row],[Losing Score]]</f>
        <v>8</v>
      </c>
      <c r="O767" s="1">
        <f>Table1[[#This Row],[Losing Seed]]-Table1[[#This Row],[Winning Seed]]</f>
        <v>9</v>
      </c>
      <c r="P767" s="1" t="str">
        <f>IF(Table1[[#This Row],[SeD]]&lt;-2,Table1[[#This Row],[Winning Seed]]&amp; " over " &amp;Table1[[#This Row],[Losing Seed]],"")</f>
        <v/>
      </c>
      <c r="Q767">
        <f>VLOOKUP(Table1[[#This Row],[Losing Seed]],'Seed History'!$N$4:$O$19,2)</f>
        <v>0.25694444444444442</v>
      </c>
      <c r="R767" s="1">
        <f>IF(Table1[[#This Row],[Round]]="PI",0,Table1[[#This Row],[Round]]-1)</f>
        <v>0</v>
      </c>
      <c r="S767">
        <f>Table1[[#This Row],[LAW]]-Table1[[#This Row],[LEW]]</f>
        <v>-0.25694444444444442</v>
      </c>
    </row>
    <row r="768" spans="1:19" x14ac:dyDescent="0.25">
      <c r="A768" s="66">
        <v>35502</v>
      </c>
      <c r="B768" s="51">
        <f>YEAR(Table1[[#This Row],[Date]])</f>
        <v>1997</v>
      </c>
      <c r="C768" s="1">
        <v>1</v>
      </c>
      <c r="D768" t="s">
        <v>461</v>
      </c>
      <c r="E768" s="1">
        <v>8</v>
      </c>
      <c r="F768" t="s">
        <v>29</v>
      </c>
      <c r="G768" t="str">
        <f>VLOOKUP(Table1[[#This Row],[Winner]],Ranking!C:D,2,FALSE)</f>
        <v>B10</v>
      </c>
      <c r="H768" s="1">
        <v>83</v>
      </c>
      <c r="I768" s="1">
        <v>9</v>
      </c>
      <c r="J768" t="s">
        <v>96</v>
      </c>
      <c r="K768" t="str">
        <f>VLOOKUP(Table1[[#This Row],[Loser]],Ranking!C:D,2,FALSE)</f>
        <v>A10</v>
      </c>
      <c r="L768" s="1">
        <v>76</v>
      </c>
      <c r="M768" s="1" t="s">
        <v>462</v>
      </c>
      <c r="N768" s="1">
        <f>Table1[[#This Row],[Winning Score]]-Table1[[#This Row],[Losing Score]]</f>
        <v>7</v>
      </c>
      <c r="O768" s="1">
        <f>Table1[[#This Row],[Losing Seed]]-Table1[[#This Row],[Winning Seed]]</f>
        <v>1</v>
      </c>
      <c r="P768" s="1" t="str">
        <f>IF(Table1[[#This Row],[SeD]]&lt;-2,Table1[[#This Row],[Winning Seed]]&amp; " over " &amp;Table1[[#This Row],[Losing Seed]],"")</f>
        <v/>
      </c>
      <c r="Q768">
        <f>VLOOKUP(Table1[[#This Row],[Losing Seed]],'Seed History'!$N$4:$O$19,2)</f>
        <v>0.59027777777777779</v>
      </c>
      <c r="R768" s="1">
        <f>IF(Table1[[#This Row],[Round]]="PI",0,Table1[[#This Row],[Round]]-1)</f>
        <v>0</v>
      </c>
      <c r="S768">
        <f>Table1[[#This Row],[LAW]]-Table1[[#This Row],[LEW]]</f>
        <v>-0.59027777777777779</v>
      </c>
    </row>
    <row r="769" spans="1:19" x14ac:dyDescent="0.25">
      <c r="A769" s="66">
        <v>35502</v>
      </c>
      <c r="B769" s="51">
        <f>YEAR(Table1[[#This Row],[Date]])</f>
        <v>1997</v>
      </c>
      <c r="C769" s="1">
        <v>1</v>
      </c>
      <c r="D769" t="s">
        <v>38</v>
      </c>
      <c r="E769" s="1">
        <v>1</v>
      </c>
      <c r="F769" t="s">
        <v>26</v>
      </c>
      <c r="G769" t="str">
        <f>VLOOKUP(Table1[[#This Row],[Winner]],Ranking!C:D,2,FALSE)</f>
        <v>SEC</v>
      </c>
      <c r="H769" s="1">
        <v>92</v>
      </c>
      <c r="I769" s="1">
        <v>16</v>
      </c>
      <c r="J769" t="s">
        <v>280</v>
      </c>
      <c r="K769" t="str">
        <f>VLOOKUP(Table1[[#This Row],[Loser]],Ranking!C:D,2,FALSE)</f>
        <v>BSky</v>
      </c>
      <c r="L769" s="1">
        <v>54</v>
      </c>
      <c r="N769" s="1">
        <f>Table1[[#This Row],[Winning Score]]-Table1[[#This Row],[Losing Score]]</f>
        <v>38</v>
      </c>
      <c r="O769" s="1">
        <f>Table1[[#This Row],[Losing Seed]]-Table1[[#This Row],[Winning Seed]]</f>
        <v>15</v>
      </c>
      <c r="P769" s="1" t="str">
        <f>IF(Table1[[#This Row],[SeD]]&lt;-2,Table1[[#This Row],[Winning Seed]]&amp; " over " &amp;Table1[[#This Row],[Losing Seed]],"")</f>
        <v/>
      </c>
      <c r="Q769">
        <f>VLOOKUP(Table1[[#This Row],[Losing Seed]],'Seed History'!$N$4:$O$19,2)</f>
        <v>6.9444444444444441E-3</v>
      </c>
      <c r="R769" s="1">
        <f>IF(Table1[[#This Row],[Round]]="PI",0,Table1[[#This Row],[Round]]-1)</f>
        <v>0</v>
      </c>
      <c r="S769">
        <f>Table1[[#This Row],[LAW]]-Table1[[#This Row],[LEW]]</f>
        <v>-6.9444444444444441E-3</v>
      </c>
    </row>
    <row r="770" spans="1:19" x14ac:dyDescent="0.25">
      <c r="A770" s="66">
        <v>35502</v>
      </c>
      <c r="B770" s="51">
        <f>YEAR(Table1[[#This Row],[Date]])</f>
        <v>1997</v>
      </c>
      <c r="C770" s="1">
        <v>1</v>
      </c>
      <c r="D770" t="s">
        <v>38</v>
      </c>
      <c r="E770" s="1">
        <v>4</v>
      </c>
      <c r="F770" t="s">
        <v>337</v>
      </c>
      <c r="G770" t="str">
        <f>VLOOKUP(Table1[[#This Row],[Winner]],Ranking!C:D,2,FALSE)</f>
        <v>A10</v>
      </c>
      <c r="H770" s="1">
        <v>75</v>
      </c>
      <c r="I770" s="1">
        <v>13</v>
      </c>
      <c r="J770" t="s">
        <v>320</v>
      </c>
      <c r="K770" t="str">
        <f>VLOOKUP(Table1[[#This Row],[Loser]],Ranking!C:D,2,FALSE)</f>
        <v>WCC</v>
      </c>
      <c r="L770" s="1">
        <v>65</v>
      </c>
      <c r="N770" s="1">
        <f>Table1[[#This Row],[Winning Score]]-Table1[[#This Row],[Losing Score]]</f>
        <v>10</v>
      </c>
      <c r="O770" s="1">
        <f>Table1[[#This Row],[Losing Seed]]-Table1[[#This Row],[Winning Seed]]</f>
        <v>9</v>
      </c>
      <c r="P770" s="1" t="str">
        <f>IF(Table1[[#This Row],[SeD]]&lt;-2,Table1[[#This Row],[Winning Seed]]&amp; " over " &amp;Table1[[#This Row],[Losing Seed]],"")</f>
        <v/>
      </c>
      <c r="Q770">
        <f>VLOOKUP(Table1[[#This Row],[Losing Seed]],'Seed History'!$N$4:$O$19,2)</f>
        <v>0.25694444444444442</v>
      </c>
      <c r="R770" s="1">
        <f>IF(Table1[[#This Row],[Round]]="PI",0,Table1[[#This Row],[Round]]-1)</f>
        <v>0</v>
      </c>
      <c r="S770">
        <f>Table1[[#This Row],[LAW]]-Table1[[#This Row],[LEW]]</f>
        <v>-0.25694444444444442</v>
      </c>
    </row>
    <row r="771" spans="1:19" x14ac:dyDescent="0.25">
      <c r="A771" s="66">
        <v>35502</v>
      </c>
      <c r="B771" s="51">
        <f>YEAR(Table1[[#This Row],[Date]])</f>
        <v>1997</v>
      </c>
      <c r="C771" s="1">
        <v>1</v>
      </c>
      <c r="D771" t="s">
        <v>38</v>
      </c>
      <c r="E771" s="1">
        <v>5</v>
      </c>
      <c r="F771" t="s">
        <v>138</v>
      </c>
      <c r="G771" t="str">
        <f>VLOOKUP(Table1[[#This Row],[Winner]],Ranking!C:D,2,FALSE)</f>
        <v>ACC</v>
      </c>
      <c r="H771" s="1">
        <v>73</v>
      </c>
      <c r="I771" s="1">
        <v>12</v>
      </c>
      <c r="J771" t="s">
        <v>32</v>
      </c>
      <c r="K771" t="str">
        <f>VLOOKUP(Table1[[#This Row],[Loser]],Ranking!C:D,2,FALSE)</f>
        <v>MVC</v>
      </c>
      <c r="L771" s="1">
        <v>66</v>
      </c>
      <c r="N771" s="1">
        <f>Table1[[#This Row],[Winning Score]]-Table1[[#This Row],[Losing Score]]</f>
        <v>7</v>
      </c>
      <c r="O771" s="1">
        <f>Table1[[#This Row],[Losing Seed]]-Table1[[#This Row],[Winning Seed]]</f>
        <v>7</v>
      </c>
      <c r="P771" s="1" t="str">
        <f>IF(Table1[[#This Row],[SeD]]&lt;-2,Table1[[#This Row],[Winning Seed]]&amp; " over " &amp;Table1[[#This Row],[Losing Seed]],"")</f>
        <v/>
      </c>
      <c r="Q771">
        <f>VLOOKUP(Table1[[#This Row],[Losing Seed]],'Seed History'!$N$4:$O$19,2)</f>
        <v>0.52083333333333337</v>
      </c>
      <c r="R771" s="1">
        <f>IF(Table1[[#This Row],[Round]]="PI",0,Table1[[#This Row],[Round]]-1)</f>
        <v>0</v>
      </c>
      <c r="S771">
        <f>Table1[[#This Row],[LAW]]-Table1[[#This Row],[LEW]]</f>
        <v>-0.52083333333333337</v>
      </c>
    </row>
    <row r="772" spans="1:19" x14ac:dyDescent="0.25">
      <c r="A772" s="66">
        <v>35502</v>
      </c>
      <c r="B772" s="51">
        <f>YEAR(Table1[[#This Row],[Date]])</f>
        <v>1997</v>
      </c>
      <c r="C772" s="1">
        <v>1</v>
      </c>
      <c r="D772" t="s">
        <v>38</v>
      </c>
      <c r="E772" s="1">
        <v>8</v>
      </c>
      <c r="F772" t="s">
        <v>69</v>
      </c>
      <c r="G772" t="str">
        <f>VLOOKUP(Table1[[#This Row],[Winner]],Ranking!C:D,2,FALSE)</f>
        <v>B10</v>
      </c>
      <c r="H772" s="1">
        <v>73</v>
      </c>
      <c r="I772" s="1">
        <v>9</v>
      </c>
      <c r="J772" t="s">
        <v>61</v>
      </c>
      <c r="K772" t="str">
        <f>VLOOKUP(Table1[[#This Row],[Loser]],Ranking!C:D,2,FALSE)</f>
        <v>ACC</v>
      </c>
      <c r="L772" s="1">
        <v>60</v>
      </c>
      <c r="N772" s="1">
        <f>Table1[[#This Row],[Winning Score]]-Table1[[#This Row],[Losing Score]]</f>
        <v>13</v>
      </c>
      <c r="O772" s="1">
        <f>Table1[[#This Row],[Losing Seed]]-Table1[[#This Row],[Winning Seed]]</f>
        <v>1</v>
      </c>
      <c r="P772" s="1" t="str">
        <f>IF(Table1[[#This Row],[SeD]]&lt;-2,Table1[[#This Row],[Winning Seed]]&amp; " over " &amp;Table1[[#This Row],[Losing Seed]],"")</f>
        <v/>
      </c>
      <c r="Q772">
        <f>VLOOKUP(Table1[[#This Row],[Losing Seed]],'Seed History'!$N$4:$O$19,2)</f>
        <v>0.59027777777777779</v>
      </c>
      <c r="R772" s="1">
        <f>IF(Table1[[#This Row],[Round]]="PI",0,Table1[[#This Row],[Round]]-1)</f>
        <v>0</v>
      </c>
      <c r="S772">
        <f>Table1[[#This Row],[LAW]]-Table1[[#This Row],[LEW]]</f>
        <v>-0.59027777777777779</v>
      </c>
    </row>
    <row r="773" spans="1:19" x14ac:dyDescent="0.25">
      <c r="A773" s="66">
        <v>35502</v>
      </c>
      <c r="B773" s="51">
        <f>YEAR(Table1[[#This Row],[Date]])</f>
        <v>1997</v>
      </c>
      <c r="C773" s="1">
        <v>1</v>
      </c>
      <c r="D773" t="s">
        <v>49</v>
      </c>
      <c r="E773" s="1">
        <v>9</v>
      </c>
      <c r="F773" t="s">
        <v>95</v>
      </c>
      <c r="G773" t="str">
        <f>VLOOKUP(Table1[[#This Row],[Winner]],Ranking!C:D,2,FALSE)</f>
        <v>P12</v>
      </c>
      <c r="H773" s="1">
        <v>80</v>
      </c>
      <c r="I773" s="1">
        <v>8</v>
      </c>
      <c r="J773" t="s">
        <v>36</v>
      </c>
      <c r="K773" t="str">
        <f>VLOOKUP(Table1[[#This Row],[Loser]],Ranking!C:D,2,FALSE)</f>
        <v>B10</v>
      </c>
      <c r="L773" s="1">
        <v>62</v>
      </c>
      <c r="N773" s="1">
        <f>Table1[[#This Row],[Winning Score]]-Table1[[#This Row],[Losing Score]]</f>
        <v>18</v>
      </c>
      <c r="O773" s="1">
        <f>Table1[[#This Row],[Losing Seed]]-Table1[[#This Row],[Winning Seed]]</f>
        <v>-1</v>
      </c>
      <c r="P773" s="1" t="str">
        <f>IF(Table1[[#This Row],[SeD]]&lt;-2,Table1[[#This Row],[Winning Seed]]&amp; " over " &amp;Table1[[#This Row],[Losing Seed]],"")</f>
        <v/>
      </c>
      <c r="Q773">
        <f>VLOOKUP(Table1[[#This Row],[Losing Seed]],'Seed History'!$N$4:$O$19,2)</f>
        <v>0.70833333333333337</v>
      </c>
      <c r="R773" s="1">
        <f>IF(Table1[[#This Row],[Round]]="PI",0,Table1[[#This Row],[Round]]-1)</f>
        <v>0</v>
      </c>
      <c r="S773">
        <f>Table1[[#This Row],[LAW]]-Table1[[#This Row],[LEW]]</f>
        <v>-0.70833333333333337</v>
      </c>
    </row>
    <row r="774" spans="1:19" x14ac:dyDescent="0.25">
      <c r="A774" s="66">
        <v>35503</v>
      </c>
      <c r="B774" s="51">
        <f>YEAR(Table1[[#This Row],[Date]])</f>
        <v>1997</v>
      </c>
      <c r="C774" s="1">
        <v>1</v>
      </c>
      <c r="D774" t="s">
        <v>49</v>
      </c>
      <c r="E774" s="1">
        <v>15</v>
      </c>
      <c r="F774" t="s">
        <v>178</v>
      </c>
      <c r="G774" t="str">
        <f>VLOOKUP(Table1[[#This Row],[Winner]],Ranking!C:D,2,FALSE)</f>
        <v>MEAC</v>
      </c>
      <c r="H774" s="1">
        <v>78</v>
      </c>
      <c r="I774" s="1">
        <v>2</v>
      </c>
      <c r="J774" t="s">
        <v>354</v>
      </c>
      <c r="K774" t="str">
        <f>VLOOKUP(Table1[[#This Row],[Loser]],Ranking!C:D,2,FALSE)</f>
        <v>SEC</v>
      </c>
      <c r="L774" s="1">
        <v>65</v>
      </c>
      <c r="N774" s="1">
        <f>Table1[[#This Row],[Winning Score]]-Table1[[#This Row],[Losing Score]]</f>
        <v>13</v>
      </c>
      <c r="O774" s="1">
        <f>Table1[[#This Row],[Losing Seed]]-Table1[[#This Row],[Winning Seed]]</f>
        <v>-13</v>
      </c>
      <c r="P774" s="1" t="str">
        <f>IF(Table1[[#This Row],[SeD]]&lt;-2,Table1[[#This Row],[Winning Seed]]&amp; " over " &amp;Table1[[#This Row],[Losing Seed]],"")</f>
        <v>15 over 2</v>
      </c>
      <c r="Q774">
        <f>VLOOKUP(Table1[[#This Row],[Losing Seed]],'Seed History'!$N$4:$O$19,2)</f>
        <v>2.3472222222222223</v>
      </c>
      <c r="R774" s="1">
        <f>IF(Table1[[#This Row],[Round]]="PI",0,Table1[[#This Row],[Round]]-1)</f>
        <v>0</v>
      </c>
      <c r="S774">
        <f>Table1[[#This Row],[LAW]]-Table1[[#This Row],[LEW]]</f>
        <v>-2.3472222222222223</v>
      </c>
    </row>
    <row r="775" spans="1:19" x14ac:dyDescent="0.25">
      <c r="A775" s="66">
        <v>35503</v>
      </c>
      <c r="B775" s="51">
        <f>YEAR(Table1[[#This Row],[Date]])</f>
        <v>1997</v>
      </c>
      <c r="C775" s="1">
        <v>1</v>
      </c>
      <c r="D775" t="s">
        <v>461</v>
      </c>
      <c r="E775" s="1">
        <v>14</v>
      </c>
      <c r="F775" t="s">
        <v>167</v>
      </c>
      <c r="G775" t="str">
        <f>VLOOKUP(Table1[[#This Row],[Winner]],Ranking!C:D,2,FALSE)</f>
        <v>SC</v>
      </c>
      <c r="H775" s="1">
        <v>73</v>
      </c>
      <c r="I775" s="1">
        <v>3</v>
      </c>
      <c r="J775" t="s">
        <v>60</v>
      </c>
      <c r="K775" t="str">
        <f>VLOOKUP(Table1[[#This Row],[Loser]],Ranking!C:D,2,FALSE)</f>
        <v>SEC</v>
      </c>
      <c r="L775" s="1">
        <v>70</v>
      </c>
      <c r="N775" s="1">
        <f>Table1[[#This Row],[Winning Score]]-Table1[[#This Row],[Losing Score]]</f>
        <v>3</v>
      </c>
      <c r="O775" s="1">
        <f>Table1[[#This Row],[Losing Seed]]-Table1[[#This Row],[Winning Seed]]</f>
        <v>-11</v>
      </c>
      <c r="P775" s="1" t="str">
        <f>IF(Table1[[#This Row],[SeD]]&lt;-2,Table1[[#This Row],[Winning Seed]]&amp; " over " &amp;Table1[[#This Row],[Losing Seed]],"")</f>
        <v>14 over 3</v>
      </c>
      <c r="Q775">
        <f>VLOOKUP(Table1[[#This Row],[Losing Seed]],'Seed History'!$N$4:$O$19,2)</f>
        <v>1.8472222222222223</v>
      </c>
      <c r="R775" s="1">
        <f>IF(Table1[[#This Row],[Round]]="PI",0,Table1[[#This Row],[Round]]-1)</f>
        <v>0</v>
      </c>
      <c r="S775">
        <f>Table1[[#This Row],[LAW]]-Table1[[#This Row],[LEW]]</f>
        <v>-1.8472222222222223</v>
      </c>
    </row>
    <row r="776" spans="1:19" x14ac:dyDescent="0.25">
      <c r="A776" s="66">
        <v>35503</v>
      </c>
      <c r="B776" s="51">
        <f>YEAR(Table1[[#This Row],[Date]])</f>
        <v>1997</v>
      </c>
      <c r="C776" s="1">
        <v>1</v>
      </c>
      <c r="D776" t="s">
        <v>49</v>
      </c>
      <c r="E776" s="1">
        <v>3</v>
      </c>
      <c r="F776" t="s">
        <v>291</v>
      </c>
      <c r="G776" t="str">
        <f>VLOOKUP(Table1[[#This Row],[Winner]],Ranking!C:D,2,FALSE)</f>
        <v>MWC</v>
      </c>
      <c r="H776" s="1">
        <v>59</v>
      </c>
      <c r="I776" s="1">
        <v>14</v>
      </c>
      <c r="J776" t="s">
        <v>317</v>
      </c>
      <c r="K776" t="str">
        <f>VLOOKUP(Table1[[#This Row],[Loser]],Ranking!C:D,2,FALSE)</f>
        <v>CUSA</v>
      </c>
      <c r="L776" s="1">
        <v>55</v>
      </c>
      <c r="N776" s="1">
        <f>Table1[[#This Row],[Winning Score]]-Table1[[#This Row],[Losing Score]]</f>
        <v>4</v>
      </c>
      <c r="O776" s="1">
        <f>Table1[[#This Row],[Losing Seed]]-Table1[[#This Row],[Winning Seed]]</f>
        <v>11</v>
      </c>
      <c r="P776" s="1" t="str">
        <f>IF(Table1[[#This Row],[SeD]]&lt;-2,Table1[[#This Row],[Winning Seed]]&amp; " over " &amp;Table1[[#This Row],[Losing Seed]],"")</f>
        <v/>
      </c>
      <c r="Q776">
        <f>VLOOKUP(Table1[[#This Row],[Losing Seed]],'Seed History'!$N$4:$O$19,2)</f>
        <v>0.16666666666666666</v>
      </c>
      <c r="R776" s="1">
        <f>IF(Table1[[#This Row],[Round]]="PI",0,Table1[[#This Row],[Round]]-1)</f>
        <v>0</v>
      </c>
      <c r="S776">
        <f>Table1[[#This Row],[LAW]]-Table1[[#This Row],[LEW]]</f>
        <v>-0.16666666666666666</v>
      </c>
    </row>
    <row r="777" spans="1:19" x14ac:dyDescent="0.25">
      <c r="A777" s="66">
        <v>35503</v>
      </c>
      <c r="B777" s="51">
        <f>YEAR(Table1[[#This Row],[Date]])</f>
        <v>1997</v>
      </c>
      <c r="C777" s="1">
        <v>1</v>
      </c>
      <c r="D777" t="s">
        <v>49</v>
      </c>
      <c r="E777" s="1">
        <v>6</v>
      </c>
      <c r="F777" t="s">
        <v>54</v>
      </c>
      <c r="G777" t="str">
        <f>VLOOKUP(Table1[[#This Row],[Winner]],Ranking!C:D,2,FALSE)</f>
        <v>ACC</v>
      </c>
      <c r="H777" s="1">
        <v>65</v>
      </c>
      <c r="I777" s="1">
        <v>11</v>
      </c>
      <c r="J777" t="s">
        <v>265</v>
      </c>
      <c r="K777" t="str">
        <f>VLOOKUP(Table1[[#This Row],[Loser]],Ranking!C:D,2,FALSE)</f>
        <v>A10</v>
      </c>
      <c r="L777" s="1">
        <v>57</v>
      </c>
      <c r="N777" s="1">
        <f>Table1[[#This Row],[Winning Score]]-Table1[[#This Row],[Losing Score]]</f>
        <v>8</v>
      </c>
      <c r="O777" s="1">
        <f>Table1[[#This Row],[Losing Seed]]-Table1[[#This Row],[Winning Seed]]</f>
        <v>5</v>
      </c>
      <c r="P777" s="1" t="str">
        <f>IF(Table1[[#This Row],[SeD]]&lt;-2,Table1[[#This Row],[Winning Seed]]&amp; " over " &amp;Table1[[#This Row],[Losing Seed]],"")</f>
        <v/>
      </c>
      <c r="Q777">
        <f>VLOOKUP(Table1[[#This Row],[Losing Seed]],'Seed History'!$N$4:$O$19,2)</f>
        <v>0.63194444444444442</v>
      </c>
      <c r="R777" s="1">
        <f>IF(Table1[[#This Row],[Round]]="PI",0,Table1[[#This Row],[Round]]-1)</f>
        <v>0</v>
      </c>
      <c r="S777">
        <f>Table1[[#This Row],[LAW]]-Table1[[#This Row],[LEW]]</f>
        <v>-0.63194444444444442</v>
      </c>
    </row>
    <row r="778" spans="1:19" x14ac:dyDescent="0.25">
      <c r="A778" s="66">
        <v>35503</v>
      </c>
      <c r="B778" s="51">
        <f>YEAR(Table1[[#This Row],[Date]])</f>
        <v>1997</v>
      </c>
      <c r="C778" s="1">
        <v>1</v>
      </c>
      <c r="D778" t="s">
        <v>439</v>
      </c>
      <c r="E778" s="1">
        <v>1</v>
      </c>
      <c r="F778" t="s">
        <v>274</v>
      </c>
      <c r="G778" t="str">
        <f>VLOOKUP(Table1[[#This Row],[Winner]],Ranking!C:D,2,FALSE)</f>
        <v>B10</v>
      </c>
      <c r="H778" s="1">
        <v>78</v>
      </c>
      <c r="I778" s="1">
        <v>16</v>
      </c>
      <c r="J778" t="s">
        <v>380</v>
      </c>
      <c r="K778" t="str">
        <f>VLOOKUP(Table1[[#This Row],[Loser]],Ranking!C:D,2,FALSE)</f>
        <v>SB</v>
      </c>
      <c r="L778" s="1">
        <v>46</v>
      </c>
      <c r="N778" s="1">
        <f>Table1[[#This Row],[Winning Score]]-Table1[[#This Row],[Losing Score]]</f>
        <v>32</v>
      </c>
      <c r="O778" s="1">
        <f>Table1[[#This Row],[Losing Seed]]-Table1[[#This Row],[Winning Seed]]</f>
        <v>15</v>
      </c>
      <c r="P778" s="1" t="str">
        <f>IF(Table1[[#This Row],[SeD]]&lt;-2,Table1[[#This Row],[Winning Seed]]&amp; " over " &amp;Table1[[#This Row],[Losing Seed]],"")</f>
        <v/>
      </c>
      <c r="Q778">
        <f>VLOOKUP(Table1[[#This Row],[Losing Seed]],'Seed History'!$N$4:$O$19,2)</f>
        <v>6.9444444444444441E-3</v>
      </c>
      <c r="R778" s="1">
        <f>IF(Table1[[#This Row],[Round]]="PI",0,Table1[[#This Row],[Round]]-1)</f>
        <v>0</v>
      </c>
      <c r="S778">
        <f>Table1[[#This Row],[LAW]]-Table1[[#This Row],[LEW]]</f>
        <v>-6.9444444444444441E-3</v>
      </c>
    </row>
    <row r="779" spans="1:19" x14ac:dyDescent="0.25">
      <c r="A779" s="66">
        <v>35503</v>
      </c>
      <c r="B779" s="51">
        <f>YEAR(Table1[[#This Row],[Date]])</f>
        <v>1997</v>
      </c>
      <c r="C779" s="1">
        <v>1</v>
      </c>
      <c r="D779" t="s">
        <v>439</v>
      </c>
      <c r="E779" s="1">
        <v>4</v>
      </c>
      <c r="F779" t="s">
        <v>89</v>
      </c>
      <c r="G779" t="str">
        <f>VLOOKUP(Table1[[#This Row],[Winner]],Ranking!C:D,2,FALSE)</f>
        <v>ACC</v>
      </c>
      <c r="H779" s="1">
        <v>68</v>
      </c>
      <c r="I779" s="1">
        <v>13</v>
      </c>
      <c r="J779" t="s">
        <v>270</v>
      </c>
      <c r="K779" t="str">
        <f>VLOOKUP(Table1[[#This Row],[Loser]],Ranking!C:D,2,FALSE)</f>
        <v>MAC</v>
      </c>
      <c r="L779" s="1">
        <v>56</v>
      </c>
      <c r="N779" s="1">
        <f>Table1[[#This Row],[Winning Score]]-Table1[[#This Row],[Losing Score]]</f>
        <v>12</v>
      </c>
      <c r="O779" s="1">
        <f>Table1[[#This Row],[Losing Seed]]-Table1[[#This Row],[Winning Seed]]</f>
        <v>9</v>
      </c>
      <c r="P779" s="1" t="str">
        <f>IF(Table1[[#This Row],[SeD]]&lt;-2,Table1[[#This Row],[Winning Seed]]&amp; " over " &amp;Table1[[#This Row],[Losing Seed]],"")</f>
        <v/>
      </c>
      <c r="Q779">
        <f>VLOOKUP(Table1[[#This Row],[Losing Seed]],'Seed History'!$N$4:$O$19,2)</f>
        <v>0.25694444444444442</v>
      </c>
      <c r="R779" s="1">
        <f>IF(Table1[[#This Row],[Round]]="PI",0,Table1[[#This Row],[Round]]-1)</f>
        <v>0</v>
      </c>
      <c r="S779">
        <f>Table1[[#This Row],[LAW]]-Table1[[#This Row],[LEW]]</f>
        <v>-0.25694444444444442</v>
      </c>
    </row>
    <row r="780" spans="1:19" x14ac:dyDescent="0.25">
      <c r="A780" s="66">
        <v>35503</v>
      </c>
      <c r="B780" s="51">
        <f>YEAR(Table1[[#This Row],[Date]])</f>
        <v>1997</v>
      </c>
      <c r="C780" s="1">
        <v>1</v>
      </c>
      <c r="D780" t="s">
        <v>439</v>
      </c>
      <c r="E780" s="1">
        <v>5</v>
      </c>
      <c r="F780" t="s">
        <v>94</v>
      </c>
      <c r="G780" t="str">
        <f>VLOOKUP(Table1[[#This Row],[Winner]],Ranking!C:D,2,FALSE)</f>
        <v>Amer</v>
      </c>
      <c r="H780" s="1">
        <v>81</v>
      </c>
      <c r="I780" s="1">
        <v>12</v>
      </c>
      <c r="J780" t="s">
        <v>140</v>
      </c>
      <c r="K780" t="str">
        <f>VLOOKUP(Table1[[#This Row],[Loser]],Ranking!C:D,2,FALSE)</f>
        <v>Pat</v>
      </c>
      <c r="L780" s="1">
        <v>52</v>
      </c>
      <c r="N780" s="1">
        <f>Table1[[#This Row],[Winning Score]]-Table1[[#This Row],[Losing Score]]</f>
        <v>29</v>
      </c>
      <c r="O780" s="1">
        <f>Table1[[#This Row],[Losing Seed]]-Table1[[#This Row],[Winning Seed]]</f>
        <v>7</v>
      </c>
      <c r="P780" s="1" t="str">
        <f>IF(Table1[[#This Row],[SeD]]&lt;-2,Table1[[#This Row],[Winning Seed]]&amp; " over " &amp;Table1[[#This Row],[Losing Seed]],"")</f>
        <v/>
      </c>
      <c r="Q780">
        <f>VLOOKUP(Table1[[#This Row],[Losing Seed]],'Seed History'!$N$4:$O$19,2)</f>
        <v>0.52083333333333337</v>
      </c>
      <c r="R780" s="1">
        <f>IF(Table1[[#This Row],[Round]]="PI",0,Table1[[#This Row],[Round]]-1)</f>
        <v>0</v>
      </c>
      <c r="S780">
        <f>Table1[[#This Row],[LAW]]-Table1[[#This Row],[LEW]]</f>
        <v>-0.52083333333333337</v>
      </c>
    </row>
    <row r="781" spans="1:19" x14ac:dyDescent="0.25">
      <c r="A781" s="66">
        <v>35503</v>
      </c>
      <c r="B781" s="51">
        <f>YEAR(Table1[[#This Row],[Date]])</f>
        <v>1997</v>
      </c>
      <c r="C781" s="1">
        <v>1</v>
      </c>
      <c r="D781" t="s">
        <v>461</v>
      </c>
      <c r="E781" s="1">
        <v>2</v>
      </c>
      <c r="F781" t="s">
        <v>64</v>
      </c>
      <c r="G781" t="str">
        <f>VLOOKUP(Table1[[#This Row],[Winner]],Ranking!C:D,2,FALSE)</f>
        <v>ACC</v>
      </c>
      <c r="H781" s="1">
        <v>81</v>
      </c>
      <c r="I781" s="1">
        <v>15</v>
      </c>
      <c r="J781" t="s">
        <v>285</v>
      </c>
      <c r="K781" t="str">
        <f>VLOOKUP(Table1[[#This Row],[Loser]],Ranking!C:D,2,FALSE)</f>
        <v>OVC</v>
      </c>
      <c r="L781" s="1">
        <v>78</v>
      </c>
      <c r="N781" s="1">
        <f>Table1[[#This Row],[Winning Score]]-Table1[[#This Row],[Losing Score]]</f>
        <v>3</v>
      </c>
      <c r="O781" s="1">
        <f>Table1[[#This Row],[Losing Seed]]-Table1[[#This Row],[Winning Seed]]</f>
        <v>13</v>
      </c>
      <c r="P781" s="1" t="str">
        <f>IF(Table1[[#This Row],[SeD]]&lt;-2,Table1[[#This Row],[Winning Seed]]&amp; " over " &amp;Table1[[#This Row],[Losing Seed]],"")</f>
        <v/>
      </c>
      <c r="Q781">
        <f>VLOOKUP(Table1[[#This Row],[Losing Seed]],'Seed History'!$N$4:$O$19,2)</f>
        <v>7.6388888888888895E-2</v>
      </c>
      <c r="R781" s="1">
        <f>IF(Table1[[#This Row],[Round]]="PI",0,Table1[[#This Row],[Round]]-1)</f>
        <v>0</v>
      </c>
      <c r="S781">
        <f>Table1[[#This Row],[LAW]]-Table1[[#This Row],[LEW]]</f>
        <v>-7.6388888888888895E-2</v>
      </c>
    </row>
    <row r="782" spans="1:19" x14ac:dyDescent="0.25">
      <c r="A782" s="66">
        <v>35503</v>
      </c>
      <c r="B782" s="51">
        <f>YEAR(Table1[[#This Row],[Date]])</f>
        <v>1997</v>
      </c>
      <c r="C782" s="1">
        <v>1</v>
      </c>
      <c r="D782" t="s">
        <v>461</v>
      </c>
      <c r="E782" s="1">
        <v>6</v>
      </c>
      <c r="F782" t="s">
        <v>230</v>
      </c>
      <c r="G782" t="str">
        <f>VLOOKUP(Table1[[#This Row],[Winner]],Ranking!C:D,2,FALSE)</f>
        <v>B10</v>
      </c>
      <c r="H782" s="1">
        <v>90</v>
      </c>
      <c r="I782" s="1">
        <v>11</v>
      </c>
      <c r="J782" t="s">
        <v>85</v>
      </c>
      <c r="K782" t="str">
        <f>VLOOKUP(Table1[[#This Row],[Loser]],Ranking!C:D,2,FALSE)</f>
        <v>P12</v>
      </c>
      <c r="L782" s="1">
        <v>77</v>
      </c>
      <c r="N782" s="1">
        <f>Table1[[#This Row],[Winning Score]]-Table1[[#This Row],[Losing Score]]</f>
        <v>13</v>
      </c>
      <c r="O782" s="1">
        <f>Table1[[#This Row],[Losing Seed]]-Table1[[#This Row],[Winning Seed]]</f>
        <v>5</v>
      </c>
      <c r="P782" s="1" t="str">
        <f>IF(Table1[[#This Row],[SeD]]&lt;-2,Table1[[#This Row],[Winning Seed]]&amp; " over " &amp;Table1[[#This Row],[Losing Seed]],"")</f>
        <v/>
      </c>
      <c r="Q782">
        <f>VLOOKUP(Table1[[#This Row],[Losing Seed]],'Seed History'!$N$4:$O$19,2)</f>
        <v>0.63194444444444442</v>
      </c>
      <c r="R782" s="1">
        <f>IF(Table1[[#This Row],[Round]]="PI",0,Table1[[#This Row],[Round]]-1)</f>
        <v>0</v>
      </c>
      <c r="S782">
        <f>Table1[[#This Row],[LAW]]-Table1[[#This Row],[LEW]]</f>
        <v>-0.63194444444444442</v>
      </c>
    </row>
    <row r="783" spans="1:19" x14ac:dyDescent="0.25">
      <c r="A783" s="66">
        <v>35503</v>
      </c>
      <c r="B783" s="51">
        <f>YEAR(Table1[[#This Row],[Date]])</f>
        <v>1997</v>
      </c>
      <c r="C783" s="1">
        <v>1</v>
      </c>
      <c r="D783" t="s">
        <v>38</v>
      </c>
      <c r="E783" s="1">
        <v>2</v>
      </c>
      <c r="F783" t="s">
        <v>65</v>
      </c>
      <c r="G783" t="str">
        <f>VLOOKUP(Table1[[#This Row],[Winner]],Ranking!C:D,2,FALSE)</f>
        <v>P12</v>
      </c>
      <c r="H783" s="1">
        <v>75</v>
      </c>
      <c r="I783" s="1">
        <v>15</v>
      </c>
      <c r="J783" t="s">
        <v>286</v>
      </c>
      <c r="K783" t="str">
        <f>VLOOKUP(Table1[[#This Row],[Loser]],Ranking!C:D,2,FALSE)</f>
        <v>Pat</v>
      </c>
      <c r="L783" s="1">
        <v>61</v>
      </c>
      <c r="N783" s="1">
        <f>Table1[[#This Row],[Winning Score]]-Table1[[#This Row],[Losing Score]]</f>
        <v>14</v>
      </c>
      <c r="O783" s="1">
        <f>Table1[[#This Row],[Losing Seed]]-Table1[[#This Row],[Winning Seed]]</f>
        <v>13</v>
      </c>
      <c r="P783" s="1" t="str">
        <f>IF(Table1[[#This Row],[SeD]]&lt;-2,Table1[[#This Row],[Winning Seed]]&amp; " over " &amp;Table1[[#This Row],[Losing Seed]],"")</f>
        <v/>
      </c>
      <c r="Q783">
        <f>VLOOKUP(Table1[[#This Row],[Losing Seed]],'Seed History'!$N$4:$O$19,2)</f>
        <v>7.6388888888888895E-2</v>
      </c>
      <c r="R783" s="1">
        <f>IF(Table1[[#This Row],[Round]]="PI",0,Table1[[#This Row],[Round]]-1)</f>
        <v>0</v>
      </c>
      <c r="S783">
        <f>Table1[[#This Row],[LAW]]-Table1[[#This Row],[LEW]]</f>
        <v>-7.6388888888888895E-2</v>
      </c>
    </row>
    <row r="784" spans="1:19" x14ac:dyDescent="0.25">
      <c r="A784" s="66">
        <v>35503</v>
      </c>
      <c r="B784" s="51">
        <f>YEAR(Table1[[#This Row],[Date]])</f>
        <v>1997</v>
      </c>
      <c r="C784" s="1">
        <v>1</v>
      </c>
      <c r="D784" t="s">
        <v>38</v>
      </c>
      <c r="E784" s="1">
        <v>3</v>
      </c>
      <c r="F784" t="s">
        <v>408</v>
      </c>
      <c r="G784" t="str">
        <f>VLOOKUP(Table1[[#This Row],[Winner]],Ranking!C:D,2,FALSE)</f>
        <v>ACC</v>
      </c>
      <c r="H784" s="1">
        <v>68</v>
      </c>
      <c r="I784" s="1">
        <v>14</v>
      </c>
      <c r="J784" t="s">
        <v>339</v>
      </c>
      <c r="K784" t="str">
        <f>VLOOKUP(Table1[[#This Row],[Loser]],Ranking!C:D,2,FALSE)</f>
        <v>WCC</v>
      </c>
      <c r="L784" s="1">
        <v>46</v>
      </c>
      <c r="N784" s="1">
        <f>Table1[[#This Row],[Winning Score]]-Table1[[#This Row],[Losing Score]]</f>
        <v>22</v>
      </c>
      <c r="O784" s="1">
        <f>Table1[[#This Row],[Losing Seed]]-Table1[[#This Row],[Winning Seed]]</f>
        <v>11</v>
      </c>
      <c r="P784" s="1" t="str">
        <f>IF(Table1[[#This Row],[SeD]]&lt;-2,Table1[[#This Row],[Winning Seed]]&amp; " over " &amp;Table1[[#This Row],[Losing Seed]],"")</f>
        <v/>
      </c>
      <c r="Q784">
        <f>VLOOKUP(Table1[[#This Row],[Losing Seed]],'Seed History'!$N$4:$O$19,2)</f>
        <v>0.16666666666666666</v>
      </c>
      <c r="R784" s="1">
        <f>IF(Table1[[#This Row],[Round]]="PI",0,Table1[[#This Row],[Round]]-1)</f>
        <v>0</v>
      </c>
      <c r="S784">
        <f>Table1[[#This Row],[LAW]]-Table1[[#This Row],[LEW]]</f>
        <v>-0.16666666666666666</v>
      </c>
    </row>
    <row r="785" spans="1:19" x14ac:dyDescent="0.25">
      <c r="A785" s="66">
        <v>35503</v>
      </c>
      <c r="B785" s="51">
        <f>YEAR(Table1[[#This Row],[Date]])</f>
        <v>1997</v>
      </c>
      <c r="C785" s="1">
        <v>1</v>
      </c>
      <c r="D785" t="s">
        <v>38</v>
      </c>
      <c r="E785" s="1">
        <v>6</v>
      </c>
      <c r="F785" t="s">
        <v>369</v>
      </c>
      <c r="G785" t="str">
        <f>VLOOKUP(Table1[[#This Row],[Winner]],Ranking!C:D,2,FALSE)</f>
        <v>P12</v>
      </c>
      <c r="H785" s="1">
        <v>80</v>
      </c>
      <c r="I785" s="1">
        <v>11</v>
      </c>
      <c r="J785" t="s">
        <v>58</v>
      </c>
      <c r="K785" t="str">
        <f>VLOOKUP(Table1[[#This Row],[Loser]],Ranking!C:D,2,FALSE)</f>
        <v>B12</v>
      </c>
      <c r="L785" s="1">
        <v>67</v>
      </c>
      <c r="N785" s="1">
        <f>Table1[[#This Row],[Winning Score]]-Table1[[#This Row],[Losing Score]]</f>
        <v>13</v>
      </c>
      <c r="O785" s="1">
        <f>Table1[[#This Row],[Losing Seed]]-Table1[[#This Row],[Winning Seed]]</f>
        <v>5</v>
      </c>
      <c r="P785" s="1" t="str">
        <f>IF(Table1[[#This Row],[SeD]]&lt;-2,Table1[[#This Row],[Winning Seed]]&amp; " over " &amp;Table1[[#This Row],[Losing Seed]],"")</f>
        <v/>
      </c>
      <c r="Q785">
        <f>VLOOKUP(Table1[[#This Row],[Losing Seed]],'Seed History'!$N$4:$O$19,2)</f>
        <v>0.63194444444444442</v>
      </c>
      <c r="R785" s="1">
        <f>IF(Table1[[#This Row],[Round]]="PI",0,Table1[[#This Row],[Round]]-1)</f>
        <v>0</v>
      </c>
      <c r="S785">
        <f>Table1[[#This Row],[LAW]]-Table1[[#This Row],[LEW]]</f>
        <v>-0.63194444444444442</v>
      </c>
    </row>
    <row r="786" spans="1:19" x14ac:dyDescent="0.25">
      <c r="A786" s="66">
        <v>35503</v>
      </c>
      <c r="B786" s="51">
        <f>YEAR(Table1[[#This Row],[Date]])</f>
        <v>1997</v>
      </c>
      <c r="C786" s="1">
        <v>1</v>
      </c>
      <c r="D786" t="s">
        <v>38</v>
      </c>
      <c r="E786" s="1">
        <v>7</v>
      </c>
      <c r="F786" t="s">
        <v>165</v>
      </c>
      <c r="G786" t="str">
        <f>VLOOKUP(Table1[[#This Row],[Winner]],Ranking!C:D,2,FALSE)</f>
        <v>CUSA</v>
      </c>
      <c r="H786" s="1">
        <v>79</v>
      </c>
      <c r="I786" s="1">
        <v>10</v>
      </c>
      <c r="J786" t="s">
        <v>66</v>
      </c>
      <c r="K786" t="str">
        <f>VLOOKUP(Table1[[#This Row],[Loser]],Ranking!C:D,2,FALSE)</f>
        <v>BE</v>
      </c>
      <c r="L786" s="1">
        <v>67</v>
      </c>
      <c r="N786" s="1">
        <f>Table1[[#This Row],[Winning Score]]-Table1[[#This Row],[Losing Score]]</f>
        <v>12</v>
      </c>
      <c r="O786" s="1">
        <f>Table1[[#This Row],[Losing Seed]]-Table1[[#This Row],[Winning Seed]]</f>
        <v>3</v>
      </c>
      <c r="P786" s="1" t="str">
        <f>IF(Table1[[#This Row],[SeD]]&lt;-2,Table1[[#This Row],[Winning Seed]]&amp; " over " &amp;Table1[[#This Row],[Losing Seed]],"")</f>
        <v/>
      </c>
      <c r="Q786">
        <f>VLOOKUP(Table1[[#This Row],[Losing Seed]],'Seed History'!$N$4:$O$19,2)</f>
        <v>0.61805555555555558</v>
      </c>
      <c r="R786" s="1">
        <f>IF(Table1[[#This Row],[Round]]="PI",0,Table1[[#This Row],[Round]]-1)</f>
        <v>0</v>
      </c>
      <c r="S786">
        <f>Table1[[#This Row],[LAW]]-Table1[[#This Row],[LEW]]</f>
        <v>-0.61805555555555558</v>
      </c>
    </row>
    <row r="787" spans="1:19" x14ac:dyDescent="0.25">
      <c r="A787" s="66">
        <v>35503</v>
      </c>
      <c r="B787" s="51">
        <f>YEAR(Table1[[#This Row],[Date]])</f>
        <v>1997</v>
      </c>
      <c r="C787" s="1">
        <v>1</v>
      </c>
      <c r="D787" t="s">
        <v>49</v>
      </c>
      <c r="E787" s="1">
        <v>10</v>
      </c>
      <c r="F787" t="s">
        <v>34</v>
      </c>
      <c r="G787" t="str">
        <f>VLOOKUP(Table1[[#This Row],[Winner]],Ranking!C:D,2,FALSE)</f>
        <v>B12</v>
      </c>
      <c r="H787" s="1">
        <v>71</v>
      </c>
      <c r="I787" s="1">
        <v>7</v>
      </c>
      <c r="J787" t="s">
        <v>39</v>
      </c>
      <c r="K787" t="str">
        <f>VLOOKUP(Table1[[#This Row],[Loser]],Ranking!C:D,2,FALSE)</f>
        <v>B10</v>
      </c>
      <c r="L787" s="1">
        <v>58</v>
      </c>
      <c r="N787" s="1">
        <f>Table1[[#This Row],[Winning Score]]-Table1[[#This Row],[Losing Score]]</f>
        <v>13</v>
      </c>
      <c r="O787" s="1">
        <f>Table1[[#This Row],[Losing Seed]]-Table1[[#This Row],[Winning Seed]]</f>
        <v>-3</v>
      </c>
      <c r="P787" s="1" t="str">
        <f>IF(Table1[[#This Row],[SeD]]&lt;-2,Table1[[#This Row],[Winning Seed]]&amp; " over " &amp;Table1[[#This Row],[Losing Seed]],"")</f>
        <v>10 over 7</v>
      </c>
      <c r="Q787">
        <f>VLOOKUP(Table1[[#This Row],[Losing Seed]],'Seed History'!$N$4:$O$19,2)</f>
        <v>0.90277777777777779</v>
      </c>
      <c r="R787" s="1">
        <f>IF(Table1[[#This Row],[Round]]="PI",0,Table1[[#This Row],[Round]]-1)</f>
        <v>0</v>
      </c>
      <c r="S787">
        <f>Table1[[#This Row],[LAW]]-Table1[[#This Row],[LEW]]</f>
        <v>-0.90277777777777779</v>
      </c>
    </row>
    <row r="788" spans="1:19" x14ac:dyDescent="0.25">
      <c r="A788" s="66">
        <v>35503</v>
      </c>
      <c r="B788" s="51">
        <f>YEAR(Table1[[#This Row],[Date]])</f>
        <v>1997</v>
      </c>
      <c r="C788" s="1">
        <v>1</v>
      </c>
      <c r="D788" t="s">
        <v>461</v>
      </c>
      <c r="E788" s="1">
        <v>10</v>
      </c>
      <c r="F788" t="s">
        <v>56</v>
      </c>
      <c r="G788" t="str">
        <f>VLOOKUP(Table1[[#This Row],[Winner]],Ranking!C:D,2,FALSE)</f>
        <v>BE</v>
      </c>
      <c r="H788" s="1">
        <v>81</v>
      </c>
      <c r="I788" s="1">
        <v>7</v>
      </c>
      <c r="J788" t="s">
        <v>262</v>
      </c>
      <c r="K788" t="str">
        <f>VLOOKUP(Table1[[#This Row],[Loser]],Ranking!C:D,2,FALSE)</f>
        <v>BE</v>
      </c>
      <c r="L788" s="1">
        <v>59</v>
      </c>
      <c r="N788" s="1">
        <f>Table1[[#This Row],[Winning Score]]-Table1[[#This Row],[Losing Score]]</f>
        <v>22</v>
      </c>
      <c r="O788" s="1">
        <f>Table1[[#This Row],[Losing Seed]]-Table1[[#This Row],[Winning Seed]]</f>
        <v>-3</v>
      </c>
      <c r="P788" s="1" t="str">
        <f>IF(Table1[[#This Row],[SeD]]&lt;-2,Table1[[#This Row],[Winning Seed]]&amp; " over " &amp;Table1[[#This Row],[Losing Seed]],"")</f>
        <v>10 over 7</v>
      </c>
      <c r="Q788">
        <f>VLOOKUP(Table1[[#This Row],[Losing Seed]],'Seed History'!$N$4:$O$19,2)</f>
        <v>0.90277777777777779</v>
      </c>
      <c r="R788" s="1">
        <f>IF(Table1[[#This Row],[Round]]="PI",0,Table1[[#This Row],[Round]]-1)</f>
        <v>0</v>
      </c>
      <c r="S788">
        <f>Table1[[#This Row],[LAW]]-Table1[[#This Row],[LEW]]</f>
        <v>-0.90277777777777779</v>
      </c>
    </row>
    <row r="789" spans="1:19" x14ac:dyDescent="0.25">
      <c r="A789" s="66">
        <v>35503</v>
      </c>
      <c r="B789" s="51">
        <f>YEAR(Table1[[#This Row],[Date]])</f>
        <v>1997</v>
      </c>
      <c r="C789" s="1">
        <v>1</v>
      </c>
      <c r="D789" t="s">
        <v>439</v>
      </c>
      <c r="E789" s="1">
        <v>9</v>
      </c>
      <c r="F789" t="s">
        <v>373</v>
      </c>
      <c r="G789" t="str">
        <f>VLOOKUP(Table1[[#This Row],[Winner]],Ranking!C:D,2,FALSE)</f>
        <v>Amer</v>
      </c>
      <c r="H789" s="1">
        <v>62</v>
      </c>
      <c r="I789" s="1">
        <v>8</v>
      </c>
      <c r="J789" t="s">
        <v>45</v>
      </c>
      <c r="K789" t="str">
        <f>VLOOKUP(Table1[[#This Row],[Loser]],Ranking!C:D,2,FALSE)</f>
        <v>SEC</v>
      </c>
      <c r="L789" s="1">
        <v>40</v>
      </c>
      <c r="N789" s="1">
        <f>Table1[[#This Row],[Winning Score]]-Table1[[#This Row],[Losing Score]]</f>
        <v>22</v>
      </c>
      <c r="O789" s="1">
        <f>Table1[[#This Row],[Losing Seed]]-Table1[[#This Row],[Winning Seed]]</f>
        <v>-1</v>
      </c>
      <c r="P789" s="1" t="str">
        <f>IF(Table1[[#This Row],[SeD]]&lt;-2,Table1[[#This Row],[Winning Seed]]&amp; " over " &amp;Table1[[#This Row],[Losing Seed]],"")</f>
        <v/>
      </c>
      <c r="Q789">
        <f>VLOOKUP(Table1[[#This Row],[Losing Seed]],'Seed History'!$N$4:$O$19,2)</f>
        <v>0.70833333333333337</v>
      </c>
      <c r="R789" s="1">
        <f>IF(Table1[[#This Row],[Round]]="PI",0,Table1[[#This Row],[Round]]-1)</f>
        <v>0</v>
      </c>
      <c r="S789">
        <f>Table1[[#This Row],[LAW]]-Table1[[#This Row],[LEW]]</f>
        <v>-0.70833333333333337</v>
      </c>
    </row>
    <row r="790" spans="1:19" x14ac:dyDescent="0.25">
      <c r="A790" s="66">
        <v>35504</v>
      </c>
      <c r="B790" s="51">
        <f>YEAR(Table1[[#This Row],[Date]])</f>
        <v>1997</v>
      </c>
      <c r="C790" s="1">
        <v>2</v>
      </c>
      <c r="D790" t="s">
        <v>49</v>
      </c>
      <c r="E790" s="1">
        <v>1</v>
      </c>
      <c r="F790" t="s">
        <v>298</v>
      </c>
      <c r="G790" t="str">
        <f>VLOOKUP(Table1[[#This Row],[Winner]],Ranking!C:D,2,FALSE)</f>
        <v>ACC</v>
      </c>
      <c r="H790" s="1">
        <v>73</v>
      </c>
      <c r="I790" s="1">
        <v>9</v>
      </c>
      <c r="J790" t="s">
        <v>95</v>
      </c>
      <c r="K790" t="str">
        <f>VLOOKUP(Table1[[#This Row],[Loser]],Ranking!C:D,2,FALSE)</f>
        <v>P12</v>
      </c>
      <c r="L790" s="1">
        <v>56</v>
      </c>
      <c r="N790" s="1">
        <f>Table1[[#This Row],[Winning Score]]-Table1[[#This Row],[Losing Score]]</f>
        <v>17</v>
      </c>
      <c r="O790" s="1">
        <f>Table1[[#This Row],[Losing Seed]]-Table1[[#This Row],[Winning Seed]]</f>
        <v>8</v>
      </c>
      <c r="P790" s="1" t="str">
        <f>IF(Table1[[#This Row],[SeD]]&lt;-2,Table1[[#This Row],[Winning Seed]]&amp; " over " &amp;Table1[[#This Row],[Losing Seed]],"")</f>
        <v/>
      </c>
      <c r="Q790">
        <f>VLOOKUP(Table1[[#This Row],[Losing Seed]],'Seed History'!$N$4:$O$19,2)</f>
        <v>0.59027777777777779</v>
      </c>
      <c r="R790" s="1">
        <f>IF(Table1[[#This Row],[Round]]="PI",0,Table1[[#This Row],[Round]]-1)</f>
        <v>1</v>
      </c>
      <c r="S790">
        <f>Table1[[#This Row],[LAW]]-Table1[[#This Row],[LEW]]</f>
        <v>0.40972222222222221</v>
      </c>
    </row>
    <row r="791" spans="1:19" x14ac:dyDescent="0.25">
      <c r="A791" s="66">
        <v>35504</v>
      </c>
      <c r="B791" s="51">
        <f>YEAR(Table1[[#This Row],[Date]])</f>
        <v>1997</v>
      </c>
      <c r="C791" s="1">
        <v>2</v>
      </c>
      <c r="D791" t="s">
        <v>439</v>
      </c>
      <c r="E791" s="1">
        <v>2</v>
      </c>
      <c r="F791" t="s">
        <v>67</v>
      </c>
      <c r="G791" t="str">
        <f>VLOOKUP(Table1[[#This Row],[Winner]],Ranking!C:D,2,FALSE)</f>
        <v>P12</v>
      </c>
      <c r="H791" s="1">
        <v>96</v>
      </c>
      <c r="I791" s="1">
        <v>7</v>
      </c>
      <c r="J791" t="s">
        <v>44</v>
      </c>
      <c r="K791" t="str">
        <f>VLOOKUP(Table1[[#This Row],[Loser]],Ranking!C:D,2,FALSE)</f>
        <v>BE</v>
      </c>
      <c r="L791" s="1">
        <v>83</v>
      </c>
      <c r="N791" s="1">
        <f>Table1[[#This Row],[Winning Score]]-Table1[[#This Row],[Losing Score]]</f>
        <v>13</v>
      </c>
      <c r="O791" s="1">
        <f>Table1[[#This Row],[Losing Seed]]-Table1[[#This Row],[Winning Seed]]</f>
        <v>5</v>
      </c>
      <c r="P791" s="1" t="str">
        <f>IF(Table1[[#This Row],[SeD]]&lt;-2,Table1[[#This Row],[Winning Seed]]&amp; " over " &amp;Table1[[#This Row],[Losing Seed]],"")</f>
        <v/>
      </c>
      <c r="Q791">
        <f>VLOOKUP(Table1[[#This Row],[Losing Seed]],'Seed History'!$N$4:$O$19,2)</f>
        <v>0.90277777777777779</v>
      </c>
      <c r="R791" s="1">
        <f>IF(Table1[[#This Row],[Round]]="PI",0,Table1[[#This Row],[Round]]-1)</f>
        <v>1</v>
      </c>
      <c r="S791">
        <f>Table1[[#This Row],[LAW]]-Table1[[#This Row],[LEW]]</f>
        <v>9.722222222222221E-2</v>
      </c>
    </row>
    <row r="792" spans="1:19" x14ac:dyDescent="0.25">
      <c r="A792" s="66">
        <v>35504</v>
      </c>
      <c r="B792" s="51">
        <f>YEAR(Table1[[#This Row],[Date]])</f>
        <v>1997</v>
      </c>
      <c r="C792" s="1">
        <v>2</v>
      </c>
      <c r="D792" t="s">
        <v>461</v>
      </c>
      <c r="E792" s="1">
        <v>1</v>
      </c>
      <c r="F792" t="s">
        <v>37</v>
      </c>
      <c r="G792" t="str">
        <f>VLOOKUP(Table1[[#This Row],[Winner]],Ranking!C:D,2,FALSE)</f>
        <v>B12</v>
      </c>
      <c r="H792" s="1">
        <v>75</v>
      </c>
      <c r="I792" s="1">
        <v>8</v>
      </c>
      <c r="J792" t="s">
        <v>29</v>
      </c>
      <c r="K792" t="str">
        <f>VLOOKUP(Table1[[#This Row],[Loser]],Ranking!C:D,2,FALSE)</f>
        <v>B10</v>
      </c>
      <c r="L792" s="1">
        <v>61</v>
      </c>
      <c r="N792" s="1">
        <f>Table1[[#This Row],[Winning Score]]-Table1[[#This Row],[Losing Score]]</f>
        <v>14</v>
      </c>
      <c r="O792" s="1">
        <f>Table1[[#This Row],[Losing Seed]]-Table1[[#This Row],[Winning Seed]]</f>
        <v>7</v>
      </c>
      <c r="P792" s="1" t="str">
        <f>IF(Table1[[#This Row],[SeD]]&lt;-2,Table1[[#This Row],[Winning Seed]]&amp; " over " &amp;Table1[[#This Row],[Losing Seed]],"")</f>
        <v/>
      </c>
      <c r="Q792">
        <f>VLOOKUP(Table1[[#This Row],[Losing Seed]],'Seed History'!$N$4:$O$19,2)</f>
        <v>0.70833333333333337</v>
      </c>
      <c r="R792" s="1">
        <f>IF(Table1[[#This Row],[Round]]="PI",0,Table1[[#This Row],[Round]]-1)</f>
        <v>1</v>
      </c>
      <c r="S792">
        <f>Table1[[#This Row],[LAW]]-Table1[[#This Row],[LEW]]</f>
        <v>0.29166666666666663</v>
      </c>
    </row>
    <row r="793" spans="1:19" x14ac:dyDescent="0.25">
      <c r="A793" s="66">
        <v>35504</v>
      </c>
      <c r="B793" s="51">
        <f>YEAR(Table1[[#This Row],[Date]])</f>
        <v>1997</v>
      </c>
      <c r="C793" s="1">
        <v>2</v>
      </c>
      <c r="D793" t="s">
        <v>461</v>
      </c>
      <c r="E793" s="1">
        <v>4</v>
      </c>
      <c r="F793" t="s">
        <v>48</v>
      </c>
      <c r="G793" t="str">
        <f>VLOOKUP(Table1[[#This Row],[Winner]],Ranking!C:D,2,FALSE)</f>
        <v>P12</v>
      </c>
      <c r="H793" s="1">
        <v>73</v>
      </c>
      <c r="I793" s="1">
        <v>12</v>
      </c>
      <c r="J793" t="s">
        <v>164</v>
      </c>
      <c r="K793" t="str">
        <f>VLOOKUP(Table1[[#This Row],[Loser]],Ranking!C:D,2,FALSE)</f>
        <v>BSth</v>
      </c>
      <c r="L793" s="1">
        <v>69</v>
      </c>
      <c r="N793" s="1">
        <f>Table1[[#This Row],[Winning Score]]-Table1[[#This Row],[Losing Score]]</f>
        <v>4</v>
      </c>
      <c r="O793" s="1">
        <f>Table1[[#This Row],[Losing Seed]]-Table1[[#This Row],[Winning Seed]]</f>
        <v>8</v>
      </c>
      <c r="P793" s="1" t="str">
        <f>IF(Table1[[#This Row],[SeD]]&lt;-2,Table1[[#This Row],[Winning Seed]]&amp; " over " &amp;Table1[[#This Row],[Losing Seed]],"")</f>
        <v/>
      </c>
      <c r="Q793">
        <f>VLOOKUP(Table1[[#This Row],[Losing Seed]],'Seed History'!$N$4:$O$19,2)</f>
        <v>0.52083333333333337</v>
      </c>
      <c r="R793" s="1">
        <f>IF(Table1[[#This Row],[Round]]="PI",0,Table1[[#This Row],[Round]]-1)</f>
        <v>1</v>
      </c>
      <c r="S793">
        <f>Table1[[#This Row],[LAW]]-Table1[[#This Row],[LEW]]</f>
        <v>0.47916666666666663</v>
      </c>
    </row>
    <row r="794" spans="1:19" x14ac:dyDescent="0.25">
      <c r="A794" s="66">
        <v>35504</v>
      </c>
      <c r="B794" s="51">
        <f>YEAR(Table1[[#This Row],[Date]])</f>
        <v>1997</v>
      </c>
      <c r="C794" s="1">
        <v>2</v>
      </c>
      <c r="D794" t="s">
        <v>38</v>
      </c>
      <c r="E794" s="1">
        <v>1</v>
      </c>
      <c r="F794" t="s">
        <v>26</v>
      </c>
      <c r="G794" t="str">
        <f>VLOOKUP(Table1[[#This Row],[Winner]],Ranking!C:D,2,FALSE)</f>
        <v>SEC</v>
      </c>
      <c r="H794" s="1">
        <v>75</v>
      </c>
      <c r="I794" s="1">
        <v>8</v>
      </c>
      <c r="J794" t="s">
        <v>69</v>
      </c>
      <c r="K794" t="str">
        <f>VLOOKUP(Table1[[#This Row],[Loser]],Ranking!C:D,2,FALSE)</f>
        <v>B10</v>
      </c>
      <c r="L794" s="1">
        <v>69</v>
      </c>
      <c r="N794" s="1">
        <f>Table1[[#This Row],[Winning Score]]-Table1[[#This Row],[Losing Score]]</f>
        <v>6</v>
      </c>
      <c r="O794" s="1">
        <f>Table1[[#This Row],[Losing Seed]]-Table1[[#This Row],[Winning Seed]]</f>
        <v>7</v>
      </c>
      <c r="P794" s="1" t="str">
        <f>IF(Table1[[#This Row],[SeD]]&lt;-2,Table1[[#This Row],[Winning Seed]]&amp; " over " &amp;Table1[[#This Row],[Losing Seed]],"")</f>
        <v/>
      </c>
      <c r="Q794">
        <f>VLOOKUP(Table1[[#This Row],[Losing Seed]],'Seed History'!$N$4:$O$19,2)</f>
        <v>0.70833333333333337</v>
      </c>
      <c r="R794" s="1">
        <f>IF(Table1[[#This Row],[Round]]="PI",0,Table1[[#This Row],[Round]]-1)</f>
        <v>1</v>
      </c>
      <c r="S794">
        <f>Table1[[#This Row],[LAW]]-Table1[[#This Row],[LEW]]</f>
        <v>0.29166666666666663</v>
      </c>
    </row>
    <row r="795" spans="1:19" x14ac:dyDescent="0.25">
      <c r="A795" s="66">
        <v>35504</v>
      </c>
      <c r="B795" s="51">
        <f>YEAR(Table1[[#This Row],[Date]])</f>
        <v>1997</v>
      </c>
      <c r="C795" s="1">
        <v>2</v>
      </c>
      <c r="D795" t="s">
        <v>38</v>
      </c>
      <c r="E795" s="1">
        <v>4</v>
      </c>
      <c r="F795" t="s">
        <v>337</v>
      </c>
      <c r="G795" t="str">
        <f>VLOOKUP(Table1[[#This Row],[Winner]],Ranking!C:D,2,FALSE)</f>
        <v>A10</v>
      </c>
      <c r="H795" s="1">
        <v>81</v>
      </c>
      <c r="I795" s="1">
        <v>5</v>
      </c>
      <c r="J795" t="s">
        <v>138</v>
      </c>
      <c r="K795" t="str">
        <f>VLOOKUP(Table1[[#This Row],[Loser]],Ranking!C:D,2,FALSE)</f>
        <v>ACC</v>
      </c>
      <c r="L795" s="1">
        <v>77</v>
      </c>
      <c r="M795" s="1" t="s">
        <v>462</v>
      </c>
      <c r="N795" s="1">
        <f>Table1[[#This Row],[Winning Score]]-Table1[[#This Row],[Losing Score]]</f>
        <v>4</v>
      </c>
      <c r="O795" s="1">
        <f>Table1[[#This Row],[Losing Seed]]-Table1[[#This Row],[Winning Seed]]</f>
        <v>1</v>
      </c>
      <c r="P795" s="1" t="str">
        <f>IF(Table1[[#This Row],[SeD]]&lt;-2,Table1[[#This Row],[Winning Seed]]&amp; " over " &amp;Table1[[#This Row],[Losing Seed]],"")</f>
        <v/>
      </c>
      <c r="Q795">
        <f>VLOOKUP(Table1[[#This Row],[Losing Seed]],'Seed History'!$N$4:$O$19,2)</f>
        <v>1.1180555555555556</v>
      </c>
      <c r="R795" s="1">
        <f>IF(Table1[[#This Row],[Round]]="PI",0,Table1[[#This Row],[Round]]-1)</f>
        <v>1</v>
      </c>
      <c r="S795">
        <f>Table1[[#This Row],[LAW]]-Table1[[#This Row],[LEW]]</f>
        <v>-0.11805555555555558</v>
      </c>
    </row>
    <row r="796" spans="1:19" x14ac:dyDescent="0.25">
      <c r="A796" s="66">
        <v>35504</v>
      </c>
      <c r="B796" s="51">
        <f>YEAR(Table1[[#This Row],[Date]])</f>
        <v>1997</v>
      </c>
      <c r="C796" s="1">
        <v>2</v>
      </c>
      <c r="D796" t="s">
        <v>439</v>
      </c>
      <c r="E796" s="1">
        <v>6</v>
      </c>
      <c r="F796" t="s">
        <v>237</v>
      </c>
      <c r="G796" t="str">
        <f>VLOOKUP(Table1[[#This Row],[Winner]],Ranking!C:D,2,FALSE)</f>
        <v>B12</v>
      </c>
      <c r="H796" s="1">
        <v>67</v>
      </c>
      <c r="I796" s="1">
        <v>3</v>
      </c>
      <c r="J796" t="s">
        <v>28</v>
      </c>
      <c r="K796" t="str">
        <f>VLOOKUP(Table1[[#This Row],[Loser]],Ranking!C:D,2,FALSE)</f>
        <v>Amer</v>
      </c>
      <c r="L796" s="1">
        <v>66</v>
      </c>
      <c r="N796" s="1">
        <f>Table1[[#This Row],[Winning Score]]-Table1[[#This Row],[Losing Score]]</f>
        <v>1</v>
      </c>
      <c r="O796" s="1">
        <f>Table1[[#This Row],[Losing Seed]]-Table1[[#This Row],[Winning Seed]]</f>
        <v>-3</v>
      </c>
      <c r="P796" s="1" t="str">
        <f>IF(Table1[[#This Row],[SeD]]&lt;-2,Table1[[#This Row],[Winning Seed]]&amp; " over " &amp;Table1[[#This Row],[Losing Seed]],"")</f>
        <v>6 over 3</v>
      </c>
      <c r="Q796">
        <f>VLOOKUP(Table1[[#This Row],[Losing Seed]],'Seed History'!$N$4:$O$19,2)</f>
        <v>1.8472222222222223</v>
      </c>
      <c r="R796" s="1">
        <f>IF(Table1[[#This Row],[Round]]="PI",0,Table1[[#This Row],[Round]]-1)</f>
        <v>1</v>
      </c>
      <c r="S796">
        <f>Table1[[#This Row],[LAW]]-Table1[[#This Row],[LEW]]</f>
        <v>-0.84722222222222232</v>
      </c>
    </row>
    <row r="797" spans="1:19" x14ac:dyDescent="0.25">
      <c r="A797" s="66">
        <v>35504</v>
      </c>
      <c r="B797" s="51">
        <f>YEAR(Table1[[#This Row],[Date]])</f>
        <v>1997</v>
      </c>
      <c r="C797" s="1">
        <v>2</v>
      </c>
      <c r="D797" t="s">
        <v>49</v>
      </c>
      <c r="E797" s="1">
        <v>5</v>
      </c>
      <c r="F797" t="s">
        <v>84</v>
      </c>
      <c r="G797" t="str">
        <f>VLOOKUP(Table1[[#This Row],[Winner]],Ranking!C:D,2,FALSE)</f>
        <v>P12</v>
      </c>
      <c r="H797" s="1">
        <v>75</v>
      </c>
      <c r="I797" s="1">
        <v>4</v>
      </c>
      <c r="J797" t="s">
        <v>50</v>
      </c>
      <c r="K797" t="str">
        <f>VLOOKUP(Table1[[#This Row],[Loser]],Ranking!C:D,2,FALSE)</f>
        <v>BE</v>
      </c>
      <c r="L797" s="1">
        <v>68</v>
      </c>
      <c r="N797" s="1">
        <f>Table1[[#This Row],[Winning Score]]-Table1[[#This Row],[Losing Score]]</f>
        <v>7</v>
      </c>
      <c r="O797" s="1">
        <f>Table1[[#This Row],[Losing Seed]]-Table1[[#This Row],[Winning Seed]]</f>
        <v>-1</v>
      </c>
      <c r="P797" s="1" t="str">
        <f>IF(Table1[[#This Row],[SeD]]&lt;-2,Table1[[#This Row],[Winning Seed]]&amp; " over " &amp;Table1[[#This Row],[Losing Seed]],"")</f>
        <v/>
      </c>
      <c r="Q797">
        <f>VLOOKUP(Table1[[#This Row],[Losing Seed]],'Seed History'!$N$4:$O$19,2)</f>
        <v>1.5208333333333333</v>
      </c>
      <c r="R797" s="1">
        <f>IF(Table1[[#This Row],[Round]]="PI",0,Table1[[#This Row],[Round]]-1)</f>
        <v>1</v>
      </c>
      <c r="S797">
        <f>Table1[[#This Row],[LAW]]-Table1[[#This Row],[LEW]]</f>
        <v>-0.52083333333333326</v>
      </c>
    </row>
    <row r="798" spans="1:19" x14ac:dyDescent="0.25">
      <c r="A798" s="66">
        <v>35505</v>
      </c>
      <c r="B798" s="51">
        <f>YEAR(Table1[[#This Row],[Date]])</f>
        <v>1997</v>
      </c>
      <c r="C798" s="1">
        <v>2</v>
      </c>
      <c r="D798" t="s">
        <v>461</v>
      </c>
      <c r="E798" s="1">
        <v>10</v>
      </c>
      <c r="F798" t="s">
        <v>56</v>
      </c>
      <c r="G798" t="str">
        <f>VLOOKUP(Table1[[#This Row],[Winner]],Ranking!C:D,2,FALSE)</f>
        <v>BE</v>
      </c>
      <c r="H798" s="1">
        <v>98</v>
      </c>
      <c r="I798" s="1">
        <v>2</v>
      </c>
      <c r="J798" t="s">
        <v>64</v>
      </c>
      <c r="K798" t="str">
        <f>VLOOKUP(Table1[[#This Row],[Loser]],Ranking!C:D,2,FALSE)</f>
        <v>ACC</v>
      </c>
      <c r="L798" s="1">
        <v>87</v>
      </c>
      <c r="N798" s="1">
        <f>Table1[[#This Row],[Winning Score]]-Table1[[#This Row],[Losing Score]]</f>
        <v>11</v>
      </c>
      <c r="O798" s="1">
        <f>Table1[[#This Row],[Losing Seed]]-Table1[[#This Row],[Winning Seed]]</f>
        <v>-8</v>
      </c>
      <c r="P798" s="1" t="str">
        <f>IF(Table1[[#This Row],[SeD]]&lt;-2,Table1[[#This Row],[Winning Seed]]&amp; " over " &amp;Table1[[#This Row],[Losing Seed]],"")</f>
        <v>10 over 2</v>
      </c>
      <c r="Q798">
        <f>VLOOKUP(Table1[[#This Row],[Losing Seed]],'Seed History'!$N$4:$O$19,2)</f>
        <v>2.3472222222222223</v>
      </c>
      <c r="R798" s="1">
        <f>IF(Table1[[#This Row],[Round]]="PI",0,Table1[[#This Row],[Round]]-1)</f>
        <v>1</v>
      </c>
      <c r="S798">
        <f>Table1[[#This Row],[LAW]]-Table1[[#This Row],[LEW]]</f>
        <v>-1.3472222222222223</v>
      </c>
    </row>
    <row r="799" spans="1:19" x14ac:dyDescent="0.25">
      <c r="A799" s="66">
        <v>35505</v>
      </c>
      <c r="B799" s="51">
        <f>YEAR(Table1[[#This Row],[Date]])</f>
        <v>1997</v>
      </c>
      <c r="C799" s="1">
        <v>2</v>
      </c>
      <c r="D799" t="s">
        <v>461</v>
      </c>
      <c r="E799" s="1">
        <v>14</v>
      </c>
      <c r="F799" t="s">
        <v>167</v>
      </c>
      <c r="G799" t="str">
        <f>VLOOKUP(Table1[[#This Row],[Winner]],Ranking!C:D,2,FALSE)</f>
        <v>SC</v>
      </c>
      <c r="H799" s="1">
        <v>75</v>
      </c>
      <c r="I799" s="1">
        <v>6</v>
      </c>
      <c r="J799" t="s">
        <v>230</v>
      </c>
      <c r="K799" t="str">
        <f>VLOOKUP(Table1[[#This Row],[Loser]],Ranking!C:D,2,FALSE)</f>
        <v>B10</v>
      </c>
      <c r="L799" s="1">
        <v>63</v>
      </c>
      <c r="N799" s="1">
        <f>Table1[[#This Row],[Winning Score]]-Table1[[#This Row],[Losing Score]]</f>
        <v>12</v>
      </c>
      <c r="O799" s="1">
        <f>Table1[[#This Row],[Losing Seed]]-Table1[[#This Row],[Winning Seed]]</f>
        <v>-8</v>
      </c>
      <c r="P799" s="1" t="str">
        <f>IF(Table1[[#This Row],[SeD]]&lt;-2,Table1[[#This Row],[Winning Seed]]&amp; " over " &amp;Table1[[#This Row],[Losing Seed]],"")</f>
        <v>14 over 6</v>
      </c>
      <c r="Q799">
        <f>VLOOKUP(Table1[[#This Row],[Losing Seed]],'Seed History'!$N$4:$O$19,2)</f>
        <v>1.0625</v>
      </c>
      <c r="R799" s="1">
        <f>IF(Table1[[#This Row],[Round]]="PI",0,Table1[[#This Row],[Round]]-1)</f>
        <v>1</v>
      </c>
      <c r="S799">
        <f>Table1[[#This Row],[LAW]]-Table1[[#This Row],[LEW]]</f>
        <v>-6.25E-2</v>
      </c>
    </row>
    <row r="800" spans="1:19" x14ac:dyDescent="0.25">
      <c r="A800" s="66">
        <v>35505</v>
      </c>
      <c r="B800" s="51">
        <f>YEAR(Table1[[#This Row],[Date]])</f>
        <v>1997</v>
      </c>
      <c r="C800" s="1">
        <v>2</v>
      </c>
      <c r="D800" t="s">
        <v>49</v>
      </c>
      <c r="E800" s="1">
        <v>10</v>
      </c>
      <c r="F800" t="s">
        <v>34</v>
      </c>
      <c r="G800" t="str">
        <f>VLOOKUP(Table1[[#This Row],[Winner]],Ranking!C:D,2,FALSE)</f>
        <v>B12</v>
      </c>
      <c r="H800" s="1">
        <v>82</v>
      </c>
      <c r="I800" s="1">
        <v>15</v>
      </c>
      <c r="J800" t="s">
        <v>178</v>
      </c>
      <c r="K800" t="str">
        <f>VLOOKUP(Table1[[#This Row],[Loser]],Ranking!C:D,2,FALSE)</f>
        <v>MEAC</v>
      </c>
      <c r="L800" s="1">
        <v>81</v>
      </c>
      <c r="N800" s="1">
        <f>Table1[[#This Row],[Winning Score]]-Table1[[#This Row],[Losing Score]]</f>
        <v>1</v>
      </c>
      <c r="O800" s="1">
        <f>Table1[[#This Row],[Losing Seed]]-Table1[[#This Row],[Winning Seed]]</f>
        <v>5</v>
      </c>
      <c r="P800" s="1" t="str">
        <f>IF(Table1[[#This Row],[SeD]]&lt;-2,Table1[[#This Row],[Winning Seed]]&amp; " over " &amp;Table1[[#This Row],[Losing Seed]],"")</f>
        <v/>
      </c>
      <c r="Q800">
        <f>VLOOKUP(Table1[[#This Row],[Losing Seed]],'Seed History'!$N$4:$O$19,2)</f>
        <v>7.6388888888888895E-2</v>
      </c>
      <c r="R800" s="1">
        <f>IF(Table1[[#This Row],[Round]]="PI",0,Table1[[#This Row],[Round]]-1)</f>
        <v>1</v>
      </c>
      <c r="S800">
        <f>Table1[[#This Row],[LAW]]-Table1[[#This Row],[LEW]]</f>
        <v>0.92361111111111116</v>
      </c>
    </row>
    <row r="801" spans="1:19" x14ac:dyDescent="0.25">
      <c r="A801" s="66">
        <v>35505</v>
      </c>
      <c r="B801" s="51">
        <f>YEAR(Table1[[#This Row],[Date]])</f>
        <v>1997</v>
      </c>
      <c r="C801" s="1">
        <v>2</v>
      </c>
      <c r="D801" t="s">
        <v>439</v>
      </c>
      <c r="E801" s="1">
        <v>1</v>
      </c>
      <c r="F801" t="s">
        <v>274</v>
      </c>
      <c r="G801" t="str">
        <f>VLOOKUP(Table1[[#This Row],[Winner]],Ranking!C:D,2,FALSE)</f>
        <v>B10</v>
      </c>
      <c r="H801" s="1">
        <v>76</v>
      </c>
      <c r="I801" s="1">
        <v>9</v>
      </c>
      <c r="J801" t="s">
        <v>373</v>
      </c>
      <c r="K801" t="str">
        <f>VLOOKUP(Table1[[#This Row],[Loser]],Ranking!C:D,2,FALSE)</f>
        <v>Amer</v>
      </c>
      <c r="L801" s="1">
        <v>57</v>
      </c>
      <c r="N801" s="1">
        <f>Table1[[#This Row],[Winning Score]]-Table1[[#This Row],[Losing Score]]</f>
        <v>19</v>
      </c>
      <c r="O801" s="1">
        <f>Table1[[#This Row],[Losing Seed]]-Table1[[#This Row],[Winning Seed]]</f>
        <v>8</v>
      </c>
      <c r="P801" s="1" t="str">
        <f>IF(Table1[[#This Row],[SeD]]&lt;-2,Table1[[#This Row],[Winning Seed]]&amp; " over " &amp;Table1[[#This Row],[Losing Seed]],"")</f>
        <v/>
      </c>
      <c r="Q801">
        <f>VLOOKUP(Table1[[#This Row],[Losing Seed]],'Seed History'!$N$4:$O$19,2)</f>
        <v>0.59027777777777779</v>
      </c>
      <c r="R801" s="1">
        <f>IF(Table1[[#This Row],[Round]]="PI",0,Table1[[#This Row],[Round]]-1)</f>
        <v>1</v>
      </c>
      <c r="S801">
        <f>Table1[[#This Row],[LAW]]-Table1[[#This Row],[LEW]]</f>
        <v>0.40972222222222221</v>
      </c>
    </row>
    <row r="802" spans="1:19" x14ac:dyDescent="0.25">
      <c r="A802" s="66">
        <v>35505</v>
      </c>
      <c r="B802" s="51">
        <f>YEAR(Table1[[#This Row],[Date]])</f>
        <v>1997</v>
      </c>
      <c r="C802" s="1">
        <v>2</v>
      </c>
      <c r="D802" t="s">
        <v>439</v>
      </c>
      <c r="E802" s="1">
        <v>4</v>
      </c>
      <c r="F802" t="s">
        <v>89</v>
      </c>
      <c r="G802" t="str">
        <f>VLOOKUP(Table1[[#This Row],[Winner]],Ranking!C:D,2,FALSE)</f>
        <v>ACC</v>
      </c>
      <c r="H802" s="1">
        <v>65</v>
      </c>
      <c r="I802" s="1">
        <v>5</v>
      </c>
      <c r="J802" t="s">
        <v>94</v>
      </c>
      <c r="K802" t="str">
        <f>VLOOKUP(Table1[[#This Row],[Loser]],Ranking!C:D,2,FALSE)</f>
        <v>Amer</v>
      </c>
      <c r="L802" s="1">
        <v>59</v>
      </c>
      <c r="N802" s="1">
        <f>Table1[[#This Row],[Winning Score]]-Table1[[#This Row],[Losing Score]]</f>
        <v>6</v>
      </c>
      <c r="O802" s="1">
        <f>Table1[[#This Row],[Losing Seed]]-Table1[[#This Row],[Winning Seed]]</f>
        <v>1</v>
      </c>
      <c r="P802" s="1" t="str">
        <f>IF(Table1[[#This Row],[SeD]]&lt;-2,Table1[[#This Row],[Winning Seed]]&amp; " over " &amp;Table1[[#This Row],[Losing Seed]],"")</f>
        <v/>
      </c>
      <c r="Q802">
        <f>VLOOKUP(Table1[[#This Row],[Losing Seed]],'Seed History'!$N$4:$O$19,2)</f>
        <v>1.1180555555555556</v>
      </c>
      <c r="R802" s="1">
        <f>IF(Table1[[#This Row],[Round]]="PI",0,Table1[[#This Row],[Round]]-1)</f>
        <v>1</v>
      </c>
      <c r="S802">
        <f>Table1[[#This Row],[LAW]]-Table1[[#This Row],[LEW]]</f>
        <v>-0.11805555555555558</v>
      </c>
    </row>
    <row r="803" spans="1:19" x14ac:dyDescent="0.25">
      <c r="A803" s="66">
        <v>35505</v>
      </c>
      <c r="B803" s="51">
        <f>YEAR(Table1[[#This Row],[Date]])</f>
        <v>1997</v>
      </c>
      <c r="C803" s="1">
        <v>2</v>
      </c>
      <c r="D803" t="s">
        <v>38</v>
      </c>
      <c r="E803" s="1">
        <v>2</v>
      </c>
      <c r="F803" t="s">
        <v>65</v>
      </c>
      <c r="G803" t="str">
        <f>VLOOKUP(Table1[[#This Row],[Winner]],Ranking!C:D,2,FALSE)</f>
        <v>P12</v>
      </c>
      <c r="H803" s="1">
        <v>77</v>
      </c>
      <c r="I803" s="1">
        <v>7</v>
      </c>
      <c r="J803" t="s">
        <v>165</v>
      </c>
      <c r="K803" t="str">
        <f>VLOOKUP(Table1[[#This Row],[Loser]],Ranking!C:D,2,FALSE)</f>
        <v>CUSA</v>
      </c>
      <c r="L803" s="1">
        <v>58</v>
      </c>
      <c r="N803" s="1">
        <f>Table1[[#This Row],[Winning Score]]-Table1[[#This Row],[Losing Score]]</f>
        <v>19</v>
      </c>
      <c r="O803" s="1">
        <f>Table1[[#This Row],[Losing Seed]]-Table1[[#This Row],[Winning Seed]]</f>
        <v>5</v>
      </c>
      <c r="P803" s="1" t="str">
        <f>IF(Table1[[#This Row],[SeD]]&lt;-2,Table1[[#This Row],[Winning Seed]]&amp; " over " &amp;Table1[[#This Row],[Losing Seed]],"")</f>
        <v/>
      </c>
      <c r="Q803">
        <f>VLOOKUP(Table1[[#This Row],[Losing Seed]],'Seed History'!$N$4:$O$19,2)</f>
        <v>0.90277777777777779</v>
      </c>
      <c r="R803" s="1">
        <f>IF(Table1[[#This Row],[Round]]="PI",0,Table1[[#This Row],[Round]]-1)</f>
        <v>1</v>
      </c>
      <c r="S803">
        <f>Table1[[#This Row],[LAW]]-Table1[[#This Row],[LEW]]</f>
        <v>9.722222222222221E-2</v>
      </c>
    </row>
    <row r="804" spans="1:19" x14ac:dyDescent="0.25">
      <c r="A804" s="66">
        <v>35505</v>
      </c>
      <c r="B804" s="51">
        <f>YEAR(Table1[[#This Row],[Date]])</f>
        <v>1997</v>
      </c>
      <c r="C804" s="1">
        <v>2</v>
      </c>
      <c r="D804" t="s">
        <v>49</v>
      </c>
      <c r="E804" s="1">
        <v>6</v>
      </c>
      <c r="F804" t="s">
        <v>54</v>
      </c>
      <c r="G804" t="str">
        <f>VLOOKUP(Table1[[#This Row],[Winner]],Ranking!C:D,2,FALSE)</f>
        <v>ACC</v>
      </c>
      <c r="H804" s="1">
        <v>64</v>
      </c>
      <c r="I804" s="1">
        <v>3</v>
      </c>
      <c r="J804" t="s">
        <v>291</v>
      </c>
      <c r="K804" t="str">
        <f>VLOOKUP(Table1[[#This Row],[Loser]],Ranking!C:D,2,FALSE)</f>
        <v>MWC</v>
      </c>
      <c r="L804" s="1">
        <v>63</v>
      </c>
      <c r="N804" s="1">
        <f>Table1[[#This Row],[Winning Score]]-Table1[[#This Row],[Losing Score]]</f>
        <v>1</v>
      </c>
      <c r="O804" s="1">
        <f>Table1[[#This Row],[Losing Seed]]-Table1[[#This Row],[Winning Seed]]</f>
        <v>-3</v>
      </c>
      <c r="P804" s="1" t="str">
        <f>IF(Table1[[#This Row],[SeD]]&lt;-2,Table1[[#This Row],[Winning Seed]]&amp; " over " &amp;Table1[[#This Row],[Losing Seed]],"")</f>
        <v>6 over 3</v>
      </c>
      <c r="Q804">
        <f>VLOOKUP(Table1[[#This Row],[Losing Seed]],'Seed History'!$N$4:$O$19,2)</f>
        <v>1.8472222222222223</v>
      </c>
      <c r="R804" s="1">
        <f>IF(Table1[[#This Row],[Round]]="PI",0,Table1[[#This Row],[Round]]-1)</f>
        <v>1</v>
      </c>
      <c r="S804">
        <f>Table1[[#This Row],[LAW]]-Table1[[#This Row],[LEW]]</f>
        <v>-0.84722222222222232</v>
      </c>
    </row>
    <row r="805" spans="1:19" x14ac:dyDescent="0.25">
      <c r="A805" s="66">
        <v>35505</v>
      </c>
      <c r="B805" s="51">
        <f>YEAR(Table1[[#This Row],[Date]])</f>
        <v>1997</v>
      </c>
      <c r="C805" s="1">
        <v>2</v>
      </c>
      <c r="D805" t="s">
        <v>38</v>
      </c>
      <c r="E805" s="1">
        <v>6</v>
      </c>
      <c r="F805" t="s">
        <v>369</v>
      </c>
      <c r="G805" t="str">
        <f>VLOOKUP(Table1[[#This Row],[Winner]],Ranking!C:D,2,FALSE)</f>
        <v>P12</v>
      </c>
      <c r="H805" s="1">
        <v>72</v>
      </c>
      <c r="I805" s="1">
        <v>3</v>
      </c>
      <c r="J805" t="s">
        <v>408</v>
      </c>
      <c r="K805" t="str">
        <f>VLOOKUP(Table1[[#This Row],[Loser]],Ranking!C:D,2,FALSE)</f>
        <v>ACC</v>
      </c>
      <c r="L805" s="1">
        <v>66</v>
      </c>
      <c r="N805" s="1">
        <f>Table1[[#This Row],[Winning Score]]-Table1[[#This Row],[Losing Score]]</f>
        <v>6</v>
      </c>
      <c r="O805" s="1">
        <f>Table1[[#This Row],[Losing Seed]]-Table1[[#This Row],[Winning Seed]]</f>
        <v>-3</v>
      </c>
      <c r="P805" s="1" t="str">
        <f>IF(Table1[[#This Row],[SeD]]&lt;-2,Table1[[#This Row],[Winning Seed]]&amp; " over " &amp;Table1[[#This Row],[Losing Seed]],"")</f>
        <v>6 over 3</v>
      </c>
      <c r="Q805">
        <f>VLOOKUP(Table1[[#This Row],[Losing Seed]],'Seed History'!$N$4:$O$19,2)</f>
        <v>1.8472222222222223</v>
      </c>
      <c r="R805" s="1">
        <f>IF(Table1[[#This Row],[Round]]="PI",0,Table1[[#This Row],[Round]]-1)</f>
        <v>1</v>
      </c>
      <c r="S805">
        <f>Table1[[#This Row],[LAW]]-Table1[[#This Row],[LEW]]</f>
        <v>-0.84722222222222232</v>
      </c>
    </row>
    <row r="806" spans="1:19" x14ac:dyDescent="0.25">
      <c r="A806" s="66">
        <v>35509</v>
      </c>
      <c r="B806" s="51">
        <f>YEAR(Table1[[#This Row],[Date]])</f>
        <v>1997</v>
      </c>
      <c r="C806" s="1">
        <v>3</v>
      </c>
      <c r="D806" t="s">
        <v>439</v>
      </c>
      <c r="E806" s="1">
        <v>1</v>
      </c>
      <c r="F806" t="s">
        <v>274</v>
      </c>
      <c r="G806" t="str">
        <f>VLOOKUP(Table1[[#This Row],[Winner]],Ranking!C:D,2,FALSE)</f>
        <v>B10</v>
      </c>
      <c r="H806" s="1">
        <v>90</v>
      </c>
      <c r="I806" s="1">
        <v>4</v>
      </c>
      <c r="J806" t="s">
        <v>89</v>
      </c>
      <c r="K806" t="str">
        <f>VLOOKUP(Table1[[#This Row],[Loser]],Ranking!C:D,2,FALSE)</f>
        <v>ACC</v>
      </c>
      <c r="L806" s="1">
        <v>84</v>
      </c>
      <c r="M806" s="1" t="s">
        <v>463</v>
      </c>
      <c r="N806" s="1">
        <f>Table1[[#This Row],[Winning Score]]-Table1[[#This Row],[Losing Score]]</f>
        <v>6</v>
      </c>
      <c r="O806" s="1">
        <f>Table1[[#This Row],[Losing Seed]]-Table1[[#This Row],[Winning Seed]]</f>
        <v>3</v>
      </c>
      <c r="P806" s="1" t="str">
        <f>IF(Table1[[#This Row],[SeD]]&lt;-2,Table1[[#This Row],[Winning Seed]]&amp; " over " &amp;Table1[[#This Row],[Losing Seed]],"")</f>
        <v/>
      </c>
      <c r="Q806">
        <f>VLOOKUP(Table1[[#This Row],[Losing Seed]],'Seed History'!$N$4:$O$19,2)</f>
        <v>1.5208333333333333</v>
      </c>
      <c r="R806" s="1">
        <f>IF(Table1[[#This Row],[Round]]="PI",0,Table1[[#This Row],[Round]]-1)</f>
        <v>2</v>
      </c>
      <c r="S806">
        <f>Table1[[#This Row],[LAW]]-Table1[[#This Row],[LEW]]</f>
        <v>0.47916666666666674</v>
      </c>
    </row>
    <row r="807" spans="1:19" x14ac:dyDescent="0.25">
      <c r="A807" s="66">
        <v>35509</v>
      </c>
      <c r="B807" s="51">
        <f>YEAR(Table1[[#This Row],[Date]])</f>
        <v>1997</v>
      </c>
      <c r="C807" s="1">
        <v>3</v>
      </c>
      <c r="D807" t="s">
        <v>439</v>
      </c>
      <c r="E807" s="1">
        <v>2</v>
      </c>
      <c r="F807" t="s">
        <v>67</v>
      </c>
      <c r="G807" t="str">
        <f>VLOOKUP(Table1[[#This Row],[Winner]],Ranking!C:D,2,FALSE)</f>
        <v>P12</v>
      </c>
      <c r="H807" s="1">
        <v>74</v>
      </c>
      <c r="I807" s="1">
        <v>6</v>
      </c>
      <c r="J807" t="s">
        <v>237</v>
      </c>
      <c r="K807" t="str">
        <f>VLOOKUP(Table1[[#This Row],[Loser]],Ranking!C:D,2,FALSE)</f>
        <v>B12</v>
      </c>
      <c r="L807" s="1">
        <v>73</v>
      </c>
      <c r="M807" s="1" t="s">
        <v>462</v>
      </c>
      <c r="N807" s="1">
        <f>Table1[[#This Row],[Winning Score]]-Table1[[#This Row],[Losing Score]]</f>
        <v>1</v>
      </c>
      <c r="O807" s="1">
        <f>Table1[[#This Row],[Losing Seed]]-Table1[[#This Row],[Winning Seed]]</f>
        <v>4</v>
      </c>
      <c r="P807" s="1" t="str">
        <f>IF(Table1[[#This Row],[SeD]]&lt;-2,Table1[[#This Row],[Winning Seed]]&amp; " over " &amp;Table1[[#This Row],[Losing Seed]],"")</f>
        <v/>
      </c>
      <c r="Q807">
        <f>VLOOKUP(Table1[[#This Row],[Losing Seed]],'Seed History'!$N$4:$O$19,2)</f>
        <v>1.0625</v>
      </c>
      <c r="R807" s="1">
        <f>IF(Table1[[#This Row],[Round]]="PI",0,Table1[[#This Row],[Round]]-1)</f>
        <v>2</v>
      </c>
      <c r="S807">
        <f>Table1[[#This Row],[LAW]]-Table1[[#This Row],[LEW]]</f>
        <v>0.9375</v>
      </c>
    </row>
    <row r="808" spans="1:19" x14ac:dyDescent="0.25">
      <c r="A808" s="66">
        <v>35509</v>
      </c>
      <c r="B808" s="51">
        <f>YEAR(Table1[[#This Row],[Date]])</f>
        <v>1997</v>
      </c>
      <c r="C808" s="1">
        <v>3</v>
      </c>
      <c r="D808" t="s">
        <v>38</v>
      </c>
      <c r="E808" s="1">
        <v>1</v>
      </c>
      <c r="F808" t="s">
        <v>26</v>
      </c>
      <c r="G808" t="str">
        <f>VLOOKUP(Table1[[#This Row],[Winner]],Ranking!C:D,2,FALSE)</f>
        <v>SEC</v>
      </c>
      <c r="H808" s="1">
        <v>83</v>
      </c>
      <c r="I808" s="1">
        <v>4</v>
      </c>
      <c r="J808" t="s">
        <v>337</v>
      </c>
      <c r="K808" t="str">
        <f>VLOOKUP(Table1[[#This Row],[Loser]],Ranking!C:D,2,FALSE)</f>
        <v>A10</v>
      </c>
      <c r="L808" s="1">
        <v>68</v>
      </c>
      <c r="N808" s="1">
        <f>Table1[[#This Row],[Winning Score]]-Table1[[#This Row],[Losing Score]]</f>
        <v>15</v>
      </c>
      <c r="O808" s="1">
        <f>Table1[[#This Row],[Losing Seed]]-Table1[[#This Row],[Winning Seed]]</f>
        <v>3</v>
      </c>
      <c r="P808" s="1" t="str">
        <f>IF(Table1[[#This Row],[SeD]]&lt;-2,Table1[[#This Row],[Winning Seed]]&amp; " over " &amp;Table1[[#This Row],[Losing Seed]],"")</f>
        <v/>
      </c>
      <c r="Q808">
        <f>VLOOKUP(Table1[[#This Row],[Losing Seed]],'Seed History'!$N$4:$O$19,2)</f>
        <v>1.5208333333333333</v>
      </c>
      <c r="R808" s="1">
        <f>IF(Table1[[#This Row],[Round]]="PI",0,Table1[[#This Row],[Round]]-1)</f>
        <v>2</v>
      </c>
      <c r="S808">
        <f>Table1[[#This Row],[LAW]]-Table1[[#This Row],[LEW]]</f>
        <v>0.47916666666666674</v>
      </c>
    </row>
    <row r="809" spans="1:19" x14ac:dyDescent="0.25">
      <c r="A809" s="66">
        <v>35509</v>
      </c>
      <c r="B809" s="51">
        <f>YEAR(Table1[[#This Row],[Date]])</f>
        <v>1997</v>
      </c>
      <c r="C809" s="1">
        <v>3</v>
      </c>
      <c r="D809" t="s">
        <v>38</v>
      </c>
      <c r="E809" s="1">
        <v>2</v>
      </c>
      <c r="F809" t="s">
        <v>65</v>
      </c>
      <c r="G809" t="str">
        <f>VLOOKUP(Table1[[#This Row],[Winner]],Ranking!C:D,2,FALSE)</f>
        <v>P12</v>
      </c>
      <c r="H809" s="1">
        <v>82</v>
      </c>
      <c r="I809" s="1">
        <v>6</v>
      </c>
      <c r="J809" t="s">
        <v>369</v>
      </c>
      <c r="K809" t="str">
        <f>VLOOKUP(Table1[[#This Row],[Loser]],Ranking!C:D,2,FALSE)</f>
        <v>P12</v>
      </c>
      <c r="L809" s="1">
        <v>77</v>
      </c>
      <c r="M809" s="1" t="s">
        <v>462</v>
      </c>
      <c r="N809" s="1">
        <f>Table1[[#This Row],[Winning Score]]-Table1[[#This Row],[Losing Score]]</f>
        <v>5</v>
      </c>
      <c r="O809" s="1">
        <f>Table1[[#This Row],[Losing Seed]]-Table1[[#This Row],[Winning Seed]]</f>
        <v>4</v>
      </c>
      <c r="P809" s="1" t="str">
        <f>IF(Table1[[#This Row],[SeD]]&lt;-2,Table1[[#This Row],[Winning Seed]]&amp; " over " &amp;Table1[[#This Row],[Losing Seed]],"")</f>
        <v/>
      </c>
      <c r="Q809">
        <f>VLOOKUP(Table1[[#This Row],[Losing Seed]],'Seed History'!$N$4:$O$19,2)</f>
        <v>1.0625</v>
      </c>
      <c r="R809" s="1">
        <f>IF(Table1[[#This Row],[Round]]="PI",0,Table1[[#This Row],[Round]]-1)</f>
        <v>2</v>
      </c>
      <c r="S809">
        <f>Table1[[#This Row],[LAW]]-Table1[[#This Row],[LEW]]</f>
        <v>0.9375</v>
      </c>
    </row>
    <row r="810" spans="1:19" x14ac:dyDescent="0.25">
      <c r="A810" s="66">
        <v>35510</v>
      </c>
      <c r="B810" s="51">
        <f>YEAR(Table1[[#This Row],[Date]])</f>
        <v>1997</v>
      </c>
      <c r="C810" s="1">
        <v>3</v>
      </c>
      <c r="D810" t="s">
        <v>49</v>
      </c>
      <c r="E810" s="1">
        <v>1</v>
      </c>
      <c r="F810" t="s">
        <v>298</v>
      </c>
      <c r="G810" t="str">
        <f>VLOOKUP(Table1[[#This Row],[Winner]],Ranking!C:D,2,FALSE)</f>
        <v>ACC</v>
      </c>
      <c r="H810" s="1">
        <v>73</v>
      </c>
      <c r="I810" s="1">
        <v>5</v>
      </c>
      <c r="J810" t="s">
        <v>84</v>
      </c>
      <c r="K810" t="str">
        <f>VLOOKUP(Table1[[#This Row],[Loser]],Ranking!C:D,2,FALSE)</f>
        <v>P12</v>
      </c>
      <c r="L810" s="1">
        <v>67</v>
      </c>
      <c r="N810" s="1">
        <f>Table1[[#This Row],[Winning Score]]-Table1[[#This Row],[Losing Score]]</f>
        <v>6</v>
      </c>
      <c r="O810" s="1">
        <f>Table1[[#This Row],[Losing Seed]]-Table1[[#This Row],[Winning Seed]]</f>
        <v>4</v>
      </c>
      <c r="P810" s="1" t="str">
        <f>IF(Table1[[#This Row],[SeD]]&lt;-2,Table1[[#This Row],[Winning Seed]]&amp; " over " &amp;Table1[[#This Row],[Losing Seed]],"")</f>
        <v/>
      </c>
      <c r="Q810">
        <f>VLOOKUP(Table1[[#This Row],[Losing Seed]],'Seed History'!$N$4:$O$19,2)</f>
        <v>1.1180555555555556</v>
      </c>
      <c r="R810" s="1">
        <f>IF(Table1[[#This Row],[Round]]="PI",0,Table1[[#This Row],[Round]]-1)</f>
        <v>2</v>
      </c>
      <c r="S810">
        <f>Table1[[#This Row],[LAW]]-Table1[[#This Row],[LEW]]</f>
        <v>0.88194444444444442</v>
      </c>
    </row>
    <row r="811" spans="1:19" x14ac:dyDescent="0.25">
      <c r="A811" s="66">
        <v>35510</v>
      </c>
      <c r="B811" s="51">
        <f>YEAR(Table1[[#This Row],[Date]])</f>
        <v>1997</v>
      </c>
      <c r="C811" s="1">
        <v>3</v>
      </c>
      <c r="D811" t="s">
        <v>49</v>
      </c>
      <c r="E811" s="1">
        <v>6</v>
      </c>
      <c r="F811" t="s">
        <v>54</v>
      </c>
      <c r="G811" t="str">
        <f>VLOOKUP(Table1[[#This Row],[Winner]],Ranking!C:D,2,FALSE)</f>
        <v>ACC</v>
      </c>
      <c r="H811" s="1">
        <v>78</v>
      </c>
      <c r="I811" s="1">
        <v>10</v>
      </c>
      <c r="J811" t="s">
        <v>34</v>
      </c>
      <c r="K811" t="str">
        <f>VLOOKUP(Table1[[#This Row],[Loser]],Ranking!C:D,2,FALSE)</f>
        <v>B12</v>
      </c>
      <c r="L811" s="1">
        <v>63</v>
      </c>
      <c r="N811" s="1">
        <f>Table1[[#This Row],[Winning Score]]-Table1[[#This Row],[Losing Score]]</f>
        <v>15</v>
      </c>
      <c r="O811" s="1">
        <f>Table1[[#This Row],[Losing Seed]]-Table1[[#This Row],[Winning Seed]]</f>
        <v>4</v>
      </c>
      <c r="P811" s="1" t="str">
        <f>IF(Table1[[#This Row],[SeD]]&lt;-2,Table1[[#This Row],[Winning Seed]]&amp; " over " &amp;Table1[[#This Row],[Losing Seed]],"")</f>
        <v/>
      </c>
      <c r="Q811">
        <f>VLOOKUP(Table1[[#This Row],[Losing Seed]],'Seed History'!$N$4:$O$19,2)</f>
        <v>0.61805555555555558</v>
      </c>
      <c r="R811" s="1">
        <f>IF(Table1[[#This Row],[Round]]="PI",0,Table1[[#This Row],[Round]]-1)</f>
        <v>2</v>
      </c>
      <c r="S811">
        <f>Table1[[#This Row],[LAW]]-Table1[[#This Row],[LEW]]</f>
        <v>1.3819444444444444</v>
      </c>
    </row>
    <row r="812" spans="1:19" x14ac:dyDescent="0.25">
      <c r="A812" s="66">
        <v>35510</v>
      </c>
      <c r="B812" s="51">
        <f>YEAR(Table1[[#This Row],[Date]])</f>
        <v>1997</v>
      </c>
      <c r="C812" s="1">
        <v>3</v>
      </c>
      <c r="D812" t="s">
        <v>461</v>
      </c>
      <c r="E812" s="1">
        <v>10</v>
      </c>
      <c r="F812" t="s">
        <v>56</v>
      </c>
      <c r="G812" t="str">
        <f>VLOOKUP(Table1[[#This Row],[Winner]],Ranking!C:D,2,FALSE)</f>
        <v>BE</v>
      </c>
      <c r="H812" s="1">
        <v>71</v>
      </c>
      <c r="I812" s="1">
        <v>14</v>
      </c>
      <c r="J812" t="s">
        <v>167</v>
      </c>
      <c r="K812" t="str">
        <f>VLOOKUP(Table1[[#This Row],[Loser]],Ranking!C:D,2,FALSE)</f>
        <v>SC</v>
      </c>
      <c r="L812" s="1">
        <v>65</v>
      </c>
      <c r="N812" s="1">
        <f>Table1[[#This Row],[Winning Score]]-Table1[[#This Row],[Losing Score]]</f>
        <v>6</v>
      </c>
      <c r="O812" s="1">
        <f>Table1[[#This Row],[Losing Seed]]-Table1[[#This Row],[Winning Seed]]</f>
        <v>4</v>
      </c>
      <c r="P812" s="1" t="str">
        <f>IF(Table1[[#This Row],[SeD]]&lt;-2,Table1[[#This Row],[Winning Seed]]&amp; " over " &amp;Table1[[#This Row],[Losing Seed]],"")</f>
        <v/>
      </c>
      <c r="Q812">
        <f>VLOOKUP(Table1[[#This Row],[Losing Seed]],'Seed History'!$N$4:$O$19,2)</f>
        <v>0.16666666666666666</v>
      </c>
      <c r="R812" s="1">
        <f>IF(Table1[[#This Row],[Round]]="PI",0,Table1[[#This Row],[Round]]-1)</f>
        <v>2</v>
      </c>
      <c r="S812">
        <f>Table1[[#This Row],[LAW]]-Table1[[#This Row],[LEW]]</f>
        <v>1.8333333333333333</v>
      </c>
    </row>
    <row r="813" spans="1:19" x14ac:dyDescent="0.25">
      <c r="A813" s="66">
        <v>35510</v>
      </c>
      <c r="B813" s="51">
        <f>YEAR(Table1[[#This Row],[Date]])</f>
        <v>1997</v>
      </c>
      <c r="C813" s="1">
        <v>3</v>
      </c>
      <c r="D813" t="s">
        <v>461</v>
      </c>
      <c r="E813" s="1">
        <v>4</v>
      </c>
      <c r="F813" t="s">
        <v>48</v>
      </c>
      <c r="G813" t="str">
        <f>VLOOKUP(Table1[[#This Row],[Winner]],Ranking!C:D,2,FALSE)</f>
        <v>P12</v>
      </c>
      <c r="H813" s="1">
        <v>85</v>
      </c>
      <c r="I813" s="1">
        <v>1</v>
      </c>
      <c r="J813" t="s">
        <v>37</v>
      </c>
      <c r="K813" t="str">
        <f>VLOOKUP(Table1[[#This Row],[Loser]],Ranking!C:D,2,FALSE)</f>
        <v>B12</v>
      </c>
      <c r="L813" s="1">
        <v>82</v>
      </c>
      <c r="N813" s="1">
        <f>Table1[[#This Row],[Winning Score]]-Table1[[#This Row],[Losing Score]]</f>
        <v>3</v>
      </c>
      <c r="O813" s="1">
        <f>Table1[[#This Row],[Losing Seed]]-Table1[[#This Row],[Winning Seed]]</f>
        <v>-3</v>
      </c>
      <c r="P813" s="1" t="str">
        <f>IF(Table1[[#This Row],[SeD]]&lt;-2,Table1[[#This Row],[Winning Seed]]&amp; " over " &amp;Table1[[#This Row],[Losing Seed]],"")</f>
        <v>4 over 1</v>
      </c>
      <c r="Q813">
        <f>VLOOKUP(Table1[[#This Row],[Losing Seed]],'Seed History'!$N$4:$O$19,2)</f>
        <v>3.3263888888888888</v>
      </c>
      <c r="R813" s="1">
        <f>IF(Table1[[#This Row],[Round]]="PI",0,Table1[[#This Row],[Round]]-1)</f>
        <v>2</v>
      </c>
      <c r="S813">
        <f>Table1[[#This Row],[LAW]]-Table1[[#This Row],[LEW]]</f>
        <v>-1.3263888888888888</v>
      </c>
    </row>
    <row r="814" spans="1:19" x14ac:dyDescent="0.25">
      <c r="A814" s="66">
        <v>35511</v>
      </c>
      <c r="B814" s="51">
        <f>YEAR(Table1[[#This Row],[Date]])</f>
        <v>1997</v>
      </c>
      <c r="C814" s="1">
        <v>4</v>
      </c>
      <c r="D814" t="s">
        <v>439</v>
      </c>
      <c r="E814" s="1">
        <v>1</v>
      </c>
      <c r="F814" t="s">
        <v>274</v>
      </c>
      <c r="G814" t="str">
        <f>VLOOKUP(Table1[[#This Row],[Winner]],Ranking!C:D,2,FALSE)</f>
        <v>B10</v>
      </c>
      <c r="H814" s="1">
        <v>80</v>
      </c>
      <c r="I814" s="1">
        <v>2</v>
      </c>
      <c r="J814" t="s">
        <v>67</v>
      </c>
      <c r="K814" t="str">
        <f>VLOOKUP(Table1[[#This Row],[Loser]],Ranking!C:D,2,FALSE)</f>
        <v>P12</v>
      </c>
      <c r="L814" s="1">
        <v>72</v>
      </c>
      <c r="N814" s="1">
        <f>Table1[[#This Row],[Winning Score]]-Table1[[#This Row],[Losing Score]]</f>
        <v>8</v>
      </c>
      <c r="O814" s="1">
        <f>Table1[[#This Row],[Losing Seed]]-Table1[[#This Row],[Winning Seed]]</f>
        <v>1</v>
      </c>
      <c r="P814" s="1" t="str">
        <f>IF(Table1[[#This Row],[SeD]]&lt;-2,Table1[[#This Row],[Winning Seed]]&amp; " over " &amp;Table1[[#This Row],[Losing Seed]],"")</f>
        <v/>
      </c>
      <c r="Q814">
        <f>VLOOKUP(Table1[[#This Row],[Losing Seed]],'Seed History'!$N$4:$O$19,2)</f>
        <v>2.3472222222222223</v>
      </c>
      <c r="R814" s="1">
        <f>IF(Table1[[#This Row],[Round]]="PI",0,Table1[[#This Row],[Round]]-1)</f>
        <v>3</v>
      </c>
      <c r="S814">
        <f>Table1[[#This Row],[LAW]]-Table1[[#This Row],[LEW]]</f>
        <v>0.65277777777777768</v>
      </c>
    </row>
    <row r="815" spans="1:19" x14ac:dyDescent="0.25">
      <c r="A815" s="66">
        <v>35511</v>
      </c>
      <c r="B815" s="51">
        <f>YEAR(Table1[[#This Row],[Date]])</f>
        <v>1997</v>
      </c>
      <c r="C815" s="1">
        <v>4</v>
      </c>
      <c r="D815" t="s">
        <v>38</v>
      </c>
      <c r="E815" s="1">
        <v>1</v>
      </c>
      <c r="F815" t="s">
        <v>26</v>
      </c>
      <c r="G815" t="str">
        <f>VLOOKUP(Table1[[#This Row],[Winner]],Ranking!C:D,2,FALSE)</f>
        <v>SEC</v>
      </c>
      <c r="H815" s="1">
        <v>72</v>
      </c>
      <c r="I815" s="1">
        <v>2</v>
      </c>
      <c r="J815" t="s">
        <v>65</v>
      </c>
      <c r="K815" t="str">
        <f>VLOOKUP(Table1[[#This Row],[Loser]],Ranking!C:D,2,FALSE)</f>
        <v>P12</v>
      </c>
      <c r="L815" s="1">
        <v>59</v>
      </c>
      <c r="N815" s="1">
        <f>Table1[[#This Row],[Winning Score]]-Table1[[#This Row],[Losing Score]]</f>
        <v>13</v>
      </c>
      <c r="O815" s="1">
        <f>Table1[[#This Row],[Losing Seed]]-Table1[[#This Row],[Winning Seed]]</f>
        <v>1</v>
      </c>
      <c r="P815" s="1" t="str">
        <f>IF(Table1[[#This Row],[SeD]]&lt;-2,Table1[[#This Row],[Winning Seed]]&amp; " over " &amp;Table1[[#This Row],[Losing Seed]],"")</f>
        <v/>
      </c>
      <c r="Q815">
        <f>VLOOKUP(Table1[[#This Row],[Losing Seed]],'Seed History'!$N$4:$O$19,2)</f>
        <v>2.3472222222222223</v>
      </c>
      <c r="R815" s="1">
        <f>IF(Table1[[#This Row],[Round]]="PI",0,Table1[[#This Row],[Round]]-1)</f>
        <v>3</v>
      </c>
      <c r="S815">
        <f>Table1[[#This Row],[LAW]]-Table1[[#This Row],[LEW]]</f>
        <v>0.65277777777777768</v>
      </c>
    </row>
    <row r="816" spans="1:19" x14ac:dyDescent="0.25">
      <c r="A816" s="66">
        <v>35512</v>
      </c>
      <c r="B816" s="51">
        <f>YEAR(Table1[[#This Row],[Date]])</f>
        <v>1997</v>
      </c>
      <c r="C816" s="1">
        <v>4</v>
      </c>
      <c r="D816" t="s">
        <v>49</v>
      </c>
      <c r="E816" s="1">
        <v>1</v>
      </c>
      <c r="F816" t="s">
        <v>298</v>
      </c>
      <c r="G816" t="str">
        <f>VLOOKUP(Table1[[#This Row],[Winner]],Ranking!C:D,2,FALSE)</f>
        <v>ACC</v>
      </c>
      <c r="H816" s="1">
        <v>97</v>
      </c>
      <c r="I816" s="1">
        <v>6</v>
      </c>
      <c r="J816" t="s">
        <v>54</v>
      </c>
      <c r="K816" t="str">
        <f>VLOOKUP(Table1[[#This Row],[Loser]],Ranking!C:D,2,FALSE)</f>
        <v>ACC</v>
      </c>
      <c r="L816" s="1">
        <v>74</v>
      </c>
      <c r="N816" s="1">
        <f>Table1[[#This Row],[Winning Score]]-Table1[[#This Row],[Losing Score]]</f>
        <v>23</v>
      </c>
      <c r="O816" s="1">
        <f>Table1[[#This Row],[Losing Seed]]-Table1[[#This Row],[Winning Seed]]</f>
        <v>5</v>
      </c>
      <c r="P816" s="1" t="str">
        <f>IF(Table1[[#This Row],[SeD]]&lt;-2,Table1[[#This Row],[Winning Seed]]&amp; " over " &amp;Table1[[#This Row],[Losing Seed]],"")</f>
        <v/>
      </c>
      <c r="Q816">
        <f>VLOOKUP(Table1[[#This Row],[Losing Seed]],'Seed History'!$N$4:$O$19,2)</f>
        <v>1.0625</v>
      </c>
      <c r="R816" s="1">
        <f>IF(Table1[[#This Row],[Round]]="PI",0,Table1[[#This Row],[Round]]-1)</f>
        <v>3</v>
      </c>
      <c r="S816">
        <f>Table1[[#This Row],[LAW]]-Table1[[#This Row],[LEW]]</f>
        <v>1.9375</v>
      </c>
    </row>
    <row r="817" spans="1:19" x14ac:dyDescent="0.25">
      <c r="A817" s="66">
        <v>35512</v>
      </c>
      <c r="B817" s="51">
        <f>YEAR(Table1[[#This Row],[Date]])</f>
        <v>1997</v>
      </c>
      <c r="C817" s="1">
        <v>4</v>
      </c>
      <c r="D817" t="s">
        <v>461</v>
      </c>
      <c r="E817" s="1">
        <v>4</v>
      </c>
      <c r="F817" t="s">
        <v>48</v>
      </c>
      <c r="G817" t="str">
        <f>VLOOKUP(Table1[[#This Row],[Winner]],Ranking!C:D,2,FALSE)</f>
        <v>P12</v>
      </c>
      <c r="H817" s="1">
        <v>96</v>
      </c>
      <c r="I817" s="1">
        <v>10</v>
      </c>
      <c r="J817" t="s">
        <v>56</v>
      </c>
      <c r="K817" t="str">
        <f>VLOOKUP(Table1[[#This Row],[Loser]],Ranking!C:D,2,FALSE)</f>
        <v>BE</v>
      </c>
      <c r="L817" s="1">
        <v>92</v>
      </c>
      <c r="M817" s="1" t="s">
        <v>462</v>
      </c>
      <c r="N817" s="1">
        <f>Table1[[#This Row],[Winning Score]]-Table1[[#This Row],[Losing Score]]</f>
        <v>4</v>
      </c>
      <c r="O817" s="1">
        <f>Table1[[#This Row],[Losing Seed]]-Table1[[#This Row],[Winning Seed]]</f>
        <v>6</v>
      </c>
      <c r="P817" s="1" t="str">
        <f>IF(Table1[[#This Row],[SeD]]&lt;-2,Table1[[#This Row],[Winning Seed]]&amp; " over " &amp;Table1[[#This Row],[Losing Seed]],"")</f>
        <v/>
      </c>
      <c r="Q817">
        <f>VLOOKUP(Table1[[#This Row],[Losing Seed]],'Seed History'!$N$4:$O$19,2)</f>
        <v>0.61805555555555558</v>
      </c>
      <c r="R817" s="1">
        <f>IF(Table1[[#This Row],[Round]]="PI",0,Table1[[#This Row],[Round]]-1)</f>
        <v>3</v>
      </c>
      <c r="S817">
        <f>Table1[[#This Row],[LAW]]-Table1[[#This Row],[LEW]]</f>
        <v>2.3819444444444446</v>
      </c>
    </row>
    <row r="818" spans="1:19" x14ac:dyDescent="0.25">
      <c r="A818" s="66">
        <v>35518</v>
      </c>
      <c r="B818" s="51">
        <f>YEAR(Table1[[#This Row],[Date]])</f>
        <v>1997</v>
      </c>
      <c r="C818" s="1">
        <v>5</v>
      </c>
      <c r="D818" t="s">
        <v>467</v>
      </c>
      <c r="E818" s="1">
        <v>1</v>
      </c>
      <c r="F818" t="s">
        <v>26</v>
      </c>
      <c r="G818" t="str">
        <f>VLOOKUP(Table1[[#This Row],[Winner]],Ranking!C:D,2,FALSE)</f>
        <v>SEC</v>
      </c>
      <c r="H818" s="1">
        <v>78</v>
      </c>
      <c r="I818" s="1">
        <v>1</v>
      </c>
      <c r="J818" t="s">
        <v>274</v>
      </c>
      <c r="K818" t="str">
        <f>VLOOKUP(Table1[[#This Row],[Loser]],Ranking!C:D,2,FALSE)</f>
        <v>B10</v>
      </c>
      <c r="L818" s="1">
        <v>69</v>
      </c>
      <c r="N818" s="1">
        <f>Table1[[#This Row],[Winning Score]]-Table1[[#This Row],[Losing Score]]</f>
        <v>9</v>
      </c>
      <c r="O818" s="1">
        <f>Table1[[#This Row],[Losing Seed]]-Table1[[#This Row],[Winning Seed]]</f>
        <v>0</v>
      </c>
      <c r="P818" s="1" t="str">
        <f>IF(Table1[[#This Row],[SeD]]&lt;-2,Table1[[#This Row],[Winning Seed]]&amp; " over " &amp;Table1[[#This Row],[Losing Seed]],"")</f>
        <v/>
      </c>
      <c r="Q818">
        <f>VLOOKUP(Table1[[#This Row],[Losing Seed]],'Seed History'!$N$4:$O$19,2)</f>
        <v>3.3263888888888888</v>
      </c>
      <c r="R818" s="1">
        <f>IF(Table1[[#This Row],[Round]]="PI",0,Table1[[#This Row],[Round]]-1)</f>
        <v>4</v>
      </c>
      <c r="S818">
        <f>Table1[[#This Row],[LAW]]-Table1[[#This Row],[LEW]]</f>
        <v>0.67361111111111116</v>
      </c>
    </row>
    <row r="819" spans="1:19" x14ac:dyDescent="0.25">
      <c r="A819" s="66">
        <v>35518</v>
      </c>
      <c r="B819" s="51">
        <f>YEAR(Table1[[#This Row],[Date]])</f>
        <v>1997</v>
      </c>
      <c r="C819" s="1">
        <v>5</v>
      </c>
      <c r="D819" t="s">
        <v>467</v>
      </c>
      <c r="E819" s="1">
        <v>4</v>
      </c>
      <c r="F819" t="s">
        <v>48</v>
      </c>
      <c r="G819" t="str">
        <f>VLOOKUP(Table1[[#This Row],[Winner]],Ranking!C:D,2,FALSE)</f>
        <v>P12</v>
      </c>
      <c r="H819" s="1">
        <v>66</v>
      </c>
      <c r="I819" s="1">
        <v>1</v>
      </c>
      <c r="J819" t="s">
        <v>298</v>
      </c>
      <c r="K819" t="str">
        <f>VLOOKUP(Table1[[#This Row],[Loser]],Ranking!C:D,2,FALSE)</f>
        <v>ACC</v>
      </c>
      <c r="L819" s="1">
        <v>58</v>
      </c>
      <c r="N819" s="1">
        <f>Table1[[#This Row],[Winning Score]]-Table1[[#This Row],[Losing Score]]</f>
        <v>8</v>
      </c>
      <c r="O819" s="1">
        <f>Table1[[#This Row],[Losing Seed]]-Table1[[#This Row],[Winning Seed]]</f>
        <v>-3</v>
      </c>
      <c r="P819" s="1" t="str">
        <f>IF(Table1[[#This Row],[SeD]]&lt;-2,Table1[[#This Row],[Winning Seed]]&amp; " over " &amp;Table1[[#This Row],[Losing Seed]],"")</f>
        <v>4 over 1</v>
      </c>
      <c r="Q819">
        <f>VLOOKUP(Table1[[#This Row],[Losing Seed]],'Seed History'!$N$4:$O$19,2)</f>
        <v>3.3263888888888888</v>
      </c>
      <c r="R819" s="1">
        <f>IF(Table1[[#This Row],[Round]]="PI",0,Table1[[#This Row],[Round]]-1)</f>
        <v>4</v>
      </c>
      <c r="S819">
        <f>Table1[[#This Row],[LAW]]-Table1[[#This Row],[LEW]]</f>
        <v>0.67361111111111116</v>
      </c>
    </row>
    <row r="820" spans="1:19" x14ac:dyDescent="0.25">
      <c r="A820" s="66">
        <v>35520</v>
      </c>
      <c r="B820" s="51">
        <f>YEAR(Table1[[#This Row],[Date]])</f>
        <v>1997</v>
      </c>
      <c r="C820" s="1">
        <v>6</v>
      </c>
      <c r="D820" t="s">
        <v>468</v>
      </c>
      <c r="E820" s="1">
        <v>4</v>
      </c>
      <c r="F820" t="s">
        <v>48</v>
      </c>
      <c r="G820" t="str">
        <f>VLOOKUP(Table1[[#This Row],[Winner]],Ranking!C:D,2,FALSE)</f>
        <v>P12</v>
      </c>
      <c r="H820" s="1">
        <v>84</v>
      </c>
      <c r="I820" s="1">
        <v>1</v>
      </c>
      <c r="J820" t="s">
        <v>26</v>
      </c>
      <c r="K820" t="str">
        <f>VLOOKUP(Table1[[#This Row],[Loser]],Ranking!C:D,2,FALSE)</f>
        <v>SEC</v>
      </c>
      <c r="L820" s="1">
        <v>79</v>
      </c>
      <c r="M820" s="1" t="s">
        <v>462</v>
      </c>
      <c r="N820" s="1">
        <f>Table1[[#This Row],[Winning Score]]-Table1[[#This Row],[Losing Score]]</f>
        <v>5</v>
      </c>
      <c r="O820" s="1">
        <f>Table1[[#This Row],[Losing Seed]]-Table1[[#This Row],[Winning Seed]]</f>
        <v>-3</v>
      </c>
      <c r="P820" s="1" t="str">
        <f>IF(Table1[[#This Row],[SeD]]&lt;-2,Table1[[#This Row],[Winning Seed]]&amp; " over " &amp;Table1[[#This Row],[Losing Seed]],"")</f>
        <v>4 over 1</v>
      </c>
      <c r="Q820">
        <f>VLOOKUP(Table1[[#This Row],[Losing Seed]],'Seed History'!$N$4:$O$19,2)</f>
        <v>3.3263888888888888</v>
      </c>
      <c r="R820" s="1">
        <f>IF(Table1[[#This Row],[Round]]="PI",0,Table1[[#This Row],[Round]]-1)</f>
        <v>5</v>
      </c>
      <c r="S820">
        <f>Table1[[#This Row],[LAW]]-Table1[[#This Row],[LEW]]</f>
        <v>1.6736111111111112</v>
      </c>
    </row>
    <row r="821" spans="1:19" x14ac:dyDescent="0.25">
      <c r="A821" s="66">
        <v>35866</v>
      </c>
      <c r="B821" s="51">
        <f>YEAR(Table1[[#This Row],[Date]])</f>
        <v>1998</v>
      </c>
      <c r="C821" s="1">
        <v>1</v>
      </c>
      <c r="D821" t="s">
        <v>49</v>
      </c>
      <c r="E821" s="1">
        <v>14</v>
      </c>
      <c r="F821" t="s">
        <v>331</v>
      </c>
      <c r="G821" t="str">
        <f>VLOOKUP(Table1[[#This Row],[Winner]],Ranking!C:D,2,FALSE)</f>
        <v>A10</v>
      </c>
      <c r="H821" s="1">
        <v>62</v>
      </c>
      <c r="I821" s="1">
        <v>3</v>
      </c>
      <c r="J821" t="s">
        <v>354</v>
      </c>
      <c r="K821" t="str">
        <f>VLOOKUP(Table1[[#This Row],[Loser]],Ranking!C:D,2,FALSE)</f>
        <v>SEC</v>
      </c>
      <c r="L821" s="1">
        <v>61</v>
      </c>
      <c r="N821" s="1">
        <f>Table1[[#This Row],[Winning Score]]-Table1[[#This Row],[Losing Score]]</f>
        <v>1</v>
      </c>
      <c r="O821" s="1">
        <f>Table1[[#This Row],[Losing Seed]]-Table1[[#This Row],[Winning Seed]]</f>
        <v>-11</v>
      </c>
      <c r="P821" s="1" t="str">
        <f>IF(Table1[[#This Row],[SeD]]&lt;-2,Table1[[#This Row],[Winning Seed]]&amp; " over " &amp;Table1[[#This Row],[Losing Seed]],"")</f>
        <v>14 over 3</v>
      </c>
      <c r="Q821">
        <f>VLOOKUP(Table1[[#This Row],[Losing Seed]],'Seed History'!$N$4:$O$19,2)</f>
        <v>1.8472222222222223</v>
      </c>
      <c r="R821" s="1">
        <f>IF(Table1[[#This Row],[Round]]="PI",0,Table1[[#This Row],[Round]]-1)</f>
        <v>0</v>
      </c>
      <c r="S821">
        <f>Table1[[#This Row],[LAW]]-Table1[[#This Row],[LEW]]</f>
        <v>-1.8472222222222223</v>
      </c>
    </row>
    <row r="822" spans="1:19" x14ac:dyDescent="0.25">
      <c r="A822" s="66">
        <v>35866</v>
      </c>
      <c r="B822" s="51">
        <f>YEAR(Table1[[#This Row],[Date]])</f>
        <v>1998</v>
      </c>
      <c r="C822" s="1">
        <v>1</v>
      </c>
      <c r="D822" t="s">
        <v>49</v>
      </c>
      <c r="E822" s="1">
        <v>11</v>
      </c>
      <c r="F822" t="s">
        <v>409</v>
      </c>
      <c r="G822" t="str">
        <f>VLOOKUP(Table1[[#This Row],[Winner]],Ranking!C:D,2,FALSE)</f>
        <v>P12</v>
      </c>
      <c r="H822" s="1">
        <v>69</v>
      </c>
      <c r="I822" s="1">
        <v>6</v>
      </c>
      <c r="J822" t="s">
        <v>44</v>
      </c>
      <c r="K822" t="str">
        <f>VLOOKUP(Table1[[#This Row],[Loser]],Ranking!C:D,2,FALSE)</f>
        <v>BE</v>
      </c>
      <c r="L822" s="1">
        <v>68</v>
      </c>
      <c r="N822" s="1">
        <f>Table1[[#This Row],[Winning Score]]-Table1[[#This Row],[Losing Score]]</f>
        <v>1</v>
      </c>
      <c r="O822" s="1">
        <f>Table1[[#This Row],[Losing Seed]]-Table1[[#This Row],[Winning Seed]]</f>
        <v>-5</v>
      </c>
      <c r="P822" s="1" t="str">
        <f>IF(Table1[[#This Row],[SeD]]&lt;-2,Table1[[#This Row],[Winning Seed]]&amp; " over " &amp;Table1[[#This Row],[Losing Seed]],"")</f>
        <v>11 over 6</v>
      </c>
      <c r="Q822">
        <f>VLOOKUP(Table1[[#This Row],[Losing Seed]],'Seed History'!$N$4:$O$19,2)</f>
        <v>1.0625</v>
      </c>
      <c r="R822" s="1">
        <f>IF(Table1[[#This Row],[Round]]="PI",0,Table1[[#This Row],[Round]]-1)</f>
        <v>0</v>
      </c>
      <c r="S822">
        <f>Table1[[#This Row],[LAW]]-Table1[[#This Row],[LEW]]</f>
        <v>-1.0625</v>
      </c>
    </row>
    <row r="823" spans="1:19" x14ac:dyDescent="0.25">
      <c r="A823" s="66">
        <v>35866</v>
      </c>
      <c r="B823" s="51">
        <f>YEAR(Table1[[#This Row],[Date]])</f>
        <v>1998</v>
      </c>
      <c r="C823" s="1">
        <v>1</v>
      </c>
      <c r="D823" t="s">
        <v>49</v>
      </c>
      <c r="E823" s="1">
        <v>1</v>
      </c>
      <c r="F823" t="s">
        <v>298</v>
      </c>
      <c r="G823" t="str">
        <f>VLOOKUP(Table1[[#This Row],[Winner]],Ranking!C:D,2,FALSE)</f>
        <v>ACC</v>
      </c>
      <c r="H823" s="1">
        <v>88</v>
      </c>
      <c r="I823" s="1">
        <v>16</v>
      </c>
      <c r="J823" t="s">
        <v>286</v>
      </c>
      <c r="K823" t="str">
        <f>VLOOKUP(Table1[[#This Row],[Loser]],Ranking!C:D,2,FALSE)</f>
        <v>Pat</v>
      </c>
      <c r="L823" s="1">
        <v>52</v>
      </c>
      <c r="N823" s="1">
        <f>Table1[[#This Row],[Winning Score]]-Table1[[#This Row],[Losing Score]]</f>
        <v>36</v>
      </c>
      <c r="O823" s="1">
        <f>Table1[[#This Row],[Losing Seed]]-Table1[[#This Row],[Winning Seed]]</f>
        <v>15</v>
      </c>
      <c r="P823" s="1" t="str">
        <f>IF(Table1[[#This Row],[SeD]]&lt;-2,Table1[[#This Row],[Winning Seed]]&amp; " over " &amp;Table1[[#This Row],[Losing Seed]],"")</f>
        <v/>
      </c>
      <c r="Q823">
        <f>VLOOKUP(Table1[[#This Row],[Losing Seed]],'Seed History'!$N$4:$O$19,2)</f>
        <v>6.9444444444444441E-3</v>
      </c>
      <c r="R823" s="1">
        <f>IF(Table1[[#This Row],[Round]]="PI",0,Table1[[#This Row],[Round]]-1)</f>
        <v>0</v>
      </c>
      <c r="S823">
        <f>Table1[[#This Row],[LAW]]-Table1[[#This Row],[LEW]]</f>
        <v>-6.9444444444444441E-3</v>
      </c>
    </row>
    <row r="824" spans="1:19" x14ac:dyDescent="0.25">
      <c r="A824" s="66">
        <v>35866</v>
      </c>
      <c r="B824" s="51">
        <f>YEAR(Table1[[#This Row],[Date]])</f>
        <v>1998</v>
      </c>
      <c r="C824" s="1">
        <v>1</v>
      </c>
      <c r="D824" t="s">
        <v>49</v>
      </c>
      <c r="E824" s="1">
        <v>2</v>
      </c>
      <c r="F824" t="s">
        <v>80</v>
      </c>
      <c r="G824" t="str">
        <f>VLOOKUP(Table1[[#This Row],[Winner]],Ranking!C:D,2,FALSE)</f>
        <v>BE</v>
      </c>
      <c r="H824" s="1">
        <v>93</v>
      </c>
      <c r="I824" s="1">
        <v>15</v>
      </c>
      <c r="J824" t="s">
        <v>201</v>
      </c>
      <c r="K824" t="str">
        <f>VLOOKUP(Table1[[#This Row],[Loser]],Ranking!C:D,2,FALSE)</f>
        <v>NEC</v>
      </c>
      <c r="L824" s="1">
        <v>85</v>
      </c>
      <c r="N824" s="1">
        <f>Table1[[#This Row],[Winning Score]]-Table1[[#This Row],[Losing Score]]</f>
        <v>8</v>
      </c>
      <c r="O824" s="1">
        <f>Table1[[#This Row],[Losing Seed]]-Table1[[#This Row],[Winning Seed]]</f>
        <v>13</v>
      </c>
      <c r="P824" s="1" t="str">
        <f>IF(Table1[[#This Row],[SeD]]&lt;-2,Table1[[#This Row],[Winning Seed]]&amp; " over " &amp;Table1[[#This Row],[Losing Seed]],"")</f>
        <v/>
      </c>
      <c r="Q824">
        <f>VLOOKUP(Table1[[#This Row],[Losing Seed]],'Seed History'!$N$4:$O$19,2)</f>
        <v>7.6388888888888895E-2</v>
      </c>
      <c r="R824" s="1">
        <f>IF(Table1[[#This Row],[Round]]="PI",0,Table1[[#This Row],[Round]]-1)</f>
        <v>0</v>
      </c>
      <c r="S824">
        <f>Table1[[#This Row],[LAW]]-Table1[[#This Row],[LEW]]</f>
        <v>-7.6388888888888895E-2</v>
      </c>
    </row>
    <row r="825" spans="1:19" x14ac:dyDescent="0.25">
      <c r="A825" s="66">
        <v>35866</v>
      </c>
      <c r="B825" s="51">
        <f>YEAR(Table1[[#This Row],[Date]])</f>
        <v>1998</v>
      </c>
      <c r="C825" s="1">
        <v>1</v>
      </c>
      <c r="D825" t="s">
        <v>49</v>
      </c>
      <c r="E825" s="1">
        <v>4</v>
      </c>
      <c r="F825" t="s">
        <v>271</v>
      </c>
      <c r="G825" t="str">
        <f>VLOOKUP(Table1[[#This Row],[Winner]],Ranking!C:D,2,FALSE)</f>
        <v>B10</v>
      </c>
      <c r="H825" s="1">
        <v>83</v>
      </c>
      <c r="I825" s="1">
        <v>13</v>
      </c>
      <c r="J825" t="s">
        <v>195</v>
      </c>
      <c r="K825" t="str">
        <f>VLOOKUP(Table1[[#This Row],[Loser]],Ranking!C:D,2,FALSE)</f>
        <v>MAC</v>
      </c>
      <c r="L825" s="1">
        <v>71</v>
      </c>
      <c r="N825" s="1">
        <f>Table1[[#This Row],[Winning Score]]-Table1[[#This Row],[Losing Score]]</f>
        <v>12</v>
      </c>
      <c r="O825" s="1">
        <f>Table1[[#This Row],[Losing Seed]]-Table1[[#This Row],[Winning Seed]]</f>
        <v>9</v>
      </c>
      <c r="P825" s="1" t="str">
        <f>IF(Table1[[#This Row],[SeD]]&lt;-2,Table1[[#This Row],[Winning Seed]]&amp; " over " &amp;Table1[[#This Row],[Losing Seed]],"")</f>
        <v/>
      </c>
      <c r="Q825">
        <f>VLOOKUP(Table1[[#This Row],[Losing Seed]],'Seed History'!$N$4:$O$19,2)</f>
        <v>0.25694444444444442</v>
      </c>
      <c r="R825" s="1">
        <f>IF(Table1[[#This Row],[Round]]="PI",0,Table1[[#This Row],[Round]]-1)</f>
        <v>0</v>
      </c>
      <c r="S825">
        <f>Table1[[#This Row],[LAW]]-Table1[[#This Row],[LEW]]</f>
        <v>-0.25694444444444442</v>
      </c>
    </row>
    <row r="826" spans="1:19" x14ac:dyDescent="0.25">
      <c r="A826" s="66">
        <v>35866</v>
      </c>
      <c r="B826" s="51">
        <f>YEAR(Table1[[#This Row],[Date]])</f>
        <v>1998</v>
      </c>
      <c r="C826" s="1">
        <v>1</v>
      </c>
      <c r="D826" t="s">
        <v>49</v>
      </c>
      <c r="E826" s="1">
        <v>5</v>
      </c>
      <c r="F826" t="s">
        <v>91</v>
      </c>
      <c r="G826" t="str">
        <f>VLOOKUP(Table1[[#This Row],[Winner]],Ranking!C:D,2,FALSE)</f>
        <v>Ivy</v>
      </c>
      <c r="H826" s="1">
        <v>69</v>
      </c>
      <c r="I826" s="1">
        <v>12</v>
      </c>
      <c r="J826" t="s">
        <v>396</v>
      </c>
      <c r="K826" t="str">
        <f>VLOOKUP(Table1[[#This Row],[Loser]],Ranking!C:D,2,FALSE)</f>
        <v>MWC</v>
      </c>
      <c r="L826" s="1">
        <v>57</v>
      </c>
      <c r="N826" s="1">
        <f>Table1[[#This Row],[Winning Score]]-Table1[[#This Row],[Losing Score]]</f>
        <v>12</v>
      </c>
      <c r="O826" s="1">
        <f>Table1[[#This Row],[Losing Seed]]-Table1[[#This Row],[Winning Seed]]</f>
        <v>7</v>
      </c>
      <c r="P826" s="1" t="str">
        <f>IF(Table1[[#This Row],[SeD]]&lt;-2,Table1[[#This Row],[Winning Seed]]&amp; " over " &amp;Table1[[#This Row],[Losing Seed]],"")</f>
        <v/>
      </c>
      <c r="Q826">
        <f>VLOOKUP(Table1[[#This Row],[Losing Seed]],'Seed History'!$N$4:$O$19,2)</f>
        <v>0.52083333333333337</v>
      </c>
      <c r="R826" s="1">
        <f>IF(Table1[[#This Row],[Round]]="PI",0,Table1[[#This Row],[Round]]-1)</f>
        <v>0</v>
      </c>
      <c r="S826">
        <f>Table1[[#This Row],[LAW]]-Table1[[#This Row],[LEW]]</f>
        <v>-0.52083333333333337</v>
      </c>
    </row>
    <row r="827" spans="1:19" x14ac:dyDescent="0.25">
      <c r="A827" s="66">
        <v>35866</v>
      </c>
      <c r="B827" s="51">
        <f>YEAR(Table1[[#This Row],[Date]])</f>
        <v>1998</v>
      </c>
      <c r="C827" s="1">
        <v>1</v>
      </c>
      <c r="D827" t="s">
        <v>49</v>
      </c>
      <c r="E827" s="1">
        <v>7</v>
      </c>
      <c r="F827" t="s">
        <v>36</v>
      </c>
      <c r="G827" t="str">
        <f>VLOOKUP(Table1[[#This Row],[Winner]],Ranking!C:D,2,FALSE)</f>
        <v>B10</v>
      </c>
      <c r="H827" s="1">
        <v>94</v>
      </c>
      <c r="I827" s="1">
        <v>10</v>
      </c>
      <c r="J827" t="s">
        <v>58</v>
      </c>
      <c r="K827" t="str">
        <f>VLOOKUP(Table1[[#This Row],[Loser]],Ranking!C:D,2,FALSE)</f>
        <v>B12</v>
      </c>
      <c r="L827" s="1">
        <v>87</v>
      </c>
      <c r="M827" s="1" t="s">
        <v>462</v>
      </c>
      <c r="N827" s="1">
        <f>Table1[[#This Row],[Winning Score]]-Table1[[#This Row],[Losing Score]]</f>
        <v>7</v>
      </c>
      <c r="O827" s="1">
        <f>Table1[[#This Row],[Losing Seed]]-Table1[[#This Row],[Winning Seed]]</f>
        <v>3</v>
      </c>
      <c r="P827" s="1" t="str">
        <f>IF(Table1[[#This Row],[SeD]]&lt;-2,Table1[[#This Row],[Winning Seed]]&amp; " over " &amp;Table1[[#This Row],[Losing Seed]],"")</f>
        <v/>
      </c>
      <c r="Q827">
        <f>VLOOKUP(Table1[[#This Row],[Losing Seed]],'Seed History'!$N$4:$O$19,2)</f>
        <v>0.61805555555555558</v>
      </c>
      <c r="R827" s="1">
        <f>IF(Table1[[#This Row],[Round]]="PI",0,Table1[[#This Row],[Round]]-1)</f>
        <v>0</v>
      </c>
      <c r="S827">
        <f>Table1[[#This Row],[LAW]]-Table1[[#This Row],[LEW]]</f>
        <v>-0.61805555555555558</v>
      </c>
    </row>
    <row r="828" spans="1:19" x14ac:dyDescent="0.25">
      <c r="A828" s="66">
        <v>35866</v>
      </c>
      <c r="B828" s="51">
        <f>YEAR(Table1[[#This Row],[Date]])</f>
        <v>1998</v>
      </c>
      <c r="C828" s="1">
        <v>1</v>
      </c>
      <c r="D828" t="s">
        <v>49</v>
      </c>
      <c r="E828" s="1">
        <v>8</v>
      </c>
      <c r="F828" t="s">
        <v>165</v>
      </c>
      <c r="G828" t="str">
        <f>VLOOKUP(Table1[[#This Row],[Winner]],Ranking!C:D,2,FALSE)</f>
        <v>CUSA</v>
      </c>
      <c r="H828" s="1">
        <v>77</v>
      </c>
      <c r="I828" s="1">
        <v>9</v>
      </c>
      <c r="J828" t="s">
        <v>232</v>
      </c>
      <c r="K828" t="str">
        <f>VLOOKUP(Table1[[#This Row],[Loser]],Ranking!C:D,2,FALSE)</f>
        <v>Horz</v>
      </c>
      <c r="L828" s="1">
        <v>62</v>
      </c>
      <c r="N828" s="1">
        <f>Table1[[#This Row],[Winning Score]]-Table1[[#This Row],[Losing Score]]</f>
        <v>15</v>
      </c>
      <c r="O828" s="1">
        <f>Table1[[#This Row],[Losing Seed]]-Table1[[#This Row],[Winning Seed]]</f>
        <v>1</v>
      </c>
      <c r="P828" s="1" t="str">
        <f>IF(Table1[[#This Row],[SeD]]&lt;-2,Table1[[#This Row],[Winning Seed]]&amp; " over " &amp;Table1[[#This Row],[Losing Seed]],"")</f>
        <v/>
      </c>
      <c r="Q828">
        <f>VLOOKUP(Table1[[#This Row],[Losing Seed]],'Seed History'!$N$4:$O$19,2)</f>
        <v>0.59027777777777779</v>
      </c>
      <c r="R828" s="1">
        <f>IF(Table1[[#This Row],[Round]]="PI",0,Table1[[#This Row],[Round]]-1)</f>
        <v>0</v>
      </c>
      <c r="S828">
        <f>Table1[[#This Row],[LAW]]-Table1[[#This Row],[LEW]]</f>
        <v>-0.59027777777777779</v>
      </c>
    </row>
    <row r="829" spans="1:19" x14ac:dyDescent="0.25">
      <c r="A829" s="66">
        <v>35866</v>
      </c>
      <c r="B829" s="51">
        <f>YEAR(Table1[[#This Row],[Date]])</f>
        <v>1998</v>
      </c>
      <c r="C829" s="1">
        <v>1</v>
      </c>
      <c r="D829" t="s">
        <v>38</v>
      </c>
      <c r="E829" s="1">
        <v>1</v>
      </c>
      <c r="F829" t="s">
        <v>48</v>
      </c>
      <c r="G829" t="str">
        <f>VLOOKUP(Table1[[#This Row],[Winner]],Ranking!C:D,2,FALSE)</f>
        <v>P12</v>
      </c>
      <c r="H829" s="1">
        <v>99</v>
      </c>
      <c r="I829" s="1">
        <v>16</v>
      </c>
      <c r="J829" t="s">
        <v>295</v>
      </c>
      <c r="K829" t="str">
        <f>VLOOKUP(Table1[[#This Row],[Loser]],Ranking!C:D,2,FALSE)</f>
        <v>Slnd</v>
      </c>
      <c r="L829" s="1">
        <v>60</v>
      </c>
      <c r="N829" s="1">
        <f>Table1[[#This Row],[Winning Score]]-Table1[[#This Row],[Losing Score]]</f>
        <v>39</v>
      </c>
      <c r="O829" s="1">
        <f>Table1[[#This Row],[Losing Seed]]-Table1[[#This Row],[Winning Seed]]</f>
        <v>15</v>
      </c>
      <c r="P829" s="1" t="str">
        <f>IF(Table1[[#This Row],[SeD]]&lt;-2,Table1[[#This Row],[Winning Seed]]&amp; " over " &amp;Table1[[#This Row],[Losing Seed]],"")</f>
        <v/>
      </c>
      <c r="Q829">
        <f>VLOOKUP(Table1[[#This Row],[Losing Seed]],'Seed History'!$N$4:$O$19,2)</f>
        <v>6.9444444444444441E-3</v>
      </c>
      <c r="R829" s="1">
        <f>IF(Table1[[#This Row],[Round]]="PI",0,Table1[[#This Row],[Round]]-1)</f>
        <v>0</v>
      </c>
      <c r="S829">
        <f>Table1[[#This Row],[LAW]]-Table1[[#This Row],[LEW]]</f>
        <v>-6.9444444444444441E-3</v>
      </c>
    </row>
    <row r="830" spans="1:19" x14ac:dyDescent="0.25">
      <c r="A830" s="66">
        <v>35866</v>
      </c>
      <c r="B830" s="51">
        <f>YEAR(Table1[[#This Row],[Date]])</f>
        <v>1998</v>
      </c>
      <c r="C830" s="1">
        <v>1</v>
      </c>
      <c r="D830" t="s">
        <v>38</v>
      </c>
      <c r="E830" s="1">
        <v>2</v>
      </c>
      <c r="F830" t="s">
        <v>28</v>
      </c>
      <c r="G830" t="str">
        <f>VLOOKUP(Table1[[#This Row],[Winner]],Ranking!C:D,2,FALSE)</f>
        <v>Amer</v>
      </c>
      <c r="H830" s="1">
        <v>65</v>
      </c>
      <c r="I830" s="1">
        <v>15</v>
      </c>
      <c r="J830" t="s">
        <v>307</v>
      </c>
      <c r="K830" t="str">
        <f>VLOOKUP(Table1[[#This Row],[Loser]],Ranking!C:D,2,FALSE)</f>
        <v>BSky</v>
      </c>
      <c r="L830" s="1">
        <v>62</v>
      </c>
      <c r="N830" s="1">
        <f>Table1[[#This Row],[Winning Score]]-Table1[[#This Row],[Losing Score]]</f>
        <v>3</v>
      </c>
      <c r="O830" s="1">
        <f>Table1[[#This Row],[Losing Seed]]-Table1[[#This Row],[Winning Seed]]</f>
        <v>13</v>
      </c>
      <c r="P830" s="1" t="str">
        <f>IF(Table1[[#This Row],[SeD]]&lt;-2,Table1[[#This Row],[Winning Seed]]&amp; " over " &amp;Table1[[#This Row],[Losing Seed]],"")</f>
        <v/>
      </c>
      <c r="Q830">
        <f>VLOOKUP(Table1[[#This Row],[Losing Seed]],'Seed History'!$N$4:$O$19,2)</f>
        <v>7.6388888888888895E-2</v>
      </c>
      <c r="R830" s="1">
        <f>IF(Table1[[#This Row],[Round]]="PI",0,Table1[[#This Row],[Round]]-1)</f>
        <v>0</v>
      </c>
      <c r="S830">
        <f>Table1[[#This Row],[LAW]]-Table1[[#This Row],[LEW]]</f>
        <v>-7.6388888888888895E-2</v>
      </c>
    </row>
    <row r="831" spans="1:19" x14ac:dyDescent="0.25">
      <c r="A831" s="66">
        <v>35866</v>
      </c>
      <c r="B831" s="51">
        <f>YEAR(Table1[[#This Row],[Date]])</f>
        <v>1998</v>
      </c>
      <c r="C831" s="1">
        <v>1</v>
      </c>
      <c r="D831" t="s">
        <v>38</v>
      </c>
      <c r="E831" s="1">
        <v>3</v>
      </c>
      <c r="F831" t="s">
        <v>65</v>
      </c>
      <c r="G831" t="str">
        <f>VLOOKUP(Table1[[#This Row],[Winner]],Ranking!C:D,2,FALSE)</f>
        <v>P12</v>
      </c>
      <c r="H831" s="1">
        <v>85</v>
      </c>
      <c r="I831" s="1">
        <v>14</v>
      </c>
      <c r="J831" t="s">
        <v>345</v>
      </c>
      <c r="K831" t="str">
        <f>VLOOKUP(Table1[[#This Row],[Loser]],Ranking!C:D,2,FALSE)</f>
        <v>WCC</v>
      </c>
      <c r="L831" s="1">
        <v>68</v>
      </c>
      <c r="N831" s="1">
        <f>Table1[[#This Row],[Winning Score]]-Table1[[#This Row],[Losing Score]]</f>
        <v>17</v>
      </c>
      <c r="O831" s="1">
        <f>Table1[[#This Row],[Losing Seed]]-Table1[[#This Row],[Winning Seed]]</f>
        <v>11</v>
      </c>
      <c r="P831" s="1" t="str">
        <f>IF(Table1[[#This Row],[SeD]]&lt;-2,Table1[[#This Row],[Winning Seed]]&amp; " over " &amp;Table1[[#This Row],[Losing Seed]],"")</f>
        <v/>
      </c>
      <c r="Q831">
        <f>VLOOKUP(Table1[[#This Row],[Losing Seed]],'Seed History'!$N$4:$O$19,2)</f>
        <v>0.16666666666666666</v>
      </c>
      <c r="R831" s="1">
        <f>IF(Table1[[#This Row],[Round]]="PI",0,Table1[[#This Row],[Round]]-1)</f>
        <v>0</v>
      </c>
      <c r="S831">
        <f>Table1[[#This Row],[LAW]]-Table1[[#This Row],[LEW]]</f>
        <v>-0.16666666666666666</v>
      </c>
    </row>
    <row r="832" spans="1:19" x14ac:dyDescent="0.25">
      <c r="A832" s="66">
        <v>35866</v>
      </c>
      <c r="B832" s="51">
        <f>YEAR(Table1[[#This Row],[Date]])</f>
        <v>1998</v>
      </c>
      <c r="C832" s="1">
        <v>1</v>
      </c>
      <c r="D832" t="s">
        <v>38</v>
      </c>
      <c r="E832" s="1">
        <v>4</v>
      </c>
      <c r="F832" t="s">
        <v>31</v>
      </c>
      <c r="G832" t="str">
        <f>VLOOKUP(Table1[[#This Row],[Winner]],Ranking!C:D,2,FALSE)</f>
        <v>B10</v>
      </c>
      <c r="H832" s="1">
        <v>82</v>
      </c>
      <c r="I832" s="1">
        <v>13</v>
      </c>
      <c r="J832" t="s">
        <v>400</v>
      </c>
      <c r="K832" t="str">
        <f>VLOOKUP(Table1[[#This Row],[Loser]],Ranking!C:D,2,FALSE)</f>
        <v>MWC</v>
      </c>
      <c r="L832" s="1">
        <v>68</v>
      </c>
      <c r="N832" s="1">
        <f>Table1[[#This Row],[Winning Score]]-Table1[[#This Row],[Losing Score]]</f>
        <v>14</v>
      </c>
      <c r="O832" s="1">
        <f>Table1[[#This Row],[Losing Seed]]-Table1[[#This Row],[Winning Seed]]</f>
        <v>9</v>
      </c>
      <c r="P832" s="1" t="str">
        <f>IF(Table1[[#This Row],[SeD]]&lt;-2,Table1[[#This Row],[Winning Seed]]&amp; " over " &amp;Table1[[#This Row],[Losing Seed]],"")</f>
        <v/>
      </c>
      <c r="Q832">
        <f>VLOOKUP(Table1[[#This Row],[Losing Seed]],'Seed History'!$N$4:$O$19,2)</f>
        <v>0.25694444444444442</v>
      </c>
      <c r="R832" s="1">
        <f>IF(Table1[[#This Row],[Round]]="PI",0,Table1[[#This Row],[Round]]-1)</f>
        <v>0</v>
      </c>
      <c r="S832">
        <f>Table1[[#This Row],[LAW]]-Table1[[#This Row],[LEW]]</f>
        <v>-0.25694444444444442</v>
      </c>
    </row>
    <row r="833" spans="1:19" x14ac:dyDescent="0.25">
      <c r="A833" s="66">
        <v>35866</v>
      </c>
      <c r="B833" s="51">
        <f>YEAR(Table1[[#This Row],[Date]])</f>
        <v>1998</v>
      </c>
      <c r="C833" s="1">
        <v>1</v>
      </c>
      <c r="D833" t="s">
        <v>38</v>
      </c>
      <c r="E833" s="1">
        <v>5</v>
      </c>
      <c r="F833" t="s">
        <v>230</v>
      </c>
      <c r="G833" t="str">
        <f>VLOOKUP(Table1[[#This Row],[Winner]],Ranking!C:D,2,FALSE)</f>
        <v>B10</v>
      </c>
      <c r="H833" s="1">
        <v>64</v>
      </c>
      <c r="I833" s="1">
        <v>12</v>
      </c>
      <c r="J833" t="s">
        <v>353</v>
      </c>
      <c r="K833" t="str">
        <f>VLOOKUP(Table1[[#This Row],[Loser]],Ranking!C:D,2,FALSE)</f>
        <v>SB</v>
      </c>
      <c r="L833" s="1">
        <v>51</v>
      </c>
      <c r="N833" s="1">
        <f>Table1[[#This Row],[Winning Score]]-Table1[[#This Row],[Losing Score]]</f>
        <v>13</v>
      </c>
      <c r="O833" s="1">
        <f>Table1[[#This Row],[Losing Seed]]-Table1[[#This Row],[Winning Seed]]</f>
        <v>7</v>
      </c>
      <c r="P833" s="1" t="str">
        <f>IF(Table1[[#This Row],[SeD]]&lt;-2,Table1[[#This Row],[Winning Seed]]&amp; " over " &amp;Table1[[#This Row],[Losing Seed]],"")</f>
        <v/>
      </c>
      <c r="Q833">
        <f>VLOOKUP(Table1[[#This Row],[Losing Seed]],'Seed History'!$N$4:$O$19,2)</f>
        <v>0.52083333333333337</v>
      </c>
      <c r="R833" s="1">
        <f>IF(Table1[[#This Row],[Round]]="PI",0,Table1[[#This Row],[Round]]-1)</f>
        <v>0</v>
      </c>
      <c r="S833">
        <f>Table1[[#This Row],[LAW]]-Table1[[#This Row],[LEW]]</f>
        <v>-0.52083333333333337</v>
      </c>
    </row>
    <row r="834" spans="1:19" x14ac:dyDescent="0.25">
      <c r="A834" s="66">
        <v>35866</v>
      </c>
      <c r="B834" s="51">
        <f>YEAR(Table1[[#This Row],[Date]])</f>
        <v>1998</v>
      </c>
      <c r="C834" s="1">
        <v>1</v>
      </c>
      <c r="D834" t="s">
        <v>38</v>
      </c>
      <c r="E834" s="1">
        <v>6</v>
      </c>
      <c r="F834" t="s">
        <v>41</v>
      </c>
      <c r="G834" t="str">
        <f>VLOOKUP(Table1[[#This Row],[Winner]],Ranking!C:D,2,FALSE)</f>
        <v>SEC</v>
      </c>
      <c r="H834" s="1">
        <v>74</v>
      </c>
      <c r="I834" s="1">
        <v>11</v>
      </c>
      <c r="J834" t="s">
        <v>287</v>
      </c>
      <c r="K834" t="str">
        <f>VLOOKUP(Table1[[#This Row],[Loser]],Ranking!C:D,2,FALSE)</f>
        <v>B10</v>
      </c>
      <c r="L834" s="1">
        <v>65</v>
      </c>
      <c r="N834" s="1">
        <f>Table1[[#This Row],[Winning Score]]-Table1[[#This Row],[Losing Score]]</f>
        <v>9</v>
      </c>
      <c r="O834" s="1">
        <f>Table1[[#This Row],[Losing Seed]]-Table1[[#This Row],[Winning Seed]]</f>
        <v>5</v>
      </c>
      <c r="P834" s="1" t="str">
        <f>IF(Table1[[#This Row],[SeD]]&lt;-2,Table1[[#This Row],[Winning Seed]]&amp; " over " &amp;Table1[[#This Row],[Losing Seed]],"")</f>
        <v/>
      </c>
      <c r="Q834">
        <f>VLOOKUP(Table1[[#This Row],[Losing Seed]],'Seed History'!$N$4:$O$19,2)</f>
        <v>0.63194444444444442</v>
      </c>
      <c r="R834" s="1">
        <f>IF(Table1[[#This Row],[Round]]="PI",0,Table1[[#This Row],[Round]]-1)</f>
        <v>0</v>
      </c>
      <c r="S834">
        <f>Table1[[#This Row],[LAW]]-Table1[[#This Row],[LEW]]</f>
        <v>-0.63194444444444442</v>
      </c>
    </row>
    <row r="835" spans="1:19" x14ac:dyDescent="0.25">
      <c r="A835" s="66">
        <v>35866</v>
      </c>
      <c r="B835" s="51">
        <f>YEAR(Table1[[#This Row],[Date]])</f>
        <v>1998</v>
      </c>
      <c r="C835" s="1">
        <v>1</v>
      </c>
      <c r="D835" t="s">
        <v>38</v>
      </c>
      <c r="E835" s="1">
        <v>10</v>
      </c>
      <c r="F835" t="s">
        <v>412</v>
      </c>
      <c r="G835" t="str">
        <f>VLOOKUP(Table1[[#This Row],[Winner]],Ranking!C:D,2,FALSE)</f>
        <v>B12</v>
      </c>
      <c r="H835" s="1">
        <v>82</v>
      </c>
      <c r="I835" s="1">
        <v>7</v>
      </c>
      <c r="J835" t="s">
        <v>373</v>
      </c>
      <c r="K835" t="str">
        <f>VLOOKUP(Table1[[#This Row],[Loser]],Ranking!C:D,2,FALSE)</f>
        <v>Amer</v>
      </c>
      <c r="L835" s="1">
        <v>52</v>
      </c>
      <c r="N835" s="1">
        <f>Table1[[#This Row],[Winning Score]]-Table1[[#This Row],[Losing Score]]</f>
        <v>30</v>
      </c>
      <c r="O835" s="1">
        <f>Table1[[#This Row],[Losing Seed]]-Table1[[#This Row],[Winning Seed]]</f>
        <v>-3</v>
      </c>
      <c r="P835" s="1" t="str">
        <f>IF(Table1[[#This Row],[SeD]]&lt;-2,Table1[[#This Row],[Winning Seed]]&amp; " over " &amp;Table1[[#This Row],[Losing Seed]],"")</f>
        <v>10 over 7</v>
      </c>
      <c r="Q835">
        <f>VLOOKUP(Table1[[#This Row],[Losing Seed]],'Seed History'!$N$4:$O$19,2)</f>
        <v>0.90277777777777779</v>
      </c>
      <c r="R835" s="1">
        <f>IF(Table1[[#This Row],[Round]]="PI",0,Table1[[#This Row],[Round]]-1)</f>
        <v>0</v>
      </c>
      <c r="S835">
        <f>Table1[[#This Row],[LAW]]-Table1[[#This Row],[LEW]]</f>
        <v>-0.90277777777777779</v>
      </c>
    </row>
    <row r="836" spans="1:19" x14ac:dyDescent="0.25">
      <c r="A836" s="66">
        <v>35866</v>
      </c>
      <c r="B836" s="51">
        <f>YEAR(Table1[[#This Row],[Date]])</f>
        <v>1998</v>
      </c>
      <c r="C836" s="1">
        <v>1</v>
      </c>
      <c r="D836" t="s">
        <v>38</v>
      </c>
      <c r="E836" s="1">
        <v>9</v>
      </c>
      <c r="F836" t="s">
        <v>233</v>
      </c>
      <c r="G836" t="str">
        <f>VLOOKUP(Table1[[#This Row],[Winner]],Ranking!C:D,2,FALSE)</f>
        <v>MVC</v>
      </c>
      <c r="H836" s="1">
        <v>82</v>
      </c>
      <c r="I836" s="1">
        <v>8</v>
      </c>
      <c r="J836" t="s">
        <v>374</v>
      </c>
      <c r="K836" t="str">
        <f>VLOOKUP(Table1[[#This Row],[Loser]],Ranking!C:D,2,FALSE)</f>
        <v>SEC</v>
      </c>
      <c r="L836" s="1">
        <v>81</v>
      </c>
      <c r="M836" s="1" t="s">
        <v>462</v>
      </c>
      <c r="N836" s="1">
        <f>Table1[[#This Row],[Winning Score]]-Table1[[#This Row],[Losing Score]]</f>
        <v>1</v>
      </c>
      <c r="O836" s="1">
        <f>Table1[[#This Row],[Losing Seed]]-Table1[[#This Row],[Winning Seed]]</f>
        <v>-1</v>
      </c>
      <c r="P836" s="1" t="str">
        <f>IF(Table1[[#This Row],[SeD]]&lt;-2,Table1[[#This Row],[Winning Seed]]&amp; " over " &amp;Table1[[#This Row],[Losing Seed]],"")</f>
        <v/>
      </c>
      <c r="Q836">
        <f>VLOOKUP(Table1[[#This Row],[Losing Seed]],'Seed History'!$N$4:$O$19,2)</f>
        <v>0.70833333333333337</v>
      </c>
      <c r="R836" s="1">
        <f>IF(Table1[[#This Row],[Round]]="PI",0,Table1[[#This Row],[Round]]-1)</f>
        <v>0</v>
      </c>
      <c r="S836">
        <f>Table1[[#This Row],[LAW]]-Table1[[#This Row],[LEW]]</f>
        <v>-0.70833333333333337</v>
      </c>
    </row>
    <row r="837" spans="1:19" x14ac:dyDescent="0.25">
      <c r="A837" s="66">
        <v>35867</v>
      </c>
      <c r="B837" s="51">
        <f>YEAR(Table1[[#This Row],[Date]])</f>
        <v>1998</v>
      </c>
      <c r="C837" s="1">
        <v>1</v>
      </c>
      <c r="D837" t="s">
        <v>439</v>
      </c>
      <c r="E837" s="1">
        <v>13</v>
      </c>
      <c r="F837" t="s">
        <v>32</v>
      </c>
      <c r="G837" t="str">
        <f>VLOOKUP(Table1[[#This Row],[Winner]],Ranking!C:D,2,FALSE)</f>
        <v>MVC</v>
      </c>
      <c r="H837" s="1">
        <v>70</v>
      </c>
      <c r="I837" s="1">
        <v>4</v>
      </c>
      <c r="J837" t="s">
        <v>45</v>
      </c>
      <c r="K837" t="str">
        <f>VLOOKUP(Table1[[#This Row],[Loser]],Ranking!C:D,2,FALSE)</f>
        <v>SEC</v>
      </c>
      <c r="L837" s="1">
        <v>69</v>
      </c>
      <c r="N837" s="1">
        <f>Table1[[#This Row],[Winning Score]]-Table1[[#This Row],[Losing Score]]</f>
        <v>1</v>
      </c>
      <c r="O837" s="1">
        <f>Table1[[#This Row],[Losing Seed]]-Table1[[#This Row],[Winning Seed]]</f>
        <v>-9</v>
      </c>
      <c r="P837" s="1" t="str">
        <f>IF(Table1[[#This Row],[SeD]]&lt;-2,Table1[[#This Row],[Winning Seed]]&amp; " over " &amp;Table1[[#This Row],[Losing Seed]],"")</f>
        <v>13 over 4</v>
      </c>
      <c r="Q837">
        <f>VLOOKUP(Table1[[#This Row],[Losing Seed]],'Seed History'!$N$4:$O$19,2)</f>
        <v>1.5208333333333333</v>
      </c>
      <c r="R837" s="1">
        <f>IF(Table1[[#This Row],[Round]]="PI",0,Table1[[#This Row],[Round]]-1)</f>
        <v>0</v>
      </c>
      <c r="S837">
        <f>Table1[[#This Row],[LAW]]-Table1[[#This Row],[LEW]]</f>
        <v>-1.5208333333333333</v>
      </c>
    </row>
    <row r="838" spans="1:19" x14ac:dyDescent="0.25">
      <c r="A838" s="66">
        <v>35867</v>
      </c>
      <c r="B838" s="51">
        <f>YEAR(Table1[[#This Row],[Date]])</f>
        <v>1998</v>
      </c>
      <c r="C838" s="1">
        <v>1</v>
      </c>
      <c r="D838" t="s">
        <v>439</v>
      </c>
      <c r="E838" s="1">
        <v>12</v>
      </c>
      <c r="F838" t="s">
        <v>207</v>
      </c>
      <c r="G838" t="str">
        <f>VLOOKUP(Table1[[#This Row],[Winner]],Ranking!C:D,2,FALSE)</f>
        <v>ACC</v>
      </c>
      <c r="H838" s="1">
        <v>96</v>
      </c>
      <c r="I838" s="1">
        <v>5</v>
      </c>
      <c r="J838" t="s">
        <v>372</v>
      </c>
      <c r="K838" t="str">
        <f>VLOOKUP(Table1[[#This Row],[Loser]],Ranking!C:D,2,FALSE)</f>
        <v>B12</v>
      </c>
      <c r="L838" s="1">
        <v>87</v>
      </c>
      <c r="N838" s="1">
        <f>Table1[[#This Row],[Winning Score]]-Table1[[#This Row],[Losing Score]]</f>
        <v>9</v>
      </c>
      <c r="O838" s="1">
        <f>Table1[[#This Row],[Losing Seed]]-Table1[[#This Row],[Winning Seed]]</f>
        <v>-7</v>
      </c>
      <c r="P838" s="1" t="str">
        <f>IF(Table1[[#This Row],[SeD]]&lt;-2,Table1[[#This Row],[Winning Seed]]&amp; " over " &amp;Table1[[#This Row],[Losing Seed]],"")</f>
        <v>12 over 5</v>
      </c>
      <c r="Q838">
        <f>VLOOKUP(Table1[[#This Row],[Losing Seed]],'Seed History'!$N$4:$O$19,2)</f>
        <v>1.1180555555555556</v>
      </c>
      <c r="R838" s="1">
        <f>IF(Table1[[#This Row],[Round]]="PI",0,Table1[[#This Row],[Round]]-1)</f>
        <v>0</v>
      </c>
      <c r="S838">
        <f>Table1[[#This Row],[LAW]]-Table1[[#This Row],[LEW]]</f>
        <v>-1.1180555555555556</v>
      </c>
    </row>
    <row r="839" spans="1:19" x14ac:dyDescent="0.25">
      <c r="A839" s="66">
        <v>35867</v>
      </c>
      <c r="B839" s="51">
        <f>YEAR(Table1[[#This Row],[Date]])</f>
        <v>1998</v>
      </c>
      <c r="C839" s="1">
        <v>1</v>
      </c>
      <c r="D839" t="s">
        <v>439</v>
      </c>
      <c r="E839" s="1">
        <v>11</v>
      </c>
      <c r="F839" t="s">
        <v>416</v>
      </c>
      <c r="G839" t="str">
        <f>VLOOKUP(Table1[[#This Row],[Winner]],Ranking!C:D,2,FALSE)</f>
        <v>MAC</v>
      </c>
      <c r="H839" s="1">
        <v>75</v>
      </c>
      <c r="I839" s="1">
        <v>6</v>
      </c>
      <c r="J839" t="s">
        <v>89</v>
      </c>
      <c r="K839" t="str">
        <f>VLOOKUP(Table1[[#This Row],[Loser]],Ranking!C:D,2,FALSE)</f>
        <v>ACC</v>
      </c>
      <c r="L839" s="1">
        <v>72</v>
      </c>
      <c r="N839" s="1">
        <f>Table1[[#This Row],[Winning Score]]-Table1[[#This Row],[Losing Score]]</f>
        <v>3</v>
      </c>
      <c r="O839" s="1">
        <f>Table1[[#This Row],[Losing Seed]]-Table1[[#This Row],[Winning Seed]]</f>
        <v>-5</v>
      </c>
      <c r="P839" s="1" t="str">
        <f>IF(Table1[[#This Row],[SeD]]&lt;-2,Table1[[#This Row],[Winning Seed]]&amp; " over " &amp;Table1[[#This Row],[Losing Seed]],"")</f>
        <v>11 over 6</v>
      </c>
      <c r="Q839">
        <f>VLOOKUP(Table1[[#This Row],[Losing Seed]],'Seed History'!$N$4:$O$19,2)</f>
        <v>1.0625</v>
      </c>
      <c r="R839" s="1">
        <f>IF(Table1[[#This Row],[Round]]="PI",0,Table1[[#This Row],[Round]]-1)</f>
        <v>0</v>
      </c>
      <c r="S839">
        <f>Table1[[#This Row],[LAW]]-Table1[[#This Row],[LEW]]</f>
        <v>-1.0625</v>
      </c>
    </row>
    <row r="840" spans="1:19" x14ac:dyDescent="0.25">
      <c r="A840" s="66">
        <v>35867</v>
      </c>
      <c r="B840" s="51">
        <f>YEAR(Table1[[#This Row],[Date]])</f>
        <v>1998</v>
      </c>
      <c r="C840" s="1">
        <v>1</v>
      </c>
      <c r="D840" t="s">
        <v>439</v>
      </c>
      <c r="E840" s="1">
        <v>1</v>
      </c>
      <c r="F840" t="s">
        <v>37</v>
      </c>
      <c r="G840" t="str">
        <f>VLOOKUP(Table1[[#This Row],[Winner]],Ranking!C:D,2,FALSE)</f>
        <v>B12</v>
      </c>
      <c r="H840" s="1">
        <v>110</v>
      </c>
      <c r="I840" s="1">
        <v>16</v>
      </c>
      <c r="J840" t="s">
        <v>326</v>
      </c>
      <c r="K840" t="str">
        <f>VLOOKUP(Table1[[#This Row],[Loser]],Ranking!C:D,2,FALSE)</f>
        <v>SWAC</v>
      </c>
      <c r="L840" s="1">
        <v>52</v>
      </c>
      <c r="N840" s="1">
        <f>Table1[[#This Row],[Winning Score]]-Table1[[#This Row],[Losing Score]]</f>
        <v>58</v>
      </c>
      <c r="O840" s="1">
        <f>Table1[[#This Row],[Losing Seed]]-Table1[[#This Row],[Winning Seed]]</f>
        <v>15</v>
      </c>
      <c r="P840" s="1" t="str">
        <f>IF(Table1[[#This Row],[SeD]]&lt;-2,Table1[[#This Row],[Winning Seed]]&amp; " over " &amp;Table1[[#This Row],[Losing Seed]],"")</f>
        <v/>
      </c>
      <c r="Q840">
        <f>VLOOKUP(Table1[[#This Row],[Losing Seed]],'Seed History'!$N$4:$O$19,2)</f>
        <v>6.9444444444444441E-3</v>
      </c>
      <c r="R840" s="1">
        <f>IF(Table1[[#This Row],[Round]]="PI",0,Table1[[#This Row],[Round]]-1)</f>
        <v>0</v>
      </c>
      <c r="S840">
        <f>Table1[[#This Row],[LAW]]-Table1[[#This Row],[LEW]]</f>
        <v>-6.9444444444444441E-3</v>
      </c>
    </row>
    <row r="841" spans="1:19" x14ac:dyDescent="0.25">
      <c r="A841" s="66">
        <v>35867</v>
      </c>
      <c r="B841" s="51">
        <f>YEAR(Table1[[#This Row],[Date]])</f>
        <v>1998</v>
      </c>
      <c r="C841" s="1">
        <v>1</v>
      </c>
      <c r="D841" t="s">
        <v>439</v>
      </c>
      <c r="E841" s="1">
        <v>2</v>
      </c>
      <c r="F841" t="s">
        <v>29</v>
      </c>
      <c r="G841" t="str">
        <f>VLOOKUP(Table1[[#This Row],[Winner]],Ranking!C:D,2,FALSE)</f>
        <v>B10</v>
      </c>
      <c r="H841" s="1">
        <v>95</v>
      </c>
      <c r="I841" s="1">
        <v>15</v>
      </c>
      <c r="J841" t="s">
        <v>182</v>
      </c>
      <c r="K841" t="str">
        <f>VLOOKUP(Table1[[#This Row],[Loser]],Ranking!C:D,2,FALSE)</f>
        <v>CAA</v>
      </c>
      <c r="L841" s="1">
        <v>56</v>
      </c>
      <c r="N841" s="1">
        <f>Table1[[#This Row],[Winning Score]]-Table1[[#This Row],[Losing Score]]</f>
        <v>39</v>
      </c>
      <c r="O841" s="1">
        <f>Table1[[#This Row],[Losing Seed]]-Table1[[#This Row],[Winning Seed]]</f>
        <v>13</v>
      </c>
      <c r="P841" s="1" t="str">
        <f>IF(Table1[[#This Row],[SeD]]&lt;-2,Table1[[#This Row],[Winning Seed]]&amp; " over " &amp;Table1[[#This Row],[Losing Seed]],"")</f>
        <v/>
      </c>
      <c r="Q841">
        <f>VLOOKUP(Table1[[#This Row],[Losing Seed]],'Seed History'!$N$4:$O$19,2)</f>
        <v>7.6388888888888895E-2</v>
      </c>
      <c r="R841" s="1">
        <f>IF(Table1[[#This Row],[Round]]="PI",0,Table1[[#This Row],[Round]]-1)</f>
        <v>0</v>
      </c>
      <c r="S841">
        <f>Table1[[#This Row],[LAW]]-Table1[[#This Row],[LEW]]</f>
        <v>-7.6388888888888895E-2</v>
      </c>
    </row>
    <row r="842" spans="1:19" x14ac:dyDescent="0.25">
      <c r="A842" s="66">
        <v>35867</v>
      </c>
      <c r="B842" s="51">
        <f>YEAR(Table1[[#This Row],[Date]])</f>
        <v>1998</v>
      </c>
      <c r="C842" s="1">
        <v>1</v>
      </c>
      <c r="D842" t="s">
        <v>439</v>
      </c>
      <c r="E842" s="1">
        <v>3</v>
      </c>
      <c r="F842" t="s">
        <v>369</v>
      </c>
      <c r="G842" t="str">
        <f>VLOOKUP(Table1[[#This Row],[Winner]],Ranking!C:D,2,FALSE)</f>
        <v>P12</v>
      </c>
      <c r="H842" s="1">
        <v>67</v>
      </c>
      <c r="I842" s="1">
        <v>14</v>
      </c>
      <c r="J842" t="s">
        <v>164</v>
      </c>
      <c r="K842" t="str">
        <f>VLOOKUP(Table1[[#This Row],[Loser]],Ranking!C:D,2,FALSE)</f>
        <v>BSth</v>
      </c>
      <c r="L842" s="1">
        <v>57</v>
      </c>
      <c r="N842" s="1">
        <f>Table1[[#This Row],[Winning Score]]-Table1[[#This Row],[Losing Score]]</f>
        <v>10</v>
      </c>
      <c r="O842" s="1">
        <f>Table1[[#This Row],[Losing Seed]]-Table1[[#This Row],[Winning Seed]]</f>
        <v>11</v>
      </c>
      <c r="P842" s="1" t="str">
        <f>IF(Table1[[#This Row],[SeD]]&lt;-2,Table1[[#This Row],[Winning Seed]]&amp; " over " &amp;Table1[[#This Row],[Losing Seed]],"")</f>
        <v/>
      </c>
      <c r="Q842">
        <f>VLOOKUP(Table1[[#This Row],[Losing Seed]],'Seed History'!$N$4:$O$19,2)</f>
        <v>0.16666666666666666</v>
      </c>
      <c r="R842" s="1">
        <f>IF(Table1[[#This Row],[Round]]="PI",0,Table1[[#This Row],[Round]]-1)</f>
        <v>0</v>
      </c>
      <c r="S842">
        <f>Table1[[#This Row],[LAW]]-Table1[[#This Row],[LEW]]</f>
        <v>-0.16666666666666666</v>
      </c>
    </row>
    <row r="843" spans="1:19" x14ac:dyDescent="0.25">
      <c r="A843" s="66">
        <v>35867</v>
      </c>
      <c r="B843" s="51">
        <f>YEAR(Table1[[#This Row],[Date]])</f>
        <v>1998</v>
      </c>
      <c r="C843" s="1">
        <v>1</v>
      </c>
      <c r="D843" t="s">
        <v>439</v>
      </c>
      <c r="E843" s="1">
        <v>8</v>
      </c>
      <c r="F843" t="s">
        <v>96</v>
      </c>
      <c r="G843" t="str">
        <f>VLOOKUP(Table1[[#This Row],[Winner]],Ranking!C:D,2,FALSE)</f>
        <v>A10</v>
      </c>
      <c r="H843" s="1">
        <v>97</v>
      </c>
      <c r="I843" s="1">
        <v>9</v>
      </c>
      <c r="J843" t="s">
        <v>285</v>
      </c>
      <c r="K843" t="str">
        <f>VLOOKUP(Table1[[#This Row],[Loser]],Ranking!C:D,2,FALSE)</f>
        <v>OVC</v>
      </c>
      <c r="L843" s="1">
        <v>74</v>
      </c>
      <c r="N843" s="1">
        <f>Table1[[#This Row],[Winning Score]]-Table1[[#This Row],[Losing Score]]</f>
        <v>23</v>
      </c>
      <c r="O843" s="1">
        <f>Table1[[#This Row],[Losing Seed]]-Table1[[#This Row],[Winning Seed]]</f>
        <v>1</v>
      </c>
      <c r="P843" s="1" t="str">
        <f>IF(Table1[[#This Row],[SeD]]&lt;-2,Table1[[#This Row],[Winning Seed]]&amp; " over " &amp;Table1[[#This Row],[Losing Seed]],"")</f>
        <v/>
      </c>
      <c r="Q843">
        <f>VLOOKUP(Table1[[#This Row],[Losing Seed]],'Seed History'!$N$4:$O$19,2)</f>
        <v>0.59027777777777779</v>
      </c>
      <c r="R843" s="1">
        <f>IF(Table1[[#This Row],[Round]]="PI",0,Table1[[#This Row],[Round]]-1)</f>
        <v>0</v>
      </c>
      <c r="S843">
        <f>Table1[[#This Row],[LAW]]-Table1[[#This Row],[LEW]]</f>
        <v>-0.59027777777777779</v>
      </c>
    </row>
    <row r="844" spans="1:19" x14ac:dyDescent="0.25">
      <c r="A844" s="66">
        <v>35867</v>
      </c>
      <c r="B844" s="51">
        <f>YEAR(Table1[[#This Row],[Date]])</f>
        <v>1998</v>
      </c>
      <c r="C844" s="1">
        <v>1</v>
      </c>
      <c r="D844" t="s">
        <v>63</v>
      </c>
      <c r="E844" s="1">
        <v>1</v>
      </c>
      <c r="F844" t="s">
        <v>64</v>
      </c>
      <c r="G844" t="str">
        <f>VLOOKUP(Table1[[#This Row],[Winner]],Ranking!C:D,2,FALSE)</f>
        <v>ACC</v>
      </c>
      <c r="H844" s="1">
        <v>99</v>
      </c>
      <c r="I844" s="1">
        <v>16</v>
      </c>
      <c r="J844" t="s">
        <v>329</v>
      </c>
      <c r="K844" t="str">
        <f>VLOOKUP(Table1[[#This Row],[Loser]],Ranking!C:D,2,FALSE)</f>
        <v>BSth</v>
      </c>
      <c r="L844" s="1">
        <v>63</v>
      </c>
      <c r="N844" s="1">
        <f>Table1[[#This Row],[Winning Score]]-Table1[[#This Row],[Losing Score]]</f>
        <v>36</v>
      </c>
      <c r="O844" s="1">
        <f>Table1[[#This Row],[Losing Seed]]-Table1[[#This Row],[Winning Seed]]</f>
        <v>15</v>
      </c>
      <c r="P844" s="1" t="str">
        <f>IF(Table1[[#This Row],[SeD]]&lt;-2,Table1[[#This Row],[Winning Seed]]&amp; " over " &amp;Table1[[#This Row],[Losing Seed]],"")</f>
        <v/>
      </c>
      <c r="Q844">
        <f>VLOOKUP(Table1[[#This Row],[Losing Seed]],'Seed History'!$N$4:$O$19,2)</f>
        <v>6.9444444444444441E-3</v>
      </c>
      <c r="R844" s="1">
        <f>IF(Table1[[#This Row],[Round]]="PI",0,Table1[[#This Row],[Round]]-1)</f>
        <v>0</v>
      </c>
      <c r="S844">
        <f>Table1[[#This Row],[LAW]]-Table1[[#This Row],[LEW]]</f>
        <v>-6.9444444444444441E-3</v>
      </c>
    </row>
    <row r="845" spans="1:19" x14ac:dyDescent="0.25">
      <c r="A845" s="66">
        <v>35867</v>
      </c>
      <c r="B845" s="51">
        <f>YEAR(Table1[[#This Row],[Date]])</f>
        <v>1998</v>
      </c>
      <c r="C845" s="1">
        <v>1</v>
      </c>
      <c r="D845" t="s">
        <v>63</v>
      </c>
      <c r="E845" s="1">
        <v>2</v>
      </c>
      <c r="F845" t="s">
        <v>26</v>
      </c>
      <c r="G845" t="str">
        <f>VLOOKUP(Table1[[#This Row],[Winner]],Ranking!C:D,2,FALSE)</f>
        <v>SEC</v>
      </c>
      <c r="H845" s="1">
        <v>82</v>
      </c>
      <c r="I845" s="1">
        <v>15</v>
      </c>
      <c r="J845" t="s">
        <v>355</v>
      </c>
      <c r="K845" t="str">
        <f>VLOOKUP(Table1[[#This Row],[Loser]],Ranking!C:D,2,FALSE)</f>
        <v>MEAC</v>
      </c>
      <c r="L845" s="1">
        <v>67</v>
      </c>
      <c r="N845" s="1">
        <f>Table1[[#This Row],[Winning Score]]-Table1[[#This Row],[Losing Score]]</f>
        <v>15</v>
      </c>
      <c r="O845" s="1">
        <f>Table1[[#This Row],[Losing Seed]]-Table1[[#This Row],[Winning Seed]]</f>
        <v>13</v>
      </c>
      <c r="P845" s="1" t="str">
        <f>IF(Table1[[#This Row],[SeD]]&lt;-2,Table1[[#This Row],[Winning Seed]]&amp; " over " &amp;Table1[[#This Row],[Losing Seed]],"")</f>
        <v/>
      </c>
      <c r="Q845">
        <f>VLOOKUP(Table1[[#This Row],[Losing Seed]],'Seed History'!$N$4:$O$19,2)</f>
        <v>7.6388888888888895E-2</v>
      </c>
      <c r="R845" s="1">
        <f>IF(Table1[[#This Row],[Round]]="PI",0,Table1[[#This Row],[Round]]-1)</f>
        <v>0</v>
      </c>
      <c r="S845">
        <f>Table1[[#This Row],[LAW]]-Table1[[#This Row],[LEW]]</f>
        <v>-7.6388888888888895E-2</v>
      </c>
    </row>
    <row r="846" spans="1:19" x14ac:dyDescent="0.25">
      <c r="A846" s="66">
        <v>35867</v>
      </c>
      <c r="B846" s="51">
        <f>YEAR(Table1[[#This Row],[Date]])</f>
        <v>1998</v>
      </c>
      <c r="C846" s="1">
        <v>1</v>
      </c>
      <c r="D846" t="s">
        <v>63</v>
      </c>
      <c r="E846" s="1">
        <v>3</v>
      </c>
      <c r="F846" t="s">
        <v>82</v>
      </c>
      <c r="G846" t="str">
        <f>VLOOKUP(Table1[[#This Row],[Winner]],Ranking!C:D,2,FALSE)</f>
        <v>B10</v>
      </c>
      <c r="H846" s="1">
        <v>80</v>
      </c>
      <c r="I846" s="1">
        <v>14</v>
      </c>
      <c r="J846" t="s">
        <v>70</v>
      </c>
      <c r="K846" t="str">
        <f>VLOOKUP(Table1[[#This Row],[Loser]],Ranking!C:D,2,FALSE)</f>
        <v>A10</v>
      </c>
      <c r="L846" s="1">
        <v>61</v>
      </c>
      <c r="N846" s="1">
        <f>Table1[[#This Row],[Winning Score]]-Table1[[#This Row],[Losing Score]]</f>
        <v>19</v>
      </c>
      <c r="O846" s="1">
        <f>Table1[[#This Row],[Losing Seed]]-Table1[[#This Row],[Winning Seed]]</f>
        <v>11</v>
      </c>
      <c r="P846" s="1" t="str">
        <f>IF(Table1[[#This Row],[SeD]]&lt;-2,Table1[[#This Row],[Winning Seed]]&amp; " over " &amp;Table1[[#This Row],[Losing Seed]],"")</f>
        <v/>
      </c>
      <c r="Q846">
        <f>VLOOKUP(Table1[[#This Row],[Losing Seed]],'Seed History'!$N$4:$O$19,2)</f>
        <v>0.16666666666666666</v>
      </c>
      <c r="R846" s="1">
        <f>IF(Table1[[#This Row],[Round]]="PI",0,Table1[[#This Row],[Round]]-1)</f>
        <v>0</v>
      </c>
      <c r="S846">
        <f>Table1[[#This Row],[LAW]]-Table1[[#This Row],[LEW]]</f>
        <v>-0.16666666666666666</v>
      </c>
    </row>
    <row r="847" spans="1:19" x14ac:dyDescent="0.25">
      <c r="A847" s="66">
        <v>35867</v>
      </c>
      <c r="B847" s="51">
        <f>YEAR(Table1[[#This Row],[Date]])</f>
        <v>1998</v>
      </c>
      <c r="C847" s="1">
        <v>1</v>
      </c>
      <c r="D847" t="s">
        <v>63</v>
      </c>
      <c r="E847" s="1">
        <v>4</v>
      </c>
      <c r="F847" t="s">
        <v>291</v>
      </c>
      <c r="G847" t="str">
        <f>VLOOKUP(Table1[[#This Row],[Winner]],Ranking!C:D,2,FALSE)</f>
        <v>MWC</v>
      </c>
      <c r="H847" s="1">
        <v>79</v>
      </c>
      <c r="I847" s="1">
        <v>13</v>
      </c>
      <c r="J847" t="s">
        <v>33</v>
      </c>
      <c r="K847" t="str">
        <f>VLOOKUP(Table1[[#This Row],[Loser]],Ranking!C:D,2,FALSE)</f>
        <v>BE</v>
      </c>
      <c r="L847" s="1">
        <v>62</v>
      </c>
      <c r="N847" s="1">
        <f>Table1[[#This Row],[Winning Score]]-Table1[[#This Row],[Losing Score]]</f>
        <v>17</v>
      </c>
      <c r="O847" s="1">
        <f>Table1[[#This Row],[Losing Seed]]-Table1[[#This Row],[Winning Seed]]</f>
        <v>9</v>
      </c>
      <c r="P847" s="1" t="str">
        <f>IF(Table1[[#This Row],[SeD]]&lt;-2,Table1[[#This Row],[Winning Seed]]&amp; " over " &amp;Table1[[#This Row],[Losing Seed]],"")</f>
        <v/>
      </c>
      <c r="Q847">
        <f>VLOOKUP(Table1[[#This Row],[Losing Seed]],'Seed History'!$N$4:$O$19,2)</f>
        <v>0.25694444444444442</v>
      </c>
      <c r="R847" s="1">
        <f>IF(Table1[[#This Row],[Round]]="PI",0,Table1[[#This Row],[Round]]-1)</f>
        <v>0</v>
      </c>
      <c r="S847">
        <f>Table1[[#This Row],[LAW]]-Table1[[#This Row],[LEW]]</f>
        <v>-0.25694444444444442</v>
      </c>
    </row>
    <row r="848" spans="1:19" x14ac:dyDescent="0.25">
      <c r="A848" s="66">
        <v>35867</v>
      </c>
      <c r="B848" s="51">
        <f>YEAR(Table1[[#This Row],[Date]])</f>
        <v>1998</v>
      </c>
      <c r="C848" s="1">
        <v>1</v>
      </c>
      <c r="D848" t="s">
        <v>63</v>
      </c>
      <c r="E848" s="1">
        <v>5</v>
      </c>
      <c r="F848" t="s">
        <v>86</v>
      </c>
      <c r="G848" t="str">
        <f>VLOOKUP(Table1[[#This Row],[Winner]],Ranking!C:D,2,FALSE)</f>
        <v>ACC</v>
      </c>
      <c r="H848" s="1">
        <v>63</v>
      </c>
      <c r="I848" s="1">
        <v>12</v>
      </c>
      <c r="J848" t="s">
        <v>236</v>
      </c>
      <c r="K848" t="str">
        <f>VLOOKUP(Table1[[#This Row],[Loser]],Ranking!C:D,2,FALSE)</f>
        <v>MAAC</v>
      </c>
      <c r="L848" s="1">
        <v>61</v>
      </c>
      <c r="N848" s="1">
        <f>Table1[[#This Row],[Winning Score]]-Table1[[#This Row],[Losing Score]]</f>
        <v>2</v>
      </c>
      <c r="O848" s="1">
        <f>Table1[[#This Row],[Losing Seed]]-Table1[[#This Row],[Winning Seed]]</f>
        <v>7</v>
      </c>
      <c r="P848" s="1" t="str">
        <f>IF(Table1[[#This Row],[SeD]]&lt;-2,Table1[[#This Row],[Winning Seed]]&amp; " over " &amp;Table1[[#This Row],[Losing Seed]],"")</f>
        <v/>
      </c>
      <c r="Q848">
        <f>VLOOKUP(Table1[[#This Row],[Losing Seed]],'Seed History'!$N$4:$O$19,2)</f>
        <v>0.52083333333333337</v>
      </c>
      <c r="R848" s="1">
        <f>IF(Table1[[#This Row],[Round]]="PI",0,Table1[[#This Row],[Round]]-1)</f>
        <v>0</v>
      </c>
      <c r="S848">
        <f>Table1[[#This Row],[LAW]]-Table1[[#This Row],[LEW]]</f>
        <v>-0.52083333333333337</v>
      </c>
    </row>
    <row r="849" spans="1:19" x14ac:dyDescent="0.25">
      <c r="A849" s="66">
        <v>35867</v>
      </c>
      <c r="B849" s="51">
        <f>YEAR(Table1[[#This Row],[Date]])</f>
        <v>1998</v>
      </c>
      <c r="C849" s="1">
        <v>1</v>
      </c>
      <c r="D849" t="s">
        <v>63</v>
      </c>
      <c r="E849" s="1">
        <v>6</v>
      </c>
      <c r="F849" t="s">
        <v>67</v>
      </c>
      <c r="G849" t="str">
        <f>VLOOKUP(Table1[[#This Row],[Winner]],Ranking!C:D,2,FALSE)</f>
        <v>P12</v>
      </c>
      <c r="H849" s="1">
        <v>65</v>
      </c>
      <c r="I849" s="1">
        <v>11</v>
      </c>
      <c r="J849" t="s">
        <v>269</v>
      </c>
      <c r="K849" t="str">
        <f>VLOOKUP(Table1[[#This Row],[Loser]],Ranking!C:D,2,FALSE)</f>
        <v>ACC</v>
      </c>
      <c r="L849" s="1">
        <v>62</v>
      </c>
      <c r="N849" s="1">
        <f>Table1[[#This Row],[Winning Score]]-Table1[[#This Row],[Losing Score]]</f>
        <v>3</v>
      </c>
      <c r="O849" s="1">
        <f>Table1[[#This Row],[Losing Seed]]-Table1[[#This Row],[Winning Seed]]</f>
        <v>5</v>
      </c>
      <c r="P849" s="1" t="str">
        <f>IF(Table1[[#This Row],[SeD]]&lt;-2,Table1[[#This Row],[Winning Seed]]&amp; " over " &amp;Table1[[#This Row],[Losing Seed]],"")</f>
        <v/>
      </c>
      <c r="Q849">
        <f>VLOOKUP(Table1[[#This Row],[Losing Seed]],'Seed History'!$N$4:$O$19,2)</f>
        <v>0.63194444444444442</v>
      </c>
      <c r="R849" s="1">
        <f>IF(Table1[[#This Row],[Round]]="PI",0,Table1[[#This Row],[Round]]-1)</f>
        <v>0</v>
      </c>
      <c r="S849">
        <f>Table1[[#This Row],[LAW]]-Table1[[#This Row],[LEW]]</f>
        <v>-0.63194444444444442</v>
      </c>
    </row>
    <row r="850" spans="1:19" x14ac:dyDescent="0.25">
      <c r="A850" s="66">
        <v>35867</v>
      </c>
      <c r="B850" s="51">
        <f>YEAR(Table1[[#This Row],[Date]])</f>
        <v>1998</v>
      </c>
      <c r="C850" s="1">
        <v>1</v>
      </c>
      <c r="D850" t="s">
        <v>63</v>
      </c>
      <c r="E850" s="1">
        <v>8</v>
      </c>
      <c r="F850" t="s">
        <v>316</v>
      </c>
      <c r="G850" t="str">
        <f>VLOOKUP(Table1[[#This Row],[Winner]],Ranking!C:D,2,FALSE)</f>
        <v>B12</v>
      </c>
      <c r="H850" s="1">
        <v>74</v>
      </c>
      <c r="I850" s="1">
        <v>9</v>
      </c>
      <c r="J850" t="s">
        <v>213</v>
      </c>
      <c r="K850" t="str">
        <f>VLOOKUP(Table1[[#This Row],[Loser]],Ranking!C:D,2,FALSE)</f>
        <v>A10</v>
      </c>
      <c r="L850" s="1">
        <v>59</v>
      </c>
      <c r="N850" s="1">
        <f>Table1[[#This Row],[Winning Score]]-Table1[[#This Row],[Losing Score]]</f>
        <v>15</v>
      </c>
      <c r="O850" s="1">
        <f>Table1[[#This Row],[Losing Seed]]-Table1[[#This Row],[Winning Seed]]</f>
        <v>1</v>
      </c>
      <c r="P850" s="1" t="str">
        <f>IF(Table1[[#This Row],[SeD]]&lt;-2,Table1[[#This Row],[Winning Seed]]&amp; " over " &amp;Table1[[#This Row],[Losing Seed]],"")</f>
        <v/>
      </c>
      <c r="Q850">
        <f>VLOOKUP(Table1[[#This Row],[Losing Seed]],'Seed History'!$N$4:$O$19,2)</f>
        <v>0.59027777777777779</v>
      </c>
      <c r="R850" s="1">
        <f>IF(Table1[[#This Row],[Round]]="PI",0,Table1[[#This Row],[Round]]-1)</f>
        <v>0</v>
      </c>
      <c r="S850">
        <f>Table1[[#This Row],[LAW]]-Table1[[#This Row],[LEW]]</f>
        <v>-0.59027777777777779</v>
      </c>
    </row>
    <row r="851" spans="1:19" x14ac:dyDescent="0.25">
      <c r="A851" s="66">
        <v>35867</v>
      </c>
      <c r="B851" s="51">
        <f>YEAR(Table1[[#This Row],[Date]])</f>
        <v>1998</v>
      </c>
      <c r="C851" s="1">
        <v>1</v>
      </c>
      <c r="D851" t="s">
        <v>439</v>
      </c>
      <c r="E851" s="1">
        <v>10</v>
      </c>
      <c r="F851" t="s">
        <v>187</v>
      </c>
      <c r="G851" t="str">
        <f>VLOOKUP(Table1[[#This Row],[Winner]],Ranking!C:D,2,FALSE)</f>
        <v>Horz</v>
      </c>
      <c r="H851" s="1">
        <v>66</v>
      </c>
      <c r="I851" s="1">
        <v>7</v>
      </c>
      <c r="J851" t="s">
        <v>368</v>
      </c>
      <c r="K851" t="str">
        <f>VLOOKUP(Table1[[#This Row],[Loser]],Ranking!C:D,2,FALSE)</f>
        <v>BE</v>
      </c>
      <c r="L851" s="1">
        <v>64</v>
      </c>
      <c r="N851" s="1">
        <f>Table1[[#This Row],[Winning Score]]-Table1[[#This Row],[Losing Score]]</f>
        <v>2</v>
      </c>
      <c r="O851" s="1">
        <f>Table1[[#This Row],[Losing Seed]]-Table1[[#This Row],[Winning Seed]]</f>
        <v>-3</v>
      </c>
      <c r="P851" s="1" t="str">
        <f>IF(Table1[[#This Row],[SeD]]&lt;-2,Table1[[#This Row],[Winning Seed]]&amp; " over " &amp;Table1[[#This Row],[Losing Seed]],"")</f>
        <v>10 over 7</v>
      </c>
      <c r="Q851">
        <f>VLOOKUP(Table1[[#This Row],[Losing Seed]],'Seed History'!$N$4:$O$19,2)</f>
        <v>0.90277777777777779</v>
      </c>
      <c r="R851" s="1">
        <f>IF(Table1[[#This Row],[Round]]="PI",0,Table1[[#This Row],[Round]]-1)</f>
        <v>0</v>
      </c>
      <c r="S851">
        <f>Table1[[#This Row],[LAW]]-Table1[[#This Row],[LEW]]</f>
        <v>-0.90277777777777779</v>
      </c>
    </row>
    <row r="852" spans="1:19" x14ac:dyDescent="0.25">
      <c r="A852" s="66">
        <v>35867</v>
      </c>
      <c r="B852" s="51">
        <f>YEAR(Table1[[#This Row],[Date]])</f>
        <v>1998</v>
      </c>
      <c r="C852" s="1">
        <v>1</v>
      </c>
      <c r="D852" t="s">
        <v>63</v>
      </c>
      <c r="E852" s="1">
        <v>10</v>
      </c>
      <c r="F852" t="s">
        <v>338</v>
      </c>
      <c r="G852" t="str">
        <f>VLOOKUP(Table1[[#This Row],[Winner]],Ranking!C:D,2,FALSE)</f>
        <v>A10</v>
      </c>
      <c r="H852" s="1">
        <v>51</v>
      </c>
      <c r="I852" s="1">
        <v>7</v>
      </c>
      <c r="J852" t="s">
        <v>265</v>
      </c>
      <c r="K852" t="str">
        <f>VLOOKUP(Table1[[#This Row],[Loser]],Ranking!C:D,2,FALSE)</f>
        <v>A10</v>
      </c>
      <c r="L852" s="1">
        <v>46</v>
      </c>
      <c r="N852" s="1">
        <f>Table1[[#This Row],[Winning Score]]-Table1[[#This Row],[Losing Score]]</f>
        <v>5</v>
      </c>
      <c r="O852" s="1">
        <f>Table1[[#This Row],[Losing Seed]]-Table1[[#This Row],[Winning Seed]]</f>
        <v>-3</v>
      </c>
      <c r="P852" s="1" t="str">
        <f>IF(Table1[[#This Row],[SeD]]&lt;-2,Table1[[#This Row],[Winning Seed]]&amp; " over " &amp;Table1[[#This Row],[Losing Seed]],"")</f>
        <v>10 over 7</v>
      </c>
      <c r="Q852">
        <f>VLOOKUP(Table1[[#This Row],[Losing Seed]],'Seed History'!$N$4:$O$19,2)</f>
        <v>0.90277777777777779</v>
      </c>
      <c r="R852" s="1">
        <f>IF(Table1[[#This Row],[Round]]="PI",0,Table1[[#This Row],[Round]]-1)</f>
        <v>0</v>
      </c>
      <c r="S852">
        <f>Table1[[#This Row],[LAW]]-Table1[[#This Row],[LEW]]</f>
        <v>-0.90277777777777779</v>
      </c>
    </row>
    <row r="853" spans="1:19" x14ac:dyDescent="0.25">
      <c r="A853" s="66">
        <v>35868</v>
      </c>
      <c r="B853" s="51">
        <f>YEAR(Table1[[#This Row],[Date]])</f>
        <v>1998</v>
      </c>
      <c r="C853" s="1">
        <v>2</v>
      </c>
      <c r="D853" t="s">
        <v>38</v>
      </c>
      <c r="E853" s="1">
        <v>10</v>
      </c>
      <c r="F853" t="s">
        <v>412</v>
      </c>
      <c r="G853" t="str">
        <f>VLOOKUP(Table1[[#This Row],[Winner]],Ranking!C:D,2,FALSE)</f>
        <v>B12</v>
      </c>
      <c r="H853" s="1">
        <v>75</v>
      </c>
      <c r="I853" s="1">
        <v>2</v>
      </c>
      <c r="J853" t="s">
        <v>28</v>
      </c>
      <c r="K853" t="str">
        <f>VLOOKUP(Table1[[#This Row],[Loser]],Ranking!C:D,2,FALSE)</f>
        <v>Amer</v>
      </c>
      <c r="L853" s="1">
        <v>74</v>
      </c>
      <c r="N853" s="1">
        <f>Table1[[#This Row],[Winning Score]]-Table1[[#This Row],[Losing Score]]</f>
        <v>1</v>
      </c>
      <c r="O853" s="1">
        <f>Table1[[#This Row],[Losing Seed]]-Table1[[#This Row],[Winning Seed]]</f>
        <v>-8</v>
      </c>
      <c r="P853" s="1" t="str">
        <f>IF(Table1[[#This Row],[SeD]]&lt;-2,Table1[[#This Row],[Winning Seed]]&amp; " over " &amp;Table1[[#This Row],[Losing Seed]],"")</f>
        <v>10 over 2</v>
      </c>
      <c r="Q853">
        <f>VLOOKUP(Table1[[#This Row],[Losing Seed]],'Seed History'!$N$4:$O$19,2)</f>
        <v>2.3472222222222223</v>
      </c>
      <c r="R853" s="1">
        <f>IF(Table1[[#This Row],[Round]]="PI",0,Table1[[#This Row],[Round]]-1)</f>
        <v>1</v>
      </c>
      <c r="S853">
        <f>Table1[[#This Row],[LAW]]-Table1[[#This Row],[LEW]]</f>
        <v>-1.3472222222222223</v>
      </c>
    </row>
    <row r="854" spans="1:19" x14ac:dyDescent="0.25">
      <c r="A854" s="66">
        <v>35868</v>
      </c>
      <c r="B854" s="51">
        <f>YEAR(Table1[[#This Row],[Date]])</f>
        <v>1998</v>
      </c>
      <c r="C854" s="1">
        <v>2</v>
      </c>
      <c r="D854" t="s">
        <v>49</v>
      </c>
      <c r="E854" s="1">
        <v>1</v>
      </c>
      <c r="F854" t="s">
        <v>298</v>
      </c>
      <c r="G854" t="str">
        <f>VLOOKUP(Table1[[#This Row],[Winner]],Ranking!C:D,2,FALSE)</f>
        <v>ACC</v>
      </c>
      <c r="H854" s="1">
        <v>93</v>
      </c>
      <c r="I854" s="1">
        <v>8</v>
      </c>
      <c r="J854" t="s">
        <v>165</v>
      </c>
      <c r="K854" t="str">
        <f>VLOOKUP(Table1[[#This Row],[Loser]],Ranking!C:D,2,FALSE)</f>
        <v>CUSA</v>
      </c>
      <c r="L854" s="1">
        <v>83</v>
      </c>
      <c r="M854" s="1" t="s">
        <v>462</v>
      </c>
      <c r="N854" s="1">
        <f>Table1[[#This Row],[Winning Score]]-Table1[[#This Row],[Losing Score]]</f>
        <v>10</v>
      </c>
      <c r="O854" s="1">
        <f>Table1[[#This Row],[Losing Seed]]-Table1[[#This Row],[Winning Seed]]</f>
        <v>7</v>
      </c>
      <c r="P854" s="1" t="str">
        <f>IF(Table1[[#This Row],[SeD]]&lt;-2,Table1[[#This Row],[Winning Seed]]&amp; " over " &amp;Table1[[#This Row],[Losing Seed]],"")</f>
        <v/>
      </c>
      <c r="Q854">
        <f>VLOOKUP(Table1[[#This Row],[Losing Seed]],'Seed History'!$N$4:$O$19,2)</f>
        <v>0.70833333333333337</v>
      </c>
      <c r="R854" s="1">
        <f>IF(Table1[[#This Row],[Round]]="PI",0,Table1[[#This Row],[Round]]-1)</f>
        <v>1</v>
      </c>
      <c r="S854">
        <f>Table1[[#This Row],[LAW]]-Table1[[#This Row],[LEW]]</f>
        <v>0.29166666666666663</v>
      </c>
    </row>
    <row r="855" spans="1:19" x14ac:dyDescent="0.25">
      <c r="A855" s="66">
        <v>35868</v>
      </c>
      <c r="B855" s="51">
        <f>YEAR(Table1[[#This Row],[Date]])</f>
        <v>1998</v>
      </c>
      <c r="C855" s="1">
        <v>2</v>
      </c>
      <c r="D855" t="s">
        <v>49</v>
      </c>
      <c r="E855" s="1">
        <v>2</v>
      </c>
      <c r="F855" t="s">
        <v>80</v>
      </c>
      <c r="G855" t="str">
        <f>VLOOKUP(Table1[[#This Row],[Winner]],Ranking!C:D,2,FALSE)</f>
        <v>BE</v>
      </c>
      <c r="H855" s="1">
        <v>78</v>
      </c>
      <c r="I855" s="1">
        <v>7</v>
      </c>
      <c r="J855" t="s">
        <v>36</v>
      </c>
      <c r="K855" t="str">
        <f>VLOOKUP(Table1[[#This Row],[Loser]],Ranking!C:D,2,FALSE)</f>
        <v>B10</v>
      </c>
      <c r="L855" s="1">
        <v>68</v>
      </c>
      <c r="N855" s="1">
        <f>Table1[[#This Row],[Winning Score]]-Table1[[#This Row],[Losing Score]]</f>
        <v>10</v>
      </c>
      <c r="O855" s="1">
        <f>Table1[[#This Row],[Losing Seed]]-Table1[[#This Row],[Winning Seed]]</f>
        <v>5</v>
      </c>
      <c r="P855" s="1" t="str">
        <f>IF(Table1[[#This Row],[SeD]]&lt;-2,Table1[[#This Row],[Winning Seed]]&amp; " over " &amp;Table1[[#This Row],[Losing Seed]],"")</f>
        <v/>
      </c>
      <c r="Q855">
        <f>VLOOKUP(Table1[[#This Row],[Losing Seed]],'Seed History'!$N$4:$O$19,2)</f>
        <v>0.90277777777777779</v>
      </c>
      <c r="R855" s="1">
        <f>IF(Table1[[#This Row],[Round]]="PI",0,Table1[[#This Row],[Round]]-1)</f>
        <v>1</v>
      </c>
      <c r="S855">
        <f>Table1[[#This Row],[LAW]]-Table1[[#This Row],[LEW]]</f>
        <v>9.722222222222221E-2</v>
      </c>
    </row>
    <row r="856" spans="1:19" x14ac:dyDescent="0.25">
      <c r="A856" s="66">
        <v>35868</v>
      </c>
      <c r="B856" s="51">
        <f>YEAR(Table1[[#This Row],[Date]])</f>
        <v>1998</v>
      </c>
      <c r="C856" s="1">
        <v>2</v>
      </c>
      <c r="D856" t="s">
        <v>49</v>
      </c>
      <c r="E856" s="1">
        <v>4</v>
      </c>
      <c r="F856" t="s">
        <v>271</v>
      </c>
      <c r="G856" t="str">
        <f>VLOOKUP(Table1[[#This Row],[Winner]],Ranking!C:D,2,FALSE)</f>
        <v>B10</v>
      </c>
      <c r="H856" s="1">
        <v>63</v>
      </c>
      <c r="I856" s="1">
        <v>5</v>
      </c>
      <c r="J856" t="s">
        <v>91</v>
      </c>
      <c r="K856" t="str">
        <f>VLOOKUP(Table1[[#This Row],[Loser]],Ranking!C:D,2,FALSE)</f>
        <v>Ivy</v>
      </c>
      <c r="L856" s="1">
        <v>56</v>
      </c>
      <c r="N856" s="1">
        <f>Table1[[#This Row],[Winning Score]]-Table1[[#This Row],[Losing Score]]</f>
        <v>7</v>
      </c>
      <c r="O856" s="1">
        <f>Table1[[#This Row],[Losing Seed]]-Table1[[#This Row],[Winning Seed]]</f>
        <v>1</v>
      </c>
      <c r="P856" s="1" t="str">
        <f>IF(Table1[[#This Row],[SeD]]&lt;-2,Table1[[#This Row],[Winning Seed]]&amp; " over " &amp;Table1[[#This Row],[Losing Seed]],"")</f>
        <v/>
      </c>
      <c r="Q856">
        <f>VLOOKUP(Table1[[#This Row],[Losing Seed]],'Seed History'!$N$4:$O$19,2)</f>
        <v>1.1180555555555556</v>
      </c>
      <c r="R856" s="1">
        <f>IF(Table1[[#This Row],[Round]]="PI",0,Table1[[#This Row],[Round]]-1)</f>
        <v>1</v>
      </c>
      <c r="S856">
        <f>Table1[[#This Row],[LAW]]-Table1[[#This Row],[LEW]]</f>
        <v>-0.11805555555555558</v>
      </c>
    </row>
    <row r="857" spans="1:19" x14ac:dyDescent="0.25">
      <c r="A857" s="66">
        <v>35868</v>
      </c>
      <c r="B857" s="51">
        <f>YEAR(Table1[[#This Row],[Date]])</f>
        <v>1998</v>
      </c>
      <c r="C857" s="1">
        <v>2</v>
      </c>
      <c r="D857" t="s">
        <v>49</v>
      </c>
      <c r="E857" s="1">
        <v>11</v>
      </c>
      <c r="F857" t="s">
        <v>409</v>
      </c>
      <c r="G857" t="str">
        <f>VLOOKUP(Table1[[#This Row],[Winner]],Ranking!C:D,2,FALSE)</f>
        <v>P12</v>
      </c>
      <c r="H857" s="1">
        <v>87</v>
      </c>
      <c r="I857" s="1">
        <v>14</v>
      </c>
      <c r="J857" t="s">
        <v>331</v>
      </c>
      <c r="K857" t="str">
        <f>VLOOKUP(Table1[[#This Row],[Loser]],Ranking!C:D,2,FALSE)</f>
        <v>A10</v>
      </c>
      <c r="L857" s="1">
        <v>66</v>
      </c>
      <c r="N857" s="1">
        <f>Table1[[#This Row],[Winning Score]]-Table1[[#This Row],[Losing Score]]</f>
        <v>21</v>
      </c>
      <c r="O857" s="1">
        <f>Table1[[#This Row],[Losing Seed]]-Table1[[#This Row],[Winning Seed]]</f>
        <v>3</v>
      </c>
      <c r="P857" s="1" t="str">
        <f>IF(Table1[[#This Row],[SeD]]&lt;-2,Table1[[#This Row],[Winning Seed]]&amp; " over " &amp;Table1[[#This Row],[Losing Seed]],"")</f>
        <v/>
      </c>
      <c r="Q857">
        <f>VLOOKUP(Table1[[#This Row],[Losing Seed]],'Seed History'!$N$4:$O$19,2)</f>
        <v>0.16666666666666666</v>
      </c>
      <c r="R857" s="1">
        <f>IF(Table1[[#This Row],[Round]]="PI",0,Table1[[#This Row],[Round]]-1)</f>
        <v>1</v>
      </c>
      <c r="S857">
        <f>Table1[[#This Row],[LAW]]-Table1[[#This Row],[LEW]]</f>
        <v>0.83333333333333337</v>
      </c>
    </row>
    <row r="858" spans="1:19" x14ac:dyDescent="0.25">
      <c r="A858" s="66">
        <v>35868</v>
      </c>
      <c r="B858" s="51">
        <f>YEAR(Table1[[#This Row],[Date]])</f>
        <v>1998</v>
      </c>
      <c r="C858" s="1">
        <v>2</v>
      </c>
      <c r="D858" t="s">
        <v>38</v>
      </c>
      <c r="E858" s="1">
        <v>1</v>
      </c>
      <c r="F858" t="s">
        <v>48</v>
      </c>
      <c r="G858" t="str">
        <f>VLOOKUP(Table1[[#This Row],[Winner]],Ranking!C:D,2,FALSE)</f>
        <v>P12</v>
      </c>
      <c r="H858" s="1">
        <v>82</v>
      </c>
      <c r="I858" s="1">
        <v>9</v>
      </c>
      <c r="J858" t="s">
        <v>233</v>
      </c>
      <c r="K858" t="str">
        <f>VLOOKUP(Table1[[#This Row],[Loser]],Ranking!C:D,2,FALSE)</f>
        <v>MVC</v>
      </c>
      <c r="L858" s="1">
        <v>49</v>
      </c>
      <c r="N858" s="1">
        <f>Table1[[#This Row],[Winning Score]]-Table1[[#This Row],[Losing Score]]</f>
        <v>33</v>
      </c>
      <c r="O858" s="1">
        <f>Table1[[#This Row],[Losing Seed]]-Table1[[#This Row],[Winning Seed]]</f>
        <v>8</v>
      </c>
      <c r="P858" s="1" t="str">
        <f>IF(Table1[[#This Row],[SeD]]&lt;-2,Table1[[#This Row],[Winning Seed]]&amp; " over " &amp;Table1[[#This Row],[Losing Seed]],"")</f>
        <v/>
      </c>
      <c r="Q858">
        <f>VLOOKUP(Table1[[#This Row],[Losing Seed]],'Seed History'!$N$4:$O$19,2)</f>
        <v>0.59027777777777779</v>
      </c>
      <c r="R858" s="1">
        <f>IF(Table1[[#This Row],[Round]]="PI",0,Table1[[#This Row],[Round]]-1)</f>
        <v>1</v>
      </c>
      <c r="S858">
        <f>Table1[[#This Row],[LAW]]-Table1[[#This Row],[LEW]]</f>
        <v>0.40972222222222221</v>
      </c>
    </row>
    <row r="859" spans="1:19" x14ac:dyDescent="0.25">
      <c r="A859" s="66">
        <v>35868</v>
      </c>
      <c r="B859" s="51">
        <f>YEAR(Table1[[#This Row],[Date]])</f>
        <v>1998</v>
      </c>
      <c r="C859" s="1">
        <v>2</v>
      </c>
      <c r="D859" t="s">
        <v>38</v>
      </c>
      <c r="E859" s="1">
        <v>3</v>
      </c>
      <c r="F859" t="s">
        <v>65</v>
      </c>
      <c r="G859" t="str">
        <f>VLOOKUP(Table1[[#This Row],[Winner]],Ranking!C:D,2,FALSE)</f>
        <v>P12</v>
      </c>
      <c r="H859" s="1">
        <v>75</v>
      </c>
      <c r="I859" s="1">
        <v>6</v>
      </c>
      <c r="J859" t="s">
        <v>41</v>
      </c>
      <c r="K859" t="str">
        <f>VLOOKUP(Table1[[#This Row],[Loser]],Ranking!C:D,2,FALSE)</f>
        <v>SEC</v>
      </c>
      <c r="L859" s="1">
        <v>69</v>
      </c>
      <c r="N859" s="1">
        <f>Table1[[#This Row],[Winning Score]]-Table1[[#This Row],[Losing Score]]</f>
        <v>6</v>
      </c>
      <c r="O859" s="1">
        <f>Table1[[#This Row],[Losing Seed]]-Table1[[#This Row],[Winning Seed]]</f>
        <v>3</v>
      </c>
      <c r="P859" s="1" t="str">
        <f>IF(Table1[[#This Row],[SeD]]&lt;-2,Table1[[#This Row],[Winning Seed]]&amp; " over " &amp;Table1[[#This Row],[Losing Seed]],"")</f>
        <v/>
      </c>
      <c r="Q859">
        <f>VLOOKUP(Table1[[#This Row],[Losing Seed]],'Seed History'!$N$4:$O$19,2)</f>
        <v>1.0625</v>
      </c>
      <c r="R859" s="1">
        <f>IF(Table1[[#This Row],[Round]]="PI",0,Table1[[#This Row],[Round]]-1)</f>
        <v>1</v>
      </c>
      <c r="S859">
        <f>Table1[[#This Row],[LAW]]-Table1[[#This Row],[LEW]]</f>
        <v>-6.25E-2</v>
      </c>
    </row>
    <row r="860" spans="1:19" x14ac:dyDescent="0.25">
      <c r="A860" s="66">
        <v>35868</v>
      </c>
      <c r="B860" s="51">
        <f>YEAR(Table1[[#This Row],[Date]])</f>
        <v>1998</v>
      </c>
      <c r="C860" s="1">
        <v>2</v>
      </c>
      <c r="D860" t="s">
        <v>38</v>
      </c>
      <c r="E860" s="1">
        <v>4</v>
      </c>
      <c r="F860" t="s">
        <v>31</v>
      </c>
      <c r="G860" t="str">
        <f>VLOOKUP(Table1[[#This Row],[Winner]],Ranking!C:D,2,FALSE)</f>
        <v>B10</v>
      </c>
      <c r="H860" s="1">
        <v>67</v>
      </c>
      <c r="I860" s="1">
        <v>5</v>
      </c>
      <c r="J860" t="s">
        <v>230</v>
      </c>
      <c r="K860" t="str">
        <f>VLOOKUP(Table1[[#This Row],[Loser]],Ranking!C:D,2,FALSE)</f>
        <v>B10</v>
      </c>
      <c r="L860" s="1">
        <v>61</v>
      </c>
      <c r="N860" s="1">
        <f>Table1[[#This Row],[Winning Score]]-Table1[[#This Row],[Losing Score]]</f>
        <v>6</v>
      </c>
      <c r="O860" s="1">
        <f>Table1[[#This Row],[Losing Seed]]-Table1[[#This Row],[Winning Seed]]</f>
        <v>1</v>
      </c>
      <c r="P860" s="1" t="str">
        <f>IF(Table1[[#This Row],[SeD]]&lt;-2,Table1[[#This Row],[Winning Seed]]&amp; " over " &amp;Table1[[#This Row],[Losing Seed]],"")</f>
        <v/>
      </c>
      <c r="Q860">
        <f>VLOOKUP(Table1[[#This Row],[Losing Seed]],'Seed History'!$N$4:$O$19,2)</f>
        <v>1.1180555555555556</v>
      </c>
      <c r="R860" s="1">
        <f>IF(Table1[[#This Row],[Round]]="PI",0,Table1[[#This Row],[Round]]-1)</f>
        <v>1</v>
      </c>
      <c r="S860">
        <f>Table1[[#This Row],[LAW]]-Table1[[#This Row],[LEW]]</f>
        <v>-0.11805555555555558</v>
      </c>
    </row>
    <row r="861" spans="1:19" x14ac:dyDescent="0.25">
      <c r="A861" s="66">
        <v>35869</v>
      </c>
      <c r="B861" s="51">
        <f>YEAR(Table1[[#This Row],[Date]])</f>
        <v>1998</v>
      </c>
      <c r="C861" s="1">
        <v>2</v>
      </c>
      <c r="D861" t="s">
        <v>439</v>
      </c>
      <c r="E861" s="1">
        <v>8</v>
      </c>
      <c r="F861" t="s">
        <v>96</v>
      </c>
      <c r="G861" t="str">
        <f>VLOOKUP(Table1[[#This Row],[Winner]],Ranking!C:D,2,FALSE)</f>
        <v>A10</v>
      </c>
      <c r="H861" s="1">
        <v>80</v>
      </c>
      <c r="I861" s="1">
        <v>1</v>
      </c>
      <c r="J861" t="s">
        <v>37</v>
      </c>
      <c r="K861" t="str">
        <f>VLOOKUP(Table1[[#This Row],[Loser]],Ranking!C:D,2,FALSE)</f>
        <v>B12</v>
      </c>
      <c r="L861" s="1">
        <v>75</v>
      </c>
      <c r="N861" s="1">
        <f>Table1[[#This Row],[Winning Score]]-Table1[[#This Row],[Losing Score]]</f>
        <v>5</v>
      </c>
      <c r="O861" s="1">
        <f>Table1[[#This Row],[Losing Seed]]-Table1[[#This Row],[Winning Seed]]</f>
        <v>-7</v>
      </c>
      <c r="P861" s="1" t="str">
        <f>IF(Table1[[#This Row],[SeD]]&lt;-2,Table1[[#This Row],[Winning Seed]]&amp; " over " &amp;Table1[[#This Row],[Losing Seed]],"")</f>
        <v>8 over 1</v>
      </c>
      <c r="Q861">
        <f>VLOOKUP(Table1[[#This Row],[Losing Seed]],'Seed History'!$N$4:$O$19,2)</f>
        <v>3.3263888888888888</v>
      </c>
      <c r="R861" s="1">
        <f>IF(Table1[[#This Row],[Round]]="PI",0,Table1[[#This Row],[Round]]-1)</f>
        <v>1</v>
      </c>
      <c r="S861">
        <f>Table1[[#This Row],[LAW]]-Table1[[#This Row],[LEW]]</f>
        <v>-2.3263888888888888</v>
      </c>
    </row>
    <row r="862" spans="1:19" x14ac:dyDescent="0.25">
      <c r="A862" s="66">
        <v>35869</v>
      </c>
      <c r="B862" s="51">
        <f>YEAR(Table1[[#This Row],[Date]])</f>
        <v>1998</v>
      </c>
      <c r="C862" s="1">
        <v>2</v>
      </c>
      <c r="D862" t="s">
        <v>439</v>
      </c>
      <c r="E862" s="1">
        <v>2</v>
      </c>
      <c r="F862" t="s">
        <v>29</v>
      </c>
      <c r="G862" t="str">
        <f>VLOOKUP(Table1[[#This Row],[Winner]],Ranking!C:D,2,FALSE)</f>
        <v>B10</v>
      </c>
      <c r="H862" s="1">
        <v>80</v>
      </c>
      <c r="I862" s="1">
        <v>10</v>
      </c>
      <c r="J862" t="s">
        <v>187</v>
      </c>
      <c r="K862" t="str">
        <f>VLOOKUP(Table1[[#This Row],[Loser]],Ranking!C:D,2,FALSE)</f>
        <v>Horz</v>
      </c>
      <c r="L862" s="1">
        <v>65</v>
      </c>
      <c r="N862" s="1">
        <f>Table1[[#This Row],[Winning Score]]-Table1[[#This Row],[Losing Score]]</f>
        <v>15</v>
      </c>
      <c r="O862" s="1">
        <f>Table1[[#This Row],[Losing Seed]]-Table1[[#This Row],[Winning Seed]]</f>
        <v>8</v>
      </c>
      <c r="P862" s="1" t="str">
        <f>IF(Table1[[#This Row],[SeD]]&lt;-2,Table1[[#This Row],[Winning Seed]]&amp; " over " &amp;Table1[[#This Row],[Losing Seed]],"")</f>
        <v/>
      </c>
      <c r="Q862">
        <f>VLOOKUP(Table1[[#This Row],[Losing Seed]],'Seed History'!$N$4:$O$19,2)</f>
        <v>0.61805555555555558</v>
      </c>
      <c r="R862" s="1">
        <f>IF(Table1[[#This Row],[Round]]="PI",0,Table1[[#This Row],[Round]]-1)</f>
        <v>1</v>
      </c>
      <c r="S862">
        <f>Table1[[#This Row],[LAW]]-Table1[[#This Row],[LEW]]</f>
        <v>0.38194444444444442</v>
      </c>
    </row>
    <row r="863" spans="1:19" x14ac:dyDescent="0.25">
      <c r="A863" s="66">
        <v>35869</v>
      </c>
      <c r="B863" s="51">
        <f>YEAR(Table1[[#This Row],[Date]])</f>
        <v>1998</v>
      </c>
      <c r="C863" s="1">
        <v>2</v>
      </c>
      <c r="D863" t="s">
        <v>439</v>
      </c>
      <c r="E863" s="1">
        <v>3</v>
      </c>
      <c r="F863" t="s">
        <v>369</v>
      </c>
      <c r="G863" t="str">
        <f>VLOOKUP(Table1[[#This Row],[Winner]],Ranking!C:D,2,FALSE)</f>
        <v>P12</v>
      </c>
      <c r="H863" s="1">
        <v>83</v>
      </c>
      <c r="I863" s="1">
        <v>11</v>
      </c>
      <c r="J863" t="s">
        <v>416</v>
      </c>
      <c r="K863" t="str">
        <f>VLOOKUP(Table1[[#This Row],[Loser]],Ranking!C:D,2,FALSE)</f>
        <v>MAC</v>
      </c>
      <c r="L863" s="1">
        <v>65</v>
      </c>
      <c r="N863" s="1">
        <f>Table1[[#This Row],[Winning Score]]-Table1[[#This Row],[Losing Score]]</f>
        <v>18</v>
      </c>
      <c r="O863" s="1">
        <f>Table1[[#This Row],[Losing Seed]]-Table1[[#This Row],[Winning Seed]]</f>
        <v>8</v>
      </c>
      <c r="P863" s="1" t="str">
        <f>IF(Table1[[#This Row],[SeD]]&lt;-2,Table1[[#This Row],[Winning Seed]]&amp; " over " &amp;Table1[[#This Row],[Losing Seed]],"")</f>
        <v/>
      </c>
      <c r="Q863">
        <f>VLOOKUP(Table1[[#This Row],[Losing Seed]],'Seed History'!$N$4:$O$19,2)</f>
        <v>0.63194444444444442</v>
      </c>
      <c r="R863" s="1">
        <f>IF(Table1[[#This Row],[Round]]="PI",0,Table1[[#This Row],[Round]]-1)</f>
        <v>1</v>
      </c>
      <c r="S863">
        <f>Table1[[#This Row],[LAW]]-Table1[[#This Row],[LEW]]</f>
        <v>0.36805555555555558</v>
      </c>
    </row>
    <row r="864" spans="1:19" x14ac:dyDescent="0.25">
      <c r="A864" s="66">
        <v>35869</v>
      </c>
      <c r="B864" s="51">
        <f>YEAR(Table1[[#This Row],[Date]])</f>
        <v>1998</v>
      </c>
      <c r="C864" s="1">
        <v>2</v>
      </c>
      <c r="D864" t="s">
        <v>63</v>
      </c>
      <c r="E864" s="1">
        <v>1</v>
      </c>
      <c r="F864" t="s">
        <v>64</v>
      </c>
      <c r="G864" t="str">
        <f>VLOOKUP(Table1[[#This Row],[Winner]],Ranking!C:D,2,FALSE)</f>
        <v>ACC</v>
      </c>
      <c r="H864" s="1">
        <v>79</v>
      </c>
      <c r="I864" s="1">
        <v>8</v>
      </c>
      <c r="J864" t="s">
        <v>316</v>
      </c>
      <c r="K864" t="str">
        <f>VLOOKUP(Table1[[#This Row],[Loser]],Ranking!C:D,2,FALSE)</f>
        <v>B12</v>
      </c>
      <c r="L864" s="1">
        <v>73</v>
      </c>
      <c r="N864" s="1">
        <f>Table1[[#This Row],[Winning Score]]-Table1[[#This Row],[Losing Score]]</f>
        <v>6</v>
      </c>
      <c r="O864" s="1">
        <f>Table1[[#This Row],[Losing Seed]]-Table1[[#This Row],[Winning Seed]]</f>
        <v>7</v>
      </c>
      <c r="P864" s="1" t="str">
        <f>IF(Table1[[#This Row],[SeD]]&lt;-2,Table1[[#This Row],[Winning Seed]]&amp; " over " &amp;Table1[[#This Row],[Losing Seed]],"")</f>
        <v/>
      </c>
      <c r="Q864">
        <f>VLOOKUP(Table1[[#This Row],[Losing Seed]],'Seed History'!$N$4:$O$19,2)</f>
        <v>0.70833333333333337</v>
      </c>
      <c r="R864" s="1">
        <f>IF(Table1[[#This Row],[Round]]="PI",0,Table1[[#This Row],[Round]]-1)</f>
        <v>1</v>
      </c>
      <c r="S864">
        <f>Table1[[#This Row],[LAW]]-Table1[[#This Row],[LEW]]</f>
        <v>0.29166666666666663</v>
      </c>
    </row>
    <row r="865" spans="1:19" x14ac:dyDescent="0.25">
      <c r="A865" s="66">
        <v>35869</v>
      </c>
      <c r="B865" s="51">
        <f>YEAR(Table1[[#This Row],[Date]])</f>
        <v>1998</v>
      </c>
      <c r="C865" s="1">
        <v>2</v>
      </c>
      <c r="D865" t="s">
        <v>63</v>
      </c>
      <c r="E865" s="1">
        <v>2</v>
      </c>
      <c r="F865" t="s">
        <v>26</v>
      </c>
      <c r="G865" t="str">
        <f>VLOOKUP(Table1[[#This Row],[Winner]],Ranking!C:D,2,FALSE)</f>
        <v>SEC</v>
      </c>
      <c r="H865" s="1">
        <v>88</v>
      </c>
      <c r="I865" s="1">
        <v>10</v>
      </c>
      <c r="J865" t="s">
        <v>338</v>
      </c>
      <c r="K865" t="str">
        <f>VLOOKUP(Table1[[#This Row],[Loser]],Ranking!C:D,2,FALSE)</f>
        <v>A10</v>
      </c>
      <c r="L865" s="1">
        <v>61</v>
      </c>
      <c r="N865" s="1">
        <f>Table1[[#This Row],[Winning Score]]-Table1[[#This Row],[Losing Score]]</f>
        <v>27</v>
      </c>
      <c r="O865" s="1">
        <f>Table1[[#This Row],[Losing Seed]]-Table1[[#This Row],[Winning Seed]]</f>
        <v>8</v>
      </c>
      <c r="P865" s="1" t="str">
        <f>IF(Table1[[#This Row],[SeD]]&lt;-2,Table1[[#This Row],[Winning Seed]]&amp; " over " &amp;Table1[[#This Row],[Losing Seed]],"")</f>
        <v/>
      </c>
      <c r="Q865">
        <f>VLOOKUP(Table1[[#This Row],[Losing Seed]],'Seed History'!$N$4:$O$19,2)</f>
        <v>0.61805555555555558</v>
      </c>
      <c r="R865" s="1">
        <f>IF(Table1[[#This Row],[Round]]="PI",0,Table1[[#This Row],[Round]]-1)</f>
        <v>1</v>
      </c>
      <c r="S865">
        <f>Table1[[#This Row],[LAW]]-Table1[[#This Row],[LEW]]</f>
        <v>0.38194444444444442</v>
      </c>
    </row>
    <row r="866" spans="1:19" x14ac:dyDescent="0.25">
      <c r="A866" s="66">
        <v>35869</v>
      </c>
      <c r="B866" s="51">
        <f>YEAR(Table1[[#This Row],[Date]])</f>
        <v>1998</v>
      </c>
      <c r="C866" s="1">
        <v>2</v>
      </c>
      <c r="D866" t="s">
        <v>63</v>
      </c>
      <c r="E866" s="1">
        <v>6</v>
      </c>
      <c r="F866" t="s">
        <v>67</v>
      </c>
      <c r="G866" t="str">
        <f>VLOOKUP(Table1[[#This Row],[Winner]],Ranking!C:D,2,FALSE)</f>
        <v>P12</v>
      </c>
      <c r="H866" s="1">
        <v>85</v>
      </c>
      <c r="I866" s="1">
        <v>3</v>
      </c>
      <c r="J866" t="s">
        <v>82</v>
      </c>
      <c r="K866" t="str">
        <f>VLOOKUP(Table1[[#This Row],[Loser]],Ranking!C:D,2,FALSE)</f>
        <v>B10</v>
      </c>
      <c r="L866" s="1">
        <v>82</v>
      </c>
      <c r="N866" s="1">
        <f>Table1[[#This Row],[Winning Score]]-Table1[[#This Row],[Losing Score]]</f>
        <v>3</v>
      </c>
      <c r="O866" s="1">
        <f>Table1[[#This Row],[Losing Seed]]-Table1[[#This Row],[Winning Seed]]</f>
        <v>-3</v>
      </c>
      <c r="P866" s="1" t="str">
        <f>IF(Table1[[#This Row],[SeD]]&lt;-2,Table1[[#This Row],[Winning Seed]]&amp; " over " &amp;Table1[[#This Row],[Losing Seed]],"")</f>
        <v>6 over 3</v>
      </c>
      <c r="Q866">
        <f>VLOOKUP(Table1[[#This Row],[Losing Seed]],'Seed History'!$N$4:$O$19,2)</f>
        <v>1.8472222222222223</v>
      </c>
      <c r="R866" s="1">
        <f>IF(Table1[[#This Row],[Round]]="PI",0,Table1[[#This Row],[Round]]-1)</f>
        <v>1</v>
      </c>
      <c r="S866">
        <f>Table1[[#This Row],[LAW]]-Table1[[#This Row],[LEW]]</f>
        <v>-0.84722222222222232</v>
      </c>
    </row>
    <row r="867" spans="1:19" x14ac:dyDescent="0.25">
      <c r="A867" s="66">
        <v>35869</v>
      </c>
      <c r="B867" s="51">
        <f>YEAR(Table1[[#This Row],[Date]])</f>
        <v>1998</v>
      </c>
      <c r="C867" s="1">
        <v>2</v>
      </c>
      <c r="D867" t="s">
        <v>439</v>
      </c>
      <c r="E867" s="1">
        <v>13</v>
      </c>
      <c r="F867" t="s">
        <v>32</v>
      </c>
      <c r="G867" t="str">
        <f>VLOOKUP(Table1[[#This Row],[Winner]],Ranking!C:D,2,FALSE)</f>
        <v>MVC</v>
      </c>
      <c r="H867" s="1">
        <v>83</v>
      </c>
      <c r="I867" s="1">
        <v>12</v>
      </c>
      <c r="J867" t="s">
        <v>207</v>
      </c>
      <c r="K867" t="str">
        <f>VLOOKUP(Table1[[#This Row],[Loser]],Ranking!C:D,2,FALSE)</f>
        <v>ACC</v>
      </c>
      <c r="L867" s="1">
        <v>77</v>
      </c>
      <c r="M867" s="1" t="s">
        <v>462</v>
      </c>
      <c r="N867" s="1">
        <f>Table1[[#This Row],[Winning Score]]-Table1[[#This Row],[Losing Score]]</f>
        <v>6</v>
      </c>
      <c r="O867" s="1">
        <f>Table1[[#This Row],[Losing Seed]]-Table1[[#This Row],[Winning Seed]]</f>
        <v>-1</v>
      </c>
      <c r="P867" s="1" t="str">
        <f>IF(Table1[[#This Row],[SeD]]&lt;-2,Table1[[#This Row],[Winning Seed]]&amp; " over " &amp;Table1[[#This Row],[Losing Seed]],"")</f>
        <v/>
      </c>
      <c r="Q867">
        <f>VLOOKUP(Table1[[#This Row],[Losing Seed]],'Seed History'!$N$4:$O$19,2)</f>
        <v>0.52083333333333337</v>
      </c>
      <c r="R867" s="1">
        <f>IF(Table1[[#This Row],[Round]]="PI",0,Table1[[#This Row],[Round]]-1)</f>
        <v>1</v>
      </c>
      <c r="S867">
        <f>Table1[[#This Row],[LAW]]-Table1[[#This Row],[LEW]]</f>
        <v>0.47916666666666663</v>
      </c>
    </row>
    <row r="868" spans="1:19" x14ac:dyDescent="0.25">
      <c r="A868" s="66">
        <v>35869</v>
      </c>
      <c r="B868" s="51">
        <f>YEAR(Table1[[#This Row],[Date]])</f>
        <v>1998</v>
      </c>
      <c r="C868" s="1">
        <v>2</v>
      </c>
      <c r="D868" t="s">
        <v>63</v>
      </c>
      <c r="E868" s="1">
        <v>5</v>
      </c>
      <c r="F868" t="s">
        <v>86</v>
      </c>
      <c r="G868" t="str">
        <f>VLOOKUP(Table1[[#This Row],[Winner]],Ranking!C:D,2,FALSE)</f>
        <v>ACC</v>
      </c>
      <c r="H868" s="1">
        <v>56</v>
      </c>
      <c r="I868" s="1">
        <v>4</v>
      </c>
      <c r="J868" t="s">
        <v>291</v>
      </c>
      <c r="K868" t="str">
        <f>VLOOKUP(Table1[[#This Row],[Loser]],Ranking!C:D,2,FALSE)</f>
        <v>MWC</v>
      </c>
      <c r="L868" s="1">
        <v>46</v>
      </c>
      <c r="N868" s="1">
        <f>Table1[[#This Row],[Winning Score]]-Table1[[#This Row],[Losing Score]]</f>
        <v>10</v>
      </c>
      <c r="O868" s="1">
        <f>Table1[[#This Row],[Losing Seed]]-Table1[[#This Row],[Winning Seed]]</f>
        <v>-1</v>
      </c>
      <c r="P868" s="1" t="str">
        <f>IF(Table1[[#This Row],[SeD]]&lt;-2,Table1[[#This Row],[Winning Seed]]&amp; " over " &amp;Table1[[#This Row],[Losing Seed]],"")</f>
        <v/>
      </c>
      <c r="Q868">
        <f>VLOOKUP(Table1[[#This Row],[Losing Seed]],'Seed History'!$N$4:$O$19,2)</f>
        <v>1.5208333333333333</v>
      </c>
      <c r="R868" s="1">
        <f>IF(Table1[[#This Row],[Round]]="PI",0,Table1[[#This Row],[Round]]-1)</f>
        <v>1</v>
      </c>
      <c r="S868">
        <f>Table1[[#This Row],[LAW]]-Table1[[#This Row],[LEW]]</f>
        <v>-0.52083333333333326</v>
      </c>
    </row>
    <row r="869" spans="1:19" x14ac:dyDescent="0.25">
      <c r="A869" s="66">
        <v>35873</v>
      </c>
      <c r="B869" s="51">
        <f>YEAR(Table1[[#This Row],[Date]])</f>
        <v>1998</v>
      </c>
      <c r="C869" s="1">
        <v>3</v>
      </c>
      <c r="D869" t="s">
        <v>49</v>
      </c>
      <c r="E869" s="1">
        <v>1</v>
      </c>
      <c r="F869" t="s">
        <v>298</v>
      </c>
      <c r="G869" t="str">
        <f>VLOOKUP(Table1[[#This Row],[Winner]],Ranking!C:D,2,FALSE)</f>
        <v>ACC</v>
      </c>
      <c r="H869" s="1">
        <v>73</v>
      </c>
      <c r="I869" s="1">
        <v>4</v>
      </c>
      <c r="J869" t="s">
        <v>271</v>
      </c>
      <c r="K869" t="str">
        <f>VLOOKUP(Table1[[#This Row],[Loser]],Ranking!C:D,2,FALSE)</f>
        <v>B10</v>
      </c>
      <c r="L869" s="1">
        <v>58</v>
      </c>
      <c r="N869" s="1">
        <f>Table1[[#This Row],[Winning Score]]-Table1[[#This Row],[Losing Score]]</f>
        <v>15</v>
      </c>
      <c r="O869" s="1">
        <f>Table1[[#This Row],[Losing Seed]]-Table1[[#This Row],[Winning Seed]]</f>
        <v>3</v>
      </c>
      <c r="P869" s="1" t="str">
        <f>IF(Table1[[#This Row],[SeD]]&lt;-2,Table1[[#This Row],[Winning Seed]]&amp; " over " &amp;Table1[[#This Row],[Losing Seed]],"")</f>
        <v/>
      </c>
      <c r="Q869">
        <f>VLOOKUP(Table1[[#This Row],[Losing Seed]],'Seed History'!$N$4:$O$19,2)</f>
        <v>1.5208333333333333</v>
      </c>
      <c r="R869" s="1">
        <f>IF(Table1[[#This Row],[Round]]="PI",0,Table1[[#This Row],[Round]]-1)</f>
        <v>2</v>
      </c>
      <c r="S869">
        <f>Table1[[#This Row],[LAW]]-Table1[[#This Row],[LEW]]</f>
        <v>0.47916666666666674</v>
      </c>
    </row>
    <row r="870" spans="1:19" x14ac:dyDescent="0.25">
      <c r="A870" s="66">
        <v>35873</v>
      </c>
      <c r="B870" s="51">
        <f>YEAR(Table1[[#This Row],[Date]])</f>
        <v>1998</v>
      </c>
      <c r="C870" s="1">
        <v>3</v>
      </c>
      <c r="D870" t="s">
        <v>49</v>
      </c>
      <c r="E870" s="1">
        <v>2</v>
      </c>
      <c r="F870" t="s">
        <v>80</v>
      </c>
      <c r="G870" t="str">
        <f>VLOOKUP(Table1[[#This Row],[Winner]],Ranking!C:D,2,FALSE)</f>
        <v>BE</v>
      </c>
      <c r="H870" s="1">
        <v>75</v>
      </c>
      <c r="I870" s="1">
        <v>11</v>
      </c>
      <c r="J870" t="s">
        <v>409</v>
      </c>
      <c r="K870" t="str">
        <f>VLOOKUP(Table1[[#This Row],[Loser]],Ranking!C:D,2,FALSE)</f>
        <v>P12</v>
      </c>
      <c r="L870" s="1">
        <v>74</v>
      </c>
      <c r="N870" s="1">
        <f>Table1[[#This Row],[Winning Score]]-Table1[[#This Row],[Losing Score]]</f>
        <v>1</v>
      </c>
      <c r="O870" s="1">
        <f>Table1[[#This Row],[Losing Seed]]-Table1[[#This Row],[Winning Seed]]</f>
        <v>9</v>
      </c>
      <c r="P870" s="1" t="str">
        <f>IF(Table1[[#This Row],[SeD]]&lt;-2,Table1[[#This Row],[Winning Seed]]&amp; " over " &amp;Table1[[#This Row],[Losing Seed]],"")</f>
        <v/>
      </c>
      <c r="Q870">
        <f>VLOOKUP(Table1[[#This Row],[Losing Seed]],'Seed History'!$N$4:$O$19,2)</f>
        <v>0.63194444444444442</v>
      </c>
      <c r="R870" s="1">
        <f>IF(Table1[[#This Row],[Round]]="PI",0,Table1[[#This Row],[Round]]-1)</f>
        <v>2</v>
      </c>
      <c r="S870">
        <f>Table1[[#This Row],[LAW]]-Table1[[#This Row],[LEW]]</f>
        <v>1.3680555555555556</v>
      </c>
    </row>
    <row r="871" spans="1:19" x14ac:dyDescent="0.25">
      <c r="A871" s="66">
        <v>35873</v>
      </c>
      <c r="B871" s="51">
        <f>YEAR(Table1[[#This Row],[Date]])</f>
        <v>1998</v>
      </c>
      <c r="C871" s="1">
        <v>3</v>
      </c>
      <c r="D871" t="s">
        <v>38</v>
      </c>
      <c r="E871" s="1">
        <v>1</v>
      </c>
      <c r="F871" t="s">
        <v>48</v>
      </c>
      <c r="G871" t="str">
        <f>VLOOKUP(Table1[[#This Row],[Winner]],Ranking!C:D,2,FALSE)</f>
        <v>P12</v>
      </c>
      <c r="H871" s="1">
        <v>87</v>
      </c>
      <c r="I871" s="1">
        <v>4</v>
      </c>
      <c r="J871" t="s">
        <v>31</v>
      </c>
      <c r="K871" t="str">
        <f>VLOOKUP(Table1[[#This Row],[Loser]],Ranking!C:D,2,FALSE)</f>
        <v>B10</v>
      </c>
      <c r="L871" s="1">
        <v>79</v>
      </c>
      <c r="N871" s="1">
        <f>Table1[[#This Row],[Winning Score]]-Table1[[#This Row],[Losing Score]]</f>
        <v>8</v>
      </c>
      <c r="O871" s="1">
        <f>Table1[[#This Row],[Losing Seed]]-Table1[[#This Row],[Winning Seed]]</f>
        <v>3</v>
      </c>
      <c r="P871" s="1" t="str">
        <f>IF(Table1[[#This Row],[SeD]]&lt;-2,Table1[[#This Row],[Winning Seed]]&amp; " over " &amp;Table1[[#This Row],[Losing Seed]],"")</f>
        <v/>
      </c>
      <c r="Q871">
        <f>VLOOKUP(Table1[[#This Row],[Losing Seed]],'Seed History'!$N$4:$O$19,2)</f>
        <v>1.5208333333333333</v>
      </c>
      <c r="R871" s="1">
        <f>IF(Table1[[#This Row],[Round]]="PI",0,Table1[[#This Row],[Round]]-1)</f>
        <v>2</v>
      </c>
      <c r="S871">
        <f>Table1[[#This Row],[LAW]]-Table1[[#This Row],[LEW]]</f>
        <v>0.47916666666666674</v>
      </c>
    </row>
    <row r="872" spans="1:19" x14ac:dyDescent="0.25">
      <c r="A872" s="66">
        <v>35873</v>
      </c>
      <c r="B872" s="51">
        <f>YEAR(Table1[[#This Row],[Date]])</f>
        <v>1998</v>
      </c>
      <c r="C872" s="1">
        <v>3</v>
      </c>
      <c r="D872" t="s">
        <v>38</v>
      </c>
      <c r="E872" s="1">
        <v>3</v>
      </c>
      <c r="F872" t="s">
        <v>65</v>
      </c>
      <c r="G872" t="str">
        <f>VLOOKUP(Table1[[#This Row],[Winner]],Ranking!C:D,2,FALSE)</f>
        <v>P12</v>
      </c>
      <c r="H872" s="1">
        <v>65</v>
      </c>
      <c r="I872" s="1">
        <v>10</v>
      </c>
      <c r="J872" t="s">
        <v>412</v>
      </c>
      <c r="K872" t="str">
        <f>VLOOKUP(Table1[[#This Row],[Loser]],Ranking!C:D,2,FALSE)</f>
        <v>B12</v>
      </c>
      <c r="L872" s="1">
        <v>62</v>
      </c>
      <c r="N872" s="1">
        <f>Table1[[#This Row],[Winning Score]]-Table1[[#This Row],[Losing Score]]</f>
        <v>3</v>
      </c>
      <c r="O872" s="1">
        <f>Table1[[#This Row],[Losing Seed]]-Table1[[#This Row],[Winning Seed]]</f>
        <v>7</v>
      </c>
      <c r="P872" s="1" t="str">
        <f>IF(Table1[[#This Row],[SeD]]&lt;-2,Table1[[#This Row],[Winning Seed]]&amp; " over " &amp;Table1[[#This Row],[Losing Seed]],"")</f>
        <v/>
      </c>
      <c r="Q872">
        <f>VLOOKUP(Table1[[#This Row],[Losing Seed]],'Seed History'!$N$4:$O$19,2)</f>
        <v>0.61805555555555558</v>
      </c>
      <c r="R872" s="1">
        <f>IF(Table1[[#This Row],[Round]]="PI",0,Table1[[#This Row],[Round]]-1)</f>
        <v>2</v>
      </c>
      <c r="S872">
        <f>Table1[[#This Row],[LAW]]-Table1[[#This Row],[LEW]]</f>
        <v>1.3819444444444444</v>
      </c>
    </row>
    <row r="873" spans="1:19" x14ac:dyDescent="0.25">
      <c r="A873" s="66">
        <v>35874</v>
      </c>
      <c r="B873" s="51">
        <f>YEAR(Table1[[#This Row],[Date]])</f>
        <v>1998</v>
      </c>
      <c r="C873" s="1">
        <v>3</v>
      </c>
      <c r="D873" t="s">
        <v>439</v>
      </c>
      <c r="E873" s="1">
        <v>8</v>
      </c>
      <c r="F873" t="s">
        <v>96</v>
      </c>
      <c r="G873" t="str">
        <f>VLOOKUP(Table1[[#This Row],[Winner]],Ranking!C:D,2,FALSE)</f>
        <v>A10</v>
      </c>
      <c r="H873" s="1">
        <v>74</v>
      </c>
      <c r="I873" s="1">
        <v>13</v>
      </c>
      <c r="J873" t="s">
        <v>32</v>
      </c>
      <c r="K873" t="str">
        <f>VLOOKUP(Table1[[#This Row],[Loser]],Ranking!C:D,2,FALSE)</f>
        <v>MVC</v>
      </c>
      <c r="L873" s="1">
        <v>68</v>
      </c>
      <c r="N873" s="1">
        <f>Table1[[#This Row],[Winning Score]]-Table1[[#This Row],[Losing Score]]</f>
        <v>6</v>
      </c>
      <c r="O873" s="1">
        <f>Table1[[#This Row],[Losing Seed]]-Table1[[#This Row],[Winning Seed]]</f>
        <v>5</v>
      </c>
      <c r="P873" s="1" t="str">
        <f>IF(Table1[[#This Row],[SeD]]&lt;-2,Table1[[#This Row],[Winning Seed]]&amp; " over " &amp;Table1[[#This Row],[Losing Seed]],"")</f>
        <v/>
      </c>
      <c r="Q873">
        <f>VLOOKUP(Table1[[#This Row],[Losing Seed]],'Seed History'!$N$4:$O$19,2)</f>
        <v>0.25694444444444442</v>
      </c>
      <c r="R873" s="1">
        <f>IF(Table1[[#This Row],[Round]]="PI",0,Table1[[#This Row],[Round]]-1)</f>
        <v>2</v>
      </c>
      <c r="S873">
        <f>Table1[[#This Row],[LAW]]-Table1[[#This Row],[LEW]]</f>
        <v>1.7430555555555556</v>
      </c>
    </row>
    <row r="874" spans="1:19" x14ac:dyDescent="0.25">
      <c r="A874" s="66">
        <v>35874</v>
      </c>
      <c r="B874" s="51">
        <f>YEAR(Table1[[#This Row],[Date]])</f>
        <v>1998</v>
      </c>
      <c r="C874" s="1">
        <v>3</v>
      </c>
      <c r="D874" t="s">
        <v>63</v>
      </c>
      <c r="E874" s="1">
        <v>1</v>
      </c>
      <c r="F874" t="s">
        <v>64</v>
      </c>
      <c r="G874" t="str">
        <f>VLOOKUP(Table1[[#This Row],[Winner]],Ranking!C:D,2,FALSE)</f>
        <v>ACC</v>
      </c>
      <c r="H874" s="1">
        <v>80</v>
      </c>
      <c r="I874" s="1">
        <v>5</v>
      </c>
      <c r="J874" t="s">
        <v>86</v>
      </c>
      <c r="K874" t="str">
        <f>VLOOKUP(Table1[[#This Row],[Loser]],Ranking!C:D,2,FALSE)</f>
        <v>ACC</v>
      </c>
      <c r="L874" s="1">
        <v>67</v>
      </c>
      <c r="N874" s="1">
        <f>Table1[[#This Row],[Winning Score]]-Table1[[#This Row],[Losing Score]]</f>
        <v>13</v>
      </c>
      <c r="O874" s="1">
        <f>Table1[[#This Row],[Losing Seed]]-Table1[[#This Row],[Winning Seed]]</f>
        <v>4</v>
      </c>
      <c r="P874" s="1" t="str">
        <f>IF(Table1[[#This Row],[SeD]]&lt;-2,Table1[[#This Row],[Winning Seed]]&amp; " over " &amp;Table1[[#This Row],[Losing Seed]],"")</f>
        <v/>
      </c>
      <c r="Q874">
        <f>VLOOKUP(Table1[[#This Row],[Losing Seed]],'Seed History'!$N$4:$O$19,2)</f>
        <v>1.1180555555555556</v>
      </c>
      <c r="R874" s="1">
        <f>IF(Table1[[#This Row],[Round]]="PI",0,Table1[[#This Row],[Round]]-1)</f>
        <v>2</v>
      </c>
      <c r="S874">
        <f>Table1[[#This Row],[LAW]]-Table1[[#This Row],[LEW]]</f>
        <v>0.88194444444444442</v>
      </c>
    </row>
    <row r="875" spans="1:19" x14ac:dyDescent="0.25">
      <c r="A875" s="66">
        <v>35874</v>
      </c>
      <c r="B875" s="51">
        <f>YEAR(Table1[[#This Row],[Date]])</f>
        <v>1998</v>
      </c>
      <c r="C875" s="1">
        <v>3</v>
      </c>
      <c r="D875" t="s">
        <v>63</v>
      </c>
      <c r="E875" s="1">
        <v>2</v>
      </c>
      <c r="F875" t="s">
        <v>26</v>
      </c>
      <c r="G875" t="str">
        <f>VLOOKUP(Table1[[#This Row],[Winner]],Ranking!C:D,2,FALSE)</f>
        <v>SEC</v>
      </c>
      <c r="H875" s="1">
        <v>94</v>
      </c>
      <c r="I875" s="1">
        <v>6</v>
      </c>
      <c r="J875" t="s">
        <v>67</v>
      </c>
      <c r="K875" t="str">
        <f>VLOOKUP(Table1[[#This Row],[Loser]],Ranking!C:D,2,FALSE)</f>
        <v>P12</v>
      </c>
      <c r="L875" s="1">
        <v>68</v>
      </c>
      <c r="N875" s="1">
        <f>Table1[[#This Row],[Winning Score]]-Table1[[#This Row],[Losing Score]]</f>
        <v>26</v>
      </c>
      <c r="O875" s="1">
        <f>Table1[[#This Row],[Losing Seed]]-Table1[[#This Row],[Winning Seed]]</f>
        <v>4</v>
      </c>
      <c r="P875" s="1" t="str">
        <f>IF(Table1[[#This Row],[SeD]]&lt;-2,Table1[[#This Row],[Winning Seed]]&amp; " over " &amp;Table1[[#This Row],[Losing Seed]],"")</f>
        <v/>
      </c>
      <c r="Q875">
        <f>VLOOKUP(Table1[[#This Row],[Losing Seed]],'Seed History'!$N$4:$O$19,2)</f>
        <v>1.0625</v>
      </c>
      <c r="R875" s="1">
        <f>IF(Table1[[#This Row],[Round]]="PI",0,Table1[[#This Row],[Round]]-1)</f>
        <v>2</v>
      </c>
      <c r="S875">
        <f>Table1[[#This Row],[LAW]]-Table1[[#This Row],[LEW]]</f>
        <v>0.9375</v>
      </c>
    </row>
    <row r="876" spans="1:19" x14ac:dyDescent="0.25">
      <c r="A876" s="66">
        <v>35874</v>
      </c>
      <c r="B876" s="51">
        <f>YEAR(Table1[[#This Row],[Date]])</f>
        <v>1998</v>
      </c>
      <c r="C876" s="1">
        <v>3</v>
      </c>
      <c r="D876" t="s">
        <v>439</v>
      </c>
      <c r="E876" s="1">
        <v>3</v>
      </c>
      <c r="F876" t="s">
        <v>369</v>
      </c>
      <c r="G876" t="str">
        <f>VLOOKUP(Table1[[#This Row],[Winner]],Ranking!C:D,2,FALSE)</f>
        <v>P12</v>
      </c>
      <c r="H876" s="1">
        <v>67</v>
      </c>
      <c r="I876" s="1">
        <v>2</v>
      </c>
      <c r="J876" t="s">
        <v>29</v>
      </c>
      <c r="K876" t="str">
        <f>VLOOKUP(Table1[[#This Row],[Loser]],Ranking!C:D,2,FALSE)</f>
        <v>B10</v>
      </c>
      <c r="L876" s="1">
        <v>59</v>
      </c>
      <c r="N876" s="1">
        <f>Table1[[#This Row],[Winning Score]]-Table1[[#This Row],[Losing Score]]</f>
        <v>8</v>
      </c>
      <c r="O876" s="1">
        <f>Table1[[#This Row],[Losing Seed]]-Table1[[#This Row],[Winning Seed]]</f>
        <v>-1</v>
      </c>
      <c r="P876" s="1" t="str">
        <f>IF(Table1[[#This Row],[SeD]]&lt;-2,Table1[[#This Row],[Winning Seed]]&amp; " over " &amp;Table1[[#This Row],[Losing Seed]],"")</f>
        <v/>
      </c>
      <c r="Q876">
        <f>VLOOKUP(Table1[[#This Row],[Losing Seed]],'Seed History'!$N$4:$O$19,2)</f>
        <v>2.3472222222222223</v>
      </c>
      <c r="R876" s="1">
        <f>IF(Table1[[#This Row],[Round]]="PI",0,Table1[[#This Row],[Round]]-1)</f>
        <v>2</v>
      </c>
      <c r="S876">
        <f>Table1[[#This Row],[LAW]]-Table1[[#This Row],[LEW]]</f>
        <v>-0.34722222222222232</v>
      </c>
    </row>
    <row r="877" spans="1:19" x14ac:dyDescent="0.25">
      <c r="A877" s="66">
        <v>35875</v>
      </c>
      <c r="B877" s="51">
        <f>YEAR(Table1[[#This Row],[Date]])</f>
        <v>1998</v>
      </c>
      <c r="C877" s="1">
        <v>4</v>
      </c>
      <c r="D877" t="s">
        <v>49</v>
      </c>
      <c r="E877" s="1">
        <v>1</v>
      </c>
      <c r="F877" t="s">
        <v>298</v>
      </c>
      <c r="G877" t="str">
        <f>VLOOKUP(Table1[[#This Row],[Winner]],Ranking!C:D,2,FALSE)</f>
        <v>ACC</v>
      </c>
      <c r="H877" s="1">
        <v>75</v>
      </c>
      <c r="I877" s="1">
        <v>2</v>
      </c>
      <c r="J877" t="s">
        <v>80</v>
      </c>
      <c r="K877" t="str">
        <f>VLOOKUP(Table1[[#This Row],[Loser]],Ranking!C:D,2,FALSE)</f>
        <v>BE</v>
      </c>
      <c r="L877" s="1">
        <v>64</v>
      </c>
      <c r="N877" s="1">
        <f>Table1[[#This Row],[Winning Score]]-Table1[[#This Row],[Losing Score]]</f>
        <v>11</v>
      </c>
      <c r="O877" s="1">
        <f>Table1[[#This Row],[Losing Seed]]-Table1[[#This Row],[Winning Seed]]</f>
        <v>1</v>
      </c>
      <c r="P877" s="1" t="str">
        <f>IF(Table1[[#This Row],[SeD]]&lt;-2,Table1[[#This Row],[Winning Seed]]&amp; " over " &amp;Table1[[#This Row],[Losing Seed]],"")</f>
        <v/>
      </c>
      <c r="Q877">
        <f>VLOOKUP(Table1[[#This Row],[Losing Seed]],'Seed History'!$N$4:$O$19,2)</f>
        <v>2.3472222222222223</v>
      </c>
      <c r="R877" s="1">
        <f>IF(Table1[[#This Row],[Round]]="PI",0,Table1[[#This Row],[Round]]-1)</f>
        <v>3</v>
      </c>
      <c r="S877">
        <f>Table1[[#This Row],[LAW]]-Table1[[#This Row],[LEW]]</f>
        <v>0.65277777777777768</v>
      </c>
    </row>
    <row r="878" spans="1:19" x14ac:dyDescent="0.25">
      <c r="A878" s="66">
        <v>35875</v>
      </c>
      <c r="B878" s="51">
        <f>YEAR(Table1[[#This Row],[Date]])</f>
        <v>1998</v>
      </c>
      <c r="C878" s="1">
        <v>4</v>
      </c>
      <c r="D878" t="s">
        <v>38</v>
      </c>
      <c r="E878" s="1">
        <v>3</v>
      </c>
      <c r="F878" t="s">
        <v>65</v>
      </c>
      <c r="G878" t="str">
        <f>VLOOKUP(Table1[[#This Row],[Winner]],Ranking!C:D,2,FALSE)</f>
        <v>P12</v>
      </c>
      <c r="H878" s="1">
        <v>76</v>
      </c>
      <c r="I878" s="1">
        <v>1</v>
      </c>
      <c r="J878" t="s">
        <v>48</v>
      </c>
      <c r="K878" t="str">
        <f>VLOOKUP(Table1[[#This Row],[Loser]],Ranking!C:D,2,FALSE)</f>
        <v>P12</v>
      </c>
      <c r="L878" s="1">
        <v>51</v>
      </c>
      <c r="N878" s="1">
        <f>Table1[[#This Row],[Winning Score]]-Table1[[#This Row],[Losing Score]]</f>
        <v>25</v>
      </c>
      <c r="O878" s="1">
        <f>Table1[[#This Row],[Losing Seed]]-Table1[[#This Row],[Winning Seed]]</f>
        <v>-2</v>
      </c>
      <c r="P878" s="1" t="str">
        <f>IF(Table1[[#This Row],[SeD]]&lt;-2,Table1[[#This Row],[Winning Seed]]&amp; " over " &amp;Table1[[#This Row],[Losing Seed]],"")</f>
        <v/>
      </c>
      <c r="Q878">
        <f>VLOOKUP(Table1[[#This Row],[Losing Seed]],'Seed History'!$N$4:$O$19,2)</f>
        <v>3.3263888888888888</v>
      </c>
      <c r="R878" s="1">
        <f>IF(Table1[[#This Row],[Round]]="PI",0,Table1[[#This Row],[Round]]-1)</f>
        <v>3</v>
      </c>
      <c r="S878">
        <f>Table1[[#This Row],[LAW]]-Table1[[#This Row],[LEW]]</f>
        <v>-0.32638888888888884</v>
      </c>
    </row>
    <row r="879" spans="1:19" x14ac:dyDescent="0.25">
      <c r="A879" s="66">
        <v>35876</v>
      </c>
      <c r="B879" s="51">
        <f>YEAR(Table1[[#This Row],[Date]])</f>
        <v>1998</v>
      </c>
      <c r="C879" s="1">
        <v>4</v>
      </c>
      <c r="D879" t="s">
        <v>439</v>
      </c>
      <c r="E879" s="1">
        <v>3</v>
      </c>
      <c r="F879" t="s">
        <v>369</v>
      </c>
      <c r="G879" t="str">
        <f>VLOOKUP(Table1[[#This Row],[Winner]],Ranking!C:D,2,FALSE)</f>
        <v>P12</v>
      </c>
      <c r="H879" s="1">
        <v>79</v>
      </c>
      <c r="I879" s="1">
        <v>8</v>
      </c>
      <c r="J879" t="s">
        <v>96</v>
      </c>
      <c r="K879" t="str">
        <f>VLOOKUP(Table1[[#This Row],[Loser]],Ranking!C:D,2,FALSE)</f>
        <v>A10</v>
      </c>
      <c r="L879" s="1">
        <v>77</v>
      </c>
      <c r="N879" s="1">
        <f>Table1[[#This Row],[Winning Score]]-Table1[[#This Row],[Losing Score]]</f>
        <v>2</v>
      </c>
      <c r="O879" s="1">
        <f>Table1[[#This Row],[Losing Seed]]-Table1[[#This Row],[Winning Seed]]</f>
        <v>5</v>
      </c>
      <c r="P879" s="1" t="str">
        <f>IF(Table1[[#This Row],[SeD]]&lt;-2,Table1[[#This Row],[Winning Seed]]&amp; " over " &amp;Table1[[#This Row],[Losing Seed]],"")</f>
        <v/>
      </c>
      <c r="Q879">
        <f>VLOOKUP(Table1[[#This Row],[Losing Seed]],'Seed History'!$N$4:$O$19,2)</f>
        <v>0.70833333333333337</v>
      </c>
      <c r="R879" s="1">
        <f>IF(Table1[[#This Row],[Round]]="PI",0,Table1[[#This Row],[Round]]-1)</f>
        <v>3</v>
      </c>
      <c r="S879">
        <f>Table1[[#This Row],[LAW]]-Table1[[#This Row],[LEW]]</f>
        <v>2.2916666666666665</v>
      </c>
    </row>
    <row r="880" spans="1:19" x14ac:dyDescent="0.25">
      <c r="A880" s="66">
        <v>35876</v>
      </c>
      <c r="B880" s="51">
        <f>YEAR(Table1[[#This Row],[Date]])</f>
        <v>1998</v>
      </c>
      <c r="C880" s="1">
        <v>4</v>
      </c>
      <c r="D880" t="s">
        <v>63</v>
      </c>
      <c r="E880" s="1">
        <v>2</v>
      </c>
      <c r="F880" t="s">
        <v>26</v>
      </c>
      <c r="G880" t="str">
        <f>VLOOKUP(Table1[[#This Row],[Winner]],Ranking!C:D,2,FALSE)</f>
        <v>SEC</v>
      </c>
      <c r="H880" s="1">
        <v>86</v>
      </c>
      <c r="I880" s="1">
        <v>1</v>
      </c>
      <c r="J880" t="s">
        <v>64</v>
      </c>
      <c r="K880" t="str">
        <f>VLOOKUP(Table1[[#This Row],[Loser]],Ranking!C:D,2,FALSE)</f>
        <v>ACC</v>
      </c>
      <c r="L880" s="1">
        <v>84</v>
      </c>
      <c r="N880" s="1">
        <f>Table1[[#This Row],[Winning Score]]-Table1[[#This Row],[Losing Score]]</f>
        <v>2</v>
      </c>
      <c r="O880" s="1">
        <f>Table1[[#This Row],[Losing Seed]]-Table1[[#This Row],[Winning Seed]]</f>
        <v>-1</v>
      </c>
      <c r="P880" s="1" t="str">
        <f>IF(Table1[[#This Row],[SeD]]&lt;-2,Table1[[#This Row],[Winning Seed]]&amp; " over " &amp;Table1[[#This Row],[Losing Seed]],"")</f>
        <v/>
      </c>
      <c r="Q880">
        <f>VLOOKUP(Table1[[#This Row],[Losing Seed]],'Seed History'!$N$4:$O$19,2)</f>
        <v>3.3263888888888888</v>
      </c>
      <c r="R880" s="1">
        <f>IF(Table1[[#This Row],[Round]]="PI",0,Table1[[#This Row],[Round]]-1)</f>
        <v>3</v>
      </c>
      <c r="S880">
        <f>Table1[[#This Row],[LAW]]-Table1[[#This Row],[LEW]]</f>
        <v>-0.32638888888888884</v>
      </c>
    </row>
    <row r="881" spans="1:19" x14ac:dyDescent="0.25">
      <c r="A881" s="66">
        <v>35882</v>
      </c>
      <c r="B881" s="51">
        <f>YEAR(Table1[[#This Row],[Date]])</f>
        <v>1998</v>
      </c>
      <c r="C881" s="1">
        <v>5</v>
      </c>
      <c r="D881" t="s">
        <v>467</v>
      </c>
      <c r="E881" s="1">
        <v>2</v>
      </c>
      <c r="F881" t="s">
        <v>26</v>
      </c>
      <c r="G881" t="str">
        <f>VLOOKUP(Table1[[#This Row],[Winner]],Ranking!C:D,2,FALSE)</f>
        <v>SEC</v>
      </c>
      <c r="H881" s="1">
        <v>86</v>
      </c>
      <c r="I881" s="1">
        <v>3</v>
      </c>
      <c r="J881" t="s">
        <v>369</v>
      </c>
      <c r="K881" t="str">
        <f>VLOOKUP(Table1[[#This Row],[Loser]],Ranking!C:D,2,FALSE)</f>
        <v>P12</v>
      </c>
      <c r="L881" s="1">
        <v>85</v>
      </c>
      <c r="M881" s="1" t="s">
        <v>462</v>
      </c>
      <c r="N881" s="1">
        <f>Table1[[#This Row],[Winning Score]]-Table1[[#This Row],[Losing Score]]</f>
        <v>1</v>
      </c>
      <c r="O881" s="1">
        <f>Table1[[#This Row],[Losing Seed]]-Table1[[#This Row],[Winning Seed]]</f>
        <v>1</v>
      </c>
      <c r="P881" s="1" t="str">
        <f>IF(Table1[[#This Row],[SeD]]&lt;-2,Table1[[#This Row],[Winning Seed]]&amp; " over " &amp;Table1[[#This Row],[Losing Seed]],"")</f>
        <v/>
      </c>
      <c r="Q881">
        <f>VLOOKUP(Table1[[#This Row],[Losing Seed]],'Seed History'!$N$4:$O$19,2)</f>
        <v>1.8472222222222223</v>
      </c>
      <c r="R881" s="1">
        <f>IF(Table1[[#This Row],[Round]]="PI",0,Table1[[#This Row],[Round]]-1)</f>
        <v>4</v>
      </c>
      <c r="S881">
        <f>Table1[[#This Row],[LAW]]-Table1[[#This Row],[LEW]]</f>
        <v>2.1527777777777777</v>
      </c>
    </row>
    <row r="882" spans="1:19" x14ac:dyDescent="0.25">
      <c r="A882" s="66">
        <v>35882</v>
      </c>
      <c r="B882" s="51">
        <f>YEAR(Table1[[#This Row],[Date]])</f>
        <v>1998</v>
      </c>
      <c r="C882" s="1">
        <v>5</v>
      </c>
      <c r="D882" t="s">
        <v>467</v>
      </c>
      <c r="E882" s="1">
        <v>3</v>
      </c>
      <c r="F882" t="s">
        <v>65</v>
      </c>
      <c r="G882" t="str">
        <f>VLOOKUP(Table1[[#This Row],[Winner]],Ranking!C:D,2,FALSE)</f>
        <v>P12</v>
      </c>
      <c r="H882" s="1">
        <v>65</v>
      </c>
      <c r="I882" s="1">
        <v>1</v>
      </c>
      <c r="J882" t="s">
        <v>298</v>
      </c>
      <c r="K882" t="str">
        <f>VLOOKUP(Table1[[#This Row],[Loser]],Ranking!C:D,2,FALSE)</f>
        <v>ACC</v>
      </c>
      <c r="L882" s="1">
        <v>59</v>
      </c>
      <c r="N882" s="1">
        <f>Table1[[#This Row],[Winning Score]]-Table1[[#This Row],[Losing Score]]</f>
        <v>6</v>
      </c>
      <c r="O882" s="1">
        <f>Table1[[#This Row],[Losing Seed]]-Table1[[#This Row],[Winning Seed]]</f>
        <v>-2</v>
      </c>
      <c r="P882" s="1" t="str">
        <f>IF(Table1[[#This Row],[SeD]]&lt;-2,Table1[[#This Row],[Winning Seed]]&amp; " over " &amp;Table1[[#This Row],[Losing Seed]],"")</f>
        <v/>
      </c>
      <c r="Q882">
        <f>VLOOKUP(Table1[[#This Row],[Losing Seed]],'Seed History'!$N$4:$O$19,2)</f>
        <v>3.3263888888888888</v>
      </c>
      <c r="R882" s="1">
        <f>IF(Table1[[#This Row],[Round]]="PI",0,Table1[[#This Row],[Round]]-1)</f>
        <v>4</v>
      </c>
      <c r="S882">
        <f>Table1[[#This Row],[LAW]]-Table1[[#This Row],[LEW]]</f>
        <v>0.67361111111111116</v>
      </c>
    </row>
    <row r="883" spans="1:19" x14ac:dyDescent="0.25">
      <c r="A883" s="66">
        <v>35884</v>
      </c>
      <c r="B883" s="51">
        <f>YEAR(Table1[[#This Row],[Date]])</f>
        <v>1998</v>
      </c>
      <c r="C883" s="1">
        <v>6</v>
      </c>
      <c r="D883" t="s">
        <v>468</v>
      </c>
      <c r="E883" s="1">
        <v>2</v>
      </c>
      <c r="F883" t="s">
        <v>26</v>
      </c>
      <c r="G883" t="str">
        <f>VLOOKUP(Table1[[#This Row],[Winner]],Ranking!C:D,2,FALSE)</f>
        <v>SEC</v>
      </c>
      <c r="H883" s="1">
        <v>78</v>
      </c>
      <c r="I883" s="1">
        <v>3</v>
      </c>
      <c r="J883" t="s">
        <v>65</v>
      </c>
      <c r="K883" t="str">
        <f>VLOOKUP(Table1[[#This Row],[Loser]],Ranking!C:D,2,FALSE)</f>
        <v>P12</v>
      </c>
      <c r="L883" s="1">
        <v>69</v>
      </c>
      <c r="N883" s="1">
        <f>Table1[[#This Row],[Winning Score]]-Table1[[#This Row],[Losing Score]]</f>
        <v>9</v>
      </c>
      <c r="O883" s="1">
        <f>Table1[[#This Row],[Losing Seed]]-Table1[[#This Row],[Winning Seed]]</f>
        <v>1</v>
      </c>
      <c r="P883" s="1" t="str">
        <f>IF(Table1[[#This Row],[SeD]]&lt;-2,Table1[[#This Row],[Winning Seed]]&amp; " over " &amp;Table1[[#This Row],[Losing Seed]],"")</f>
        <v/>
      </c>
      <c r="Q883">
        <f>VLOOKUP(Table1[[#This Row],[Losing Seed]],'Seed History'!$N$4:$O$19,2)</f>
        <v>1.8472222222222223</v>
      </c>
      <c r="R883" s="1">
        <f>IF(Table1[[#This Row],[Round]]="PI",0,Table1[[#This Row],[Round]]-1)</f>
        <v>5</v>
      </c>
      <c r="S883">
        <f>Table1[[#This Row],[LAW]]-Table1[[#This Row],[LEW]]</f>
        <v>3.1527777777777777</v>
      </c>
    </row>
    <row r="884" spans="1:19" x14ac:dyDescent="0.25">
      <c r="A884" s="66">
        <v>36230</v>
      </c>
      <c r="B884" s="51">
        <f>YEAR(Table1[[#This Row],[Date]])</f>
        <v>1999</v>
      </c>
      <c r="C884" s="1">
        <v>1</v>
      </c>
      <c r="D884" t="s">
        <v>38</v>
      </c>
      <c r="E884" s="1">
        <v>14</v>
      </c>
      <c r="F884" t="s">
        <v>411</v>
      </c>
      <c r="G884" t="str">
        <f>VLOOKUP(Table1[[#This Row],[Winner]],Ranking!C:D,2,FALSE)</f>
        <v>BSky</v>
      </c>
      <c r="H884" s="1">
        <v>76</v>
      </c>
      <c r="I884" s="1">
        <v>3</v>
      </c>
      <c r="J884" t="s">
        <v>298</v>
      </c>
      <c r="K884" t="str">
        <f>VLOOKUP(Table1[[#This Row],[Loser]],Ranking!C:D,2,FALSE)</f>
        <v>ACC</v>
      </c>
      <c r="L884" s="1">
        <v>74</v>
      </c>
      <c r="N884" s="1">
        <f>Table1[[#This Row],[Winning Score]]-Table1[[#This Row],[Losing Score]]</f>
        <v>2</v>
      </c>
      <c r="O884" s="1">
        <f>Table1[[#This Row],[Losing Seed]]-Table1[[#This Row],[Winning Seed]]</f>
        <v>-11</v>
      </c>
      <c r="P884" s="1" t="str">
        <f>IF(Table1[[#This Row],[SeD]]&lt;-2,Table1[[#This Row],[Winning Seed]]&amp; " over " &amp;Table1[[#This Row],[Losing Seed]],"")</f>
        <v>14 over 3</v>
      </c>
      <c r="Q884">
        <f>VLOOKUP(Table1[[#This Row],[Losing Seed]],'Seed History'!$N$4:$O$19,2)</f>
        <v>1.8472222222222223</v>
      </c>
      <c r="R884" s="1">
        <f>IF(Table1[[#This Row],[Round]]="PI",0,Table1[[#This Row],[Round]]-1)</f>
        <v>0</v>
      </c>
      <c r="S884">
        <f>Table1[[#This Row],[LAW]]-Table1[[#This Row],[LEW]]</f>
        <v>-1.8472222222222223</v>
      </c>
    </row>
    <row r="885" spans="1:19" x14ac:dyDescent="0.25">
      <c r="A885" s="66">
        <v>36230</v>
      </c>
      <c r="B885" s="51">
        <f>YEAR(Table1[[#This Row],[Date]])</f>
        <v>1999</v>
      </c>
      <c r="C885" s="1">
        <v>1</v>
      </c>
      <c r="D885" t="s">
        <v>63</v>
      </c>
      <c r="E885" s="1">
        <v>12</v>
      </c>
      <c r="F885" t="s">
        <v>187</v>
      </c>
      <c r="G885" t="str">
        <f>VLOOKUP(Table1[[#This Row],[Winner]],Ranking!C:D,2,FALSE)</f>
        <v>Horz</v>
      </c>
      <c r="H885" s="1">
        <v>56</v>
      </c>
      <c r="I885" s="1">
        <v>5</v>
      </c>
      <c r="J885" t="s">
        <v>67</v>
      </c>
      <c r="K885" t="str">
        <f>VLOOKUP(Table1[[#This Row],[Loser]],Ranking!C:D,2,FALSE)</f>
        <v>P12</v>
      </c>
      <c r="L885" s="1">
        <v>53</v>
      </c>
      <c r="N885" s="1">
        <f>Table1[[#This Row],[Winning Score]]-Table1[[#This Row],[Losing Score]]</f>
        <v>3</v>
      </c>
      <c r="O885" s="1">
        <f>Table1[[#This Row],[Losing Seed]]-Table1[[#This Row],[Winning Seed]]</f>
        <v>-7</v>
      </c>
      <c r="P885" s="1" t="str">
        <f>IF(Table1[[#This Row],[SeD]]&lt;-2,Table1[[#This Row],[Winning Seed]]&amp; " over " &amp;Table1[[#This Row],[Losing Seed]],"")</f>
        <v>12 over 5</v>
      </c>
      <c r="Q885">
        <f>VLOOKUP(Table1[[#This Row],[Losing Seed]],'Seed History'!$N$4:$O$19,2)</f>
        <v>1.1180555555555556</v>
      </c>
      <c r="R885" s="1">
        <f>IF(Table1[[#This Row],[Round]]="PI",0,Table1[[#This Row],[Round]]-1)</f>
        <v>0</v>
      </c>
      <c r="S885">
        <f>Table1[[#This Row],[LAW]]-Table1[[#This Row],[LEW]]</f>
        <v>-1.1180555555555556</v>
      </c>
    </row>
    <row r="886" spans="1:19" x14ac:dyDescent="0.25">
      <c r="A886" s="66">
        <v>36230</v>
      </c>
      <c r="B886" s="51">
        <f>YEAR(Table1[[#This Row],[Date]])</f>
        <v>1999</v>
      </c>
      <c r="C886" s="1">
        <v>1</v>
      </c>
      <c r="D886" t="s">
        <v>63</v>
      </c>
      <c r="E886" s="1">
        <v>1</v>
      </c>
      <c r="F886" t="s">
        <v>129</v>
      </c>
      <c r="G886" t="str">
        <f>VLOOKUP(Table1[[#This Row],[Winner]],Ranking!C:D,2,FALSE)</f>
        <v>SEC</v>
      </c>
      <c r="H886" s="1">
        <v>80</v>
      </c>
      <c r="I886" s="1">
        <v>16</v>
      </c>
      <c r="J886" t="s">
        <v>419</v>
      </c>
      <c r="K886" t="str">
        <f>VLOOKUP(Table1[[#This Row],[Loser]],Ranking!C:D,2,FALSE)</f>
        <v>BSth</v>
      </c>
      <c r="L886" s="1">
        <v>41</v>
      </c>
      <c r="N886" s="1">
        <f>Table1[[#This Row],[Winning Score]]-Table1[[#This Row],[Losing Score]]</f>
        <v>39</v>
      </c>
      <c r="O886" s="1">
        <f>Table1[[#This Row],[Losing Seed]]-Table1[[#This Row],[Winning Seed]]</f>
        <v>15</v>
      </c>
      <c r="P886" s="1" t="str">
        <f>IF(Table1[[#This Row],[SeD]]&lt;-2,Table1[[#This Row],[Winning Seed]]&amp; " over " &amp;Table1[[#This Row],[Losing Seed]],"")</f>
        <v/>
      </c>
      <c r="Q886">
        <f>VLOOKUP(Table1[[#This Row],[Losing Seed]],'Seed History'!$N$4:$O$19,2)</f>
        <v>6.9444444444444441E-3</v>
      </c>
      <c r="R886" s="1">
        <f>IF(Table1[[#This Row],[Round]]="PI",0,Table1[[#This Row],[Round]]-1)</f>
        <v>0</v>
      </c>
      <c r="S886">
        <f>Table1[[#This Row],[LAW]]-Table1[[#This Row],[LEW]]</f>
        <v>-6.9444444444444441E-3</v>
      </c>
    </row>
    <row r="887" spans="1:19" x14ac:dyDescent="0.25">
      <c r="A887" s="66">
        <v>36230</v>
      </c>
      <c r="B887" s="51">
        <f>YEAR(Table1[[#This Row],[Date]])</f>
        <v>1999</v>
      </c>
      <c r="C887" s="1">
        <v>1</v>
      </c>
      <c r="D887" t="s">
        <v>63</v>
      </c>
      <c r="E887" s="1">
        <v>2</v>
      </c>
      <c r="F887" t="s">
        <v>31</v>
      </c>
      <c r="G887" t="str">
        <f>VLOOKUP(Table1[[#This Row],[Winner]],Ranking!C:D,2,FALSE)</f>
        <v>B10</v>
      </c>
      <c r="H887" s="1">
        <v>82</v>
      </c>
      <c r="I887" s="1">
        <v>15</v>
      </c>
      <c r="J887" t="s">
        <v>32</v>
      </c>
      <c r="K887" t="str">
        <f>VLOOKUP(Table1[[#This Row],[Loser]],Ranking!C:D,2,FALSE)</f>
        <v>MVC</v>
      </c>
      <c r="L887" s="1">
        <v>60</v>
      </c>
      <c r="N887" s="1">
        <f>Table1[[#This Row],[Winning Score]]-Table1[[#This Row],[Losing Score]]</f>
        <v>22</v>
      </c>
      <c r="O887" s="1">
        <f>Table1[[#This Row],[Losing Seed]]-Table1[[#This Row],[Winning Seed]]</f>
        <v>13</v>
      </c>
      <c r="P887" s="1" t="str">
        <f>IF(Table1[[#This Row],[SeD]]&lt;-2,Table1[[#This Row],[Winning Seed]]&amp; " over " &amp;Table1[[#This Row],[Losing Seed]],"")</f>
        <v/>
      </c>
      <c r="Q887">
        <f>VLOOKUP(Table1[[#This Row],[Losing Seed]],'Seed History'!$N$4:$O$19,2)</f>
        <v>7.6388888888888895E-2</v>
      </c>
      <c r="R887" s="1">
        <f>IF(Table1[[#This Row],[Round]]="PI",0,Table1[[#This Row],[Round]]-1)</f>
        <v>0</v>
      </c>
      <c r="S887">
        <f>Table1[[#This Row],[LAW]]-Table1[[#This Row],[LEW]]</f>
        <v>-7.6388888888888895E-2</v>
      </c>
    </row>
    <row r="888" spans="1:19" x14ac:dyDescent="0.25">
      <c r="A888" s="66">
        <v>36230</v>
      </c>
      <c r="B888" s="51">
        <f>YEAR(Table1[[#This Row],[Date]])</f>
        <v>1999</v>
      </c>
      <c r="C888" s="1">
        <v>1</v>
      </c>
      <c r="D888" t="s">
        <v>63</v>
      </c>
      <c r="E888" s="1">
        <v>3</v>
      </c>
      <c r="F888" t="s">
        <v>368</v>
      </c>
      <c r="G888" t="str">
        <f>VLOOKUP(Table1[[#This Row],[Winner]],Ranking!C:D,2,FALSE)</f>
        <v>BE</v>
      </c>
      <c r="H888" s="1">
        <v>69</v>
      </c>
      <c r="I888" s="1">
        <v>14</v>
      </c>
      <c r="J888" t="s">
        <v>342</v>
      </c>
      <c r="K888" t="str">
        <f>VLOOKUP(Table1[[#This Row],[Loser]],Ranking!C:D,2,FALSE)</f>
        <v>SC</v>
      </c>
      <c r="L888" s="1">
        <v>43</v>
      </c>
      <c r="N888" s="1">
        <f>Table1[[#This Row],[Winning Score]]-Table1[[#This Row],[Losing Score]]</f>
        <v>26</v>
      </c>
      <c r="O888" s="1">
        <f>Table1[[#This Row],[Losing Seed]]-Table1[[#This Row],[Winning Seed]]</f>
        <v>11</v>
      </c>
      <c r="P888" s="1" t="str">
        <f>IF(Table1[[#This Row],[SeD]]&lt;-2,Table1[[#This Row],[Winning Seed]]&amp; " over " &amp;Table1[[#This Row],[Losing Seed]],"")</f>
        <v/>
      </c>
      <c r="Q888">
        <f>VLOOKUP(Table1[[#This Row],[Losing Seed]],'Seed History'!$N$4:$O$19,2)</f>
        <v>0.16666666666666666</v>
      </c>
      <c r="R888" s="1">
        <f>IF(Table1[[#This Row],[Round]]="PI",0,Table1[[#This Row],[Round]]-1)</f>
        <v>0</v>
      </c>
      <c r="S888">
        <f>Table1[[#This Row],[LAW]]-Table1[[#This Row],[LEW]]</f>
        <v>-0.16666666666666666</v>
      </c>
    </row>
    <row r="889" spans="1:19" x14ac:dyDescent="0.25">
      <c r="A889" s="66">
        <v>36230</v>
      </c>
      <c r="B889" s="51">
        <f>YEAR(Table1[[#This Row],[Date]])</f>
        <v>1999</v>
      </c>
      <c r="C889" s="1">
        <v>1</v>
      </c>
      <c r="D889" t="s">
        <v>63</v>
      </c>
      <c r="E889" s="1">
        <v>4</v>
      </c>
      <c r="F889" t="s">
        <v>315</v>
      </c>
      <c r="G889" t="str">
        <f>VLOOKUP(Table1[[#This Row],[Winner]],Ranking!C:D,2,FALSE)</f>
        <v>B10</v>
      </c>
      <c r="H889" s="1">
        <v>72</v>
      </c>
      <c r="I889" s="1">
        <v>13</v>
      </c>
      <c r="J889" t="s">
        <v>285</v>
      </c>
      <c r="K889" t="str">
        <f>VLOOKUP(Table1[[#This Row],[Loser]],Ranking!C:D,2,FALSE)</f>
        <v>OVC</v>
      </c>
      <c r="L889" s="1">
        <v>58</v>
      </c>
      <c r="N889" s="1">
        <f>Table1[[#This Row],[Winning Score]]-Table1[[#This Row],[Losing Score]]</f>
        <v>14</v>
      </c>
      <c r="O889" s="1">
        <f>Table1[[#This Row],[Losing Seed]]-Table1[[#This Row],[Winning Seed]]</f>
        <v>9</v>
      </c>
      <c r="P889" s="1" t="str">
        <f>IF(Table1[[#This Row],[SeD]]&lt;-2,Table1[[#This Row],[Winning Seed]]&amp; " over " &amp;Table1[[#This Row],[Losing Seed]],"")</f>
        <v/>
      </c>
      <c r="Q889">
        <f>VLOOKUP(Table1[[#This Row],[Losing Seed]],'Seed History'!$N$4:$O$19,2)</f>
        <v>0.25694444444444442</v>
      </c>
      <c r="R889" s="1">
        <f>IF(Table1[[#This Row],[Round]]="PI",0,Table1[[#This Row],[Round]]-1)</f>
        <v>0</v>
      </c>
      <c r="S889">
        <f>Table1[[#This Row],[LAW]]-Table1[[#This Row],[LEW]]</f>
        <v>-0.25694444444444442</v>
      </c>
    </row>
    <row r="890" spans="1:19" x14ac:dyDescent="0.25">
      <c r="A890" s="66">
        <v>36230</v>
      </c>
      <c r="B890" s="51">
        <f>YEAR(Table1[[#This Row],[Date]])</f>
        <v>1999</v>
      </c>
      <c r="C890" s="1">
        <v>1</v>
      </c>
      <c r="D890" t="s">
        <v>63</v>
      </c>
      <c r="E890" s="1">
        <v>6</v>
      </c>
      <c r="F890" t="s">
        <v>36</v>
      </c>
      <c r="G890" t="str">
        <f>VLOOKUP(Table1[[#This Row],[Winner]],Ranking!C:D,2,FALSE)</f>
        <v>B10</v>
      </c>
      <c r="H890" s="1">
        <v>108</v>
      </c>
      <c r="I890" s="1">
        <v>11</v>
      </c>
      <c r="J890" t="s">
        <v>213</v>
      </c>
      <c r="K890" t="str">
        <f>VLOOKUP(Table1[[#This Row],[Loser]],Ranking!C:D,2,FALSE)</f>
        <v>A10</v>
      </c>
      <c r="L890" s="1">
        <v>88</v>
      </c>
      <c r="N890" s="1">
        <f>Table1[[#This Row],[Winning Score]]-Table1[[#This Row],[Losing Score]]</f>
        <v>20</v>
      </c>
      <c r="O890" s="1">
        <f>Table1[[#This Row],[Losing Seed]]-Table1[[#This Row],[Winning Seed]]</f>
        <v>5</v>
      </c>
      <c r="P890" s="1" t="str">
        <f>IF(Table1[[#This Row],[SeD]]&lt;-2,Table1[[#This Row],[Winning Seed]]&amp; " over " &amp;Table1[[#This Row],[Losing Seed]],"")</f>
        <v/>
      </c>
      <c r="Q890">
        <f>VLOOKUP(Table1[[#This Row],[Losing Seed]],'Seed History'!$N$4:$O$19,2)</f>
        <v>0.63194444444444442</v>
      </c>
      <c r="R890" s="1">
        <f>IF(Table1[[#This Row],[Round]]="PI",0,Table1[[#This Row],[Round]]-1)</f>
        <v>0</v>
      </c>
      <c r="S890">
        <f>Table1[[#This Row],[LAW]]-Table1[[#This Row],[LEW]]</f>
        <v>-0.63194444444444442</v>
      </c>
    </row>
    <row r="891" spans="1:19" x14ac:dyDescent="0.25">
      <c r="A891" s="66">
        <v>36230</v>
      </c>
      <c r="B891" s="51">
        <f>YEAR(Table1[[#This Row],[Date]])</f>
        <v>1999</v>
      </c>
      <c r="C891" s="1">
        <v>1</v>
      </c>
      <c r="D891" t="s">
        <v>38</v>
      </c>
      <c r="E891" s="1">
        <v>1</v>
      </c>
      <c r="F891" t="s">
        <v>80</v>
      </c>
      <c r="G891" t="str">
        <f>VLOOKUP(Table1[[#This Row],[Winner]],Ranking!C:D,2,FALSE)</f>
        <v>BE</v>
      </c>
      <c r="H891" s="1">
        <v>91</v>
      </c>
      <c r="I891" s="1">
        <v>16</v>
      </c>
      <c r="J891" t="s">
        <v>403</v>
      </c>
      <c r="K891" t="str">
        <f>VLOOKUP(Table1[[#This Row],[Loser]],Ranking!C:D,2,FALSE)</f>
        <v>CUSA</v>
      </c>
      <c r="L891" s="1">
        <v>66</v>
      </c>
      <c r="N891" s="1">
        <f>Table1[[#This Row],[Winning Score]]-Table1[[#This Row],[Losing Score]]</f>
        <v>25</v>
      </c>
      <c r="O891" s="1">
        <f>Table1[[#This Row],[Losing Seed]]-Table1[[#This Row],[Winning Seed]]</f>
        <v>15</v>
      </c>
      <c r="P891" s="1" t="str">
        <f>IF(Table1[[#This Row],[SeD]]&lt;-2,Table1[[#This Row],[Winning Seed]]&amp; " over " &amp;Table1[[#This Row],[Losing Seed]],"")</f>
        <v/>
      </c>
      <c r="Q891">
        <f>VLOOKUP(Table1[[#This Row],[Losing Seed]],'Seed History'!$N$4:$O$19,2)</f>
        <v>6.9444444444444441E-3</v>
      </c>
      <c r="R891" s="1">
        <f>IF(Table1[[#This Row],[Round]]="PI",0,Table1[[#This Row],[Round]]-1)</f>
        <v>0</v>
      </c>
      <c r="S891">
        <f>Table1[[#This Row],[LAW]]-Table1[[#This Row],[LEW]]</f>
        <v>-6.9444444444444441E-3</v>
      </c>
    </row>
    <row r="892" spans="1:19" x14ac:dyDescent="0.25">
      <c r="A892" s="66">
        <v>36230</v>
      </c>
      <c r="B892" s="51">
        <f>YEAR(Table1[[#This Row],[Date]])</f>
        <v>1999</v>
      </c>
      <c r="C892" s="1">
        <v>1</v>
      </c>
      <c r="D892" t="s">
        <v>38</v>
      </c>
      <c r="E892" s="1">
        <v>2</v>
      </c>
      <c r="F892" t="s">
        <v>369</v>
      </c>
      <c r="G892" t="str">
        <f>VLOOKUP(Table1[[#This Row],[Winner]],Ranking!C:D,2,FALSE)</f>
        <v>P12</v>
      </c>
      <c r="H892" s="1">
        <v>69</v>
      </c>
      <c r="I892" s="1">
        <v>15</v>
      </c>
      <c r="J892" t="s">
        <v>119</v>
      </c>
      <c r="K892" t="str">
        <f>VLOOKUP(Table1[[#This Row],[Loser]],Ranking!C:D,2,FALSE)</f>
        <v>SWAC</v>
      </c>
      <c r="L892" s="1">
        <v>57</v>
      </c>
      <c r="N892" s="1">
        <f>Table1[[#This Row],[Winning Score]]-Table1[[#This Row],[Losing Score]]</f>
        <v>12</v>
      </c>
      <c r="O892" s="1">
        <f>Table1[[#This Row],[Losing Seed]]-Table1[[#This Row],[Winning Seed]]</f>
        <v>13</v>
      </c>
      <c r="P892" s="1" t="str">
        <f>IF(Table1[[#This Row],[SeD]]&lt;-2,Table1[[#This Row],[Winning Seed]]&amp; " over " &amp;Table1[[#This Row],[Losing Seed]],"")</f>
        <v/>
      </c>
      <c r="Q892">
        <f>VLOOKUP(Table1[[#This Row],[Losing Seed]],'Seed History'!$N$4:$O$19,2)</f>
        <v>7.6388888888888895E-2</v>
      </c>
      <c r="R892" s="1">
        <f>IF(Table1[[#This Row],[Round]]="PI",0,Table1[[#This Row],[Round]]-1)</f>
        <v>0</v>
      </c>
      <c r="S892">
        <f>Table1[[#This Row],[LAW]]-Table1[[#This Row],[LEW]]</f>
        <v>-7.6388888888888895E-2</v>
      </c>
    </row>
    <row r="893" spans="1:19" x14ac:dyDescent="0.25">
      <c r="A893" s="66">
        <v>36230</v>
      </c>
      <c r="B893" s="51">
        <f>YEAR(Table1[[#This Row],[Date]])</f>
        <v>1999</v>
      </c>
      <c r="C893" s="1">
        <v>1</v>
      </c>
      <c r="D893" t="s">
        <v>38</v>
      </c>
      <c r="E893" s="1">
        <v>4</v>
      </c>
      <c r="F893" t="s">
        <v>41</v>
      </c>
      <c r="G893" t="str">
        <f>VLOOKUP(Table1[[#This Row],[Winner]],Ranking!C:D,2,FALSE)</f>
        <v>SEC</v>
      </c>
      <c r="H893" s="1">
        <v>94</v>
      </c>
      <c r="I893" s="1">
        <v>13</v>
      </c>
      <c r="J893" t="s">
        <v>350</v>
      </c>
      <c r="K893" t="str">
        <f>VLOOKUP(Table1[[#This Row],[Loser]],Ranking!C:D,2,FALSE)</f>
        <v>MAAC</v>
      </c>
      <c r="L893" s="1">
        <v>80</v>
      </c>
      <c r="N893" s="1">
        <f>Table1[[#This Row],[Winning Score]]-Table1[[#This Row],[Losing Score]]</f>
        <v>14</v>
      </c>
      <c r="O893" s="1">
        <f>Table1[[#This Row],[Losing Seed]]-Table1[[#This Row],[Winning Seed]]</f>
        <v>9</v>
      </c>
      <c r="P893" s="1" t="str">
        <f>IF(Table1[[#This Row],[SeD]]&lt;-2,Table1[[#This Row],[Winning Seed]]&amp; " over " &amp;Table1[[#This Row],[Losing Seed]],"")</f>
        <v/>
      </c>
      <c r="Q893">
        <f>VLOOKUP(Table1[[#This Row],[Losing Seed]],'Seed History'!$N$4:$O$19,2)</f>
        <v>0.25694444444444442</v>
      </c>
      <c r="R893" s="1">
        <f>IF(Table1[[#This Row],[Round]]="PI",0,Table1[[#This Row],[Round]]-1)</f>
        <v>0</v>
      </c>
      <c r="S893">
        <f>Table1[[#This Row],[LAW]]-Table1[[#This Row],[LEW]]</f>
        <v>-0.25694444444444442</v>
      </c>
    </row>
    <row r="894" spans="1:19" x14ac:dyDescent="0.25">
      <c r="A894" s="66">
        <v>36230</v>
      </c>
      <c r="B894" s="51">
        <f>YEAR(Table1[[#This Row],[Date]])</f>
        <v>1999</v>
      </c>
      <c r="C894" s="1">
        <v>1</v>
      </c>
      <c r="D894" t="s">
        <v>38</v>
      </c>
      <c r="E894" s="1">
        <v>5</v>
      </c>
      <c r="F894" t="s">
        <v>69</v>
      </c>
      <c r="G894" t="str">
        <f>VLOOKUP(Table1[[#This Row],[Winner]],Ranking!C:D,2,FALSE)</f>
        <v>B10</v>
      </c>
      <c r="H894" s="1">
        <v>77</v>
      </c>
      <c r="I894" s="1">
        <v>12</v>
      </c>
      <c r="J894" t="s">
        <v>68</v>
      </c>
      <c r="K894" t="str">
        <f>VLOOKUP(Table1[[#This Row],[Loser]],Ranking!C:D,2,FALSE)</f>
        <v>CUSA</v>
      </c>
      <c r="L894" s="1">
        <v>64</v>
      </c>
      <c r="N894" s="1">
        <f>Table1[[#This Row],[Winning Score]]-Table1[[#This Row],[Losing Score]]</f>
        <v>13</v>
      </c>
      <c r="O894" s="1">
        <f>Table1[[#This Row],[Losing Seed]]-Table1[[#This Row],[Winning Seed]]</f>
        <v>7</v>
      </c>
      <c r="P894" s="1" t="str">
        <f>IF(Table1[[#This Row],[SeD]]&lt;-2,Table1[[#This Row],[Winning Seed]]&amp; " over " &amp;Table1[[#This Row],[Losing Seed]],"")</f>
        <v/>
      </c>
      <c r="Q894">
        <f>VLOOKUP(Table1[[#This Row],[Losing Seed]],'Seed History'!$N$4:$O$19,2)</f>
        <v>0.52083333333333337</v>
      </c>
      <c r="R894" s="1">
        <f>IF(Table1[[#This Row],[Round]]="PI",0,Table1[[#This Row],[Round]]-1)</f>
        <v>0</v>
      </c>
      <c r="S894">
        <f>Table1[[#This Row],[LAW]]-Table1[[#This Row],[LEW]]</f>
        <v>-0.52083333333333337</v>
      </c>
    </row>
    <row r="895" spans="1:19" x14ac:dyDescent="0.25">
      <c r="A895" s="66">
        <v>36230</v>
      </c>
      <c r="B895" s="51">
        <f>YEAR(Table1[[#This Row],[Date]])</f>
        <v>1999</v>
      </c>
      <c r="C895" s="1">
        <v>1</v>
      </c>
      <c r="D895" t="s">
        <v>38</v>
      </c>
      <c r="E895" s="1">
        <v>6</v>
      </c>
      <c r="F895" t="s">
        <v>81</v>
      </c>
      <c r="G895" t="str">
        <f>VLOOKUP(Table1[[#This Row],[Winner]],Ranking!C:D,2,FALSE)</f>
        <v>SEC</v>
      </c>
      <c r="H895" s="1">
        <v>75</v>
      </c>
      <c r="I895" s="1">
        <v>11</v>
      </c>
      <c r="J895" t="s">
        <v>321</v>
      </c>
      <c r="K895" t="str">
        <f>VLOOKUP(Table1[[#This Row],[Loser]],Ranking!C:D,2,FALSE)</f>
        <v>Ivy</v>
      </c>
      <c r="L895" s="1">
        <v>61</v>
      </c>
      <c r="N895" s="1">
        <f>Table1[[#This Row],[Winning Score]]-Table1[[#This Row],[Losing Score]]</f>
        <v>14</v>
      </c>
      <c r="O895" s="1">
        <f>Table1[[#This Row],[Losing Seed]]-Table1[[#This Row],[Winning Seed]]</f>
        <v>5</v>
      </c>
      <c r="P895" s="1" t="str">
        <f>IF(Table1[[#This Row],[SeD]]&lt;-2,Table1[[#This Row],[Winning Seed]]&amp; " over " &amp;Table1[[#This Row],[Losing Seed]],"")</f>
        <v/>
      </c>
      <c r="Q895">
        <f>VLOOKUP(Table1[[#This Row],[Losing Seed]],'Seed History'!$N$4:$O$19,2)</f>
        <v>0.63194444444444442</v>
      </c>
      <c r="R895" s="1">
        <f>IF(Table1[[#This Row],[Round]]="PI",0,Table1[[#This Row],[Round]]-1)</f>
        <v>0</v>
      </c>
      <c r="S895">
        <f>Table1[[#This Row],[LAW]]-Table1[[#This Row],[LEW]]</f>
        <v>-0.63194444444444442</v>
      </c>
    </row>
    <row r="896" spans="1:19" x14ac:dyDescent="0.25">
      <c r="A896" s="66">
        <v>36230</v>
      </c>
      <c r="B896" s="51">
        <f>YEAR(Table1[[#This Row],[Date]])</f>
        <v>1999</v>
      </c>
      <c r="C896" s="1">
        <v>1</v>
      </c>
      <c r="D896" t="s">
        <v>63</v>
      </c>
      <c r="E896" s="1">
        <v>10</v>
      </c>
      <c r="F896" t="s">
        <v>88</v>
      </c>
      <c r="G896" t="str">
        <f>VLOOKUP(Table1[[#This Row],[Winner]],Ranking!C:D,2,FALSE)</f>
        <v>BE</v>
      </c>
      <c r="H896" s="1">
        <v>62</v>
      </c>
      <c r="I896" s="1">
        <v>7</v>
      </c>
      <c r="J896" t="s">
        <v>54</v>
      </c>
      <c r="K896" t="str">
        <f>VLOOKUP(Table1[[#This Row],[Loser]],Ranking!C:D,2,FALSE)</f>
        <v>ACC</v>
      </c>
      <c r="L896" s="1">
        <v>58</v>
      </c>
      <c r="N896" s="1">
        <f>Table1[[#This Row],[Winning Score]]-Table1[[#This Row],[Losing Score]]</f>
        <v>4</v>
      </c>
      <c r="O896" s="1">
        <f>Table1[[#This Row],[Losing Seed]]-Table1[[#This Row],[Winning Seed]]</f>
        <v>-3</v>
      </c>
      <c r="P896" s="1" t="str">
        <f>IF(Table1[[#This Row],[SeD]]&lt;-2,Table1[[#This Row],[Winning Seed]]&amp; " over " &amp;Table1[[#This Row],[Losing Seed]],"")</f>
        <v>10 over 7</v>
      </c>
      <c r="Q896">
        <f>VLOOKUP(Table1[[#This Row],[Losing Seed]],'Seed History'!$N$4:$O$19,2)</f>
        <v>0.90277777777777779</v>
      </c>
      <c r="R896" s="1">
        <f>IF(Table1[[#This Row],[Round]]="PI",0,Table1[[#This Row],[Round]]-1)</f>
        <v>0</v>
      </c>
      <c r="S896">
        <f>Table1[[#This Row],[LAW]]-Table1[[#This Row],[LEW]]</f>
        <v>-0.90277777777777779</v>
      </c>
    </row>
    <row r="897" spans="1:19" x14ac:dyDescent="0.25">
      <c r="A897" s="66">
        <v>36230</v>
      </c>
      <c r="B897" s="51">
        <f>YEAR(Table1[[#This Row],[Date]])</f>
        <v>1999</v>
      </c>
      <c r="C897" s="1">
        <v>1</v>
      </c>
      <c r="D897" t="s">
        <v>38</v>
      </c>
      <c r="E897" s="1">
        <v>10</v>
      </c>
      <c r="F897" t="s">
        <v>71</v>
      </c>
      <c r="G897" t="str">
        <f>VLOOKUP(Table1[[#This Row],[Winner]],Ranking!C:D,2,FALSE)</f>
        <v>WCC</v>
      </c>
      <c r="H897" s="1">
        <v>75</v>
      </c>
      <c r="I897" s="1">
        <v>7</v>
      </c>
      <c r="J897" t="s">
        <v>274</v>
      </c>
      <c r="K897" t="str">
        <f>VLOOKUP(Table1[[#This Row],[Loser]],Ranking!C:D,2,FALSE)</f>
        <v>B10</v>
      </c>
      <c r="L897" s="1">
        <v>63</v>
      </c>
      <c r="N897" s="1">
        <f>Table1[[#This Row],[Winning Score]]-Table1[[#This Row],[Losing Score]]</f>
        <v>12</v>
      </c>
      <c r="O897" s="1">
        <f>Table1[[#This Row],[Losing Seed]]-Table1[[#This Row],[Winning Seed]]</f>
        <v>-3</v>
      </c>
      <c r="P897" s="1" t="str">
        <f>IF(Table1[[#This Row],[SeD]]&lt;-2,Table1[[#This Row],[Winning Seed]]&amp; " over " &amp;Table1[[#This Row],[Losing Seed]],"")</f>
        <v>10 over 7</v>
      </c>
      <c r="Q897">
        <f>VLOOKUP(Table1[[#This Row],[Losing Seed]],'Seed History'!$N$4:$O$19,2)</f>
        <v>0.90277777777777779</v>
      </c>
      <c r="R897" s="1">
        <f>IF(Table1[[#This Row],[Round]]="PI",0,Table1[[#This Row],[Round]]-1)</f>
        <v>0</v>
      </c>
      <c r="S897">
        <f>Table1[[#This Row],[LAW]]-Table1[[#This Row],[LEW]]</f>
        <v>-0.90277777777777779</v>
      </c>
    </row>
    <row r="898" spans="1:19" x14ac:dyDescent="0.25">
      <c r="A898" s="66">
        <v>36230</v>
      </c>
      <c r="B898" s="51">
        <f>YEAR(Table1[[#This Row],[Date]])</f>
        <v>1999</v>
      </c>
      <c r="C898" s="1">
        <v>1</v>
      </c>
      <c r="D898" t="s">
        <v>63</v>
      </c>
      <c r="E898" s="1">
        <v>9</v>
      </c>
      <c r="F898" t="s">
        <v>316</v>
      </c>
      <c r="G898" t="str">
        <f>VLOOKUP(Table1[[#This Row],[Winner]],Ranking!C:D,2,FALSE)</f>
        <v>B12</v>
      </c>
      <c r="H898" s="1">
        <v>69</v>
      </c>
      <c r="I898" s="1">
        <v>8</v>
      </c>
      <c r="J898" t="s">
        <v>86</v>
      </c>
      <c r="K898" t="str">
        <f>VLOOKUP(Table1[[#This Row],[Loser]],Ranking!C:D,2,FALSE)</f>
        <v>ACC</v>
      </c>
      <c r="L898" s="1">
        <v>61</v>
      </c>
      <c r="N898" s="1">
        <f>Table1[[#This Row],[Winning Score]]-Table1[[#This Row],[Losing Score]]</f>
        <v>8</v>
      </c>
      <c r="O898" s="1">
        <f>Table1[[#This Row],[Losing Seed]]-Table1[[#This Row],[Winning Seed]]</f>
        <v>-1</v>
      </c>
      <c r="P898" s="1" t="str">
        <f>IF(Table1[[#This Row],[SeD]]&lt;-2,Table1[[#This Row],[Winning Seed]]&amp; " over " &amp;Table1[[#This Row],[Losing Seed]],"")</f>
        <v/>
      </c>
      <c r="Q898">
        <f>VLOOKUP(Table1[[#This Row],[Losing Seed]],'Seed History'!$N$4:$O$19,2)</f>
        <v>0.70833333333333337</v>
      </c>
      <c r="R898" s="1">
        <f>IF(Table1[[#This Row],[Round]]="PI",0,Table1[[#This Row],[Round]]-1)</f>
        <v>0</v>
      </c>
      <c r="S898">
        <f>Table1[[#This Row],[LAW]]-Table1[[#This Row],[LEW]]</f>
        <v>-0.70833333333333337</v>
      </c>
    </row>
    <row r="899" spans="1:19" x14ac:dyDescent="0.25">
      <c r="A899" s="66">
        <v>36230</v>
      </c>
      <c r="B899" s="51">
        <f>YEAR(Table1[[#This Row],[Date]])</f>
        <v>1999</v>
      </c>
      <c r="C899" s="1">
        <v>1</v>
      </c>
      <c r="D899" t="s">
        <v>38</v>
      </c>
      <c r="E899" s="1">
        <v>9</v>
      </c>
      <c r="F899" t="s">
        <v>291</v>
      </c>
      <c r="G899" t="str">
        <f>VLOOKUP(Table1[[#This Row],[Winner]],Ranking!C:D,2,FALSE)</f>
        <v>MWC</v>
      </c>
      <c r="H899" s="1">
        <v>61</v>
      </c>
      <c r="I899" s="1">
        <v>8</v>
      </c>
      <c r="J899" t="s">
        <v>277</v>
      </c>
      <c r="K899" t="str">
        <f>VLOOKUP(Table1[[#This Row],[Loser]],Ranking!C:D,2,FALSE)</f>
        <v>SEC</v>
      </c>
      <c r="L899" s="1">
        <v>59</v>
      </c>
      <c r="N899" s="1">
        <f>Table1[[#This Row],[Winning Score]]-Table1[[#This Row],[Losing Score]]</f>
        <v>2</v>
      </c>
      <c r="O899" s="1">
        <f>Table1[[#This Row],[Losing Seed]]-Table1[[#This Row],[Winning Seed]]</f>
        <v>-1</v>
      </c>
      <c r="P899" s="1" t="str">
        <f>IF(Table1[[#This Row],[SeD]]&lt;-2,Table1[[#This Row],[Winning Seed]]&amp; " over " &amp;Table1[[#This Row],[Losing Seed]],"")</f>
        <v/>
      </c>
      <c r="Q899">
        <f>VLOOKUP(Table1[[#This Row],[Losing Seed]],'Seed History'!$N$4:$O$19,2)</f>
        <v>0.70833333333333337</v>
      </c>
      <c r="R899" s="1">
        <f>IF(Table1[[#This Row],[Round]]="PI",0,Table1[[#This Row],[Round]]-1)</f>
        <v>0</v>
      </c>
      <c r="S899">
        <f>Table1[[#This Row],[LAW]]-Table1[[#This Row],[LEW]]</f>
        <v>-0.70833333333333337</v>
      </c>
    </row>
    <row r="900" spans="1:19" x14ac:dyDescent="0.25">
      <c r="A900" s="66">
        <v>36231</v>
      </c>
      <c r="B900" s="51">
        <f>YEAR(Table1[[#This Row],[Date]])</f>
        <v>1999</v>
      </c>
      <c r="C900" s="1">
        <v>1</v>
      </c>
      <c r="D900" t="s">
        <v>439</v>
      </c>
      <c r="E900" s="1">
        <v>13</v>
      </c>
      <c r="F900" t="s">
        <v>58</v>
      </c>
      <c r="G900" t="str">
        <f>VLOOKUP(Table1[[#This Row],[Winner]],Ranking!C:D,2,FALSE)</f>
        <v>B12</v>
      </c>
      <c r="H900" s="1">
        <v>61</v>
      </c>
      <c r="I900" s="1">
        <v>4</v>
      </c>
      <c r="J900" t="s">
        <v>48</v>
      </c>
      <c r="K900" t="str">
        <f>VLOOKUP(Table1[[#This Row],[Loser]],Ranking!C:D,2,FALSE)</f>
        <v>P12</v>
      </c>
      <c r="L900" s="1">
        <v>60</v>
      </c>
      <c r="N900" s="1">
        <f>Table1[[#This Row],[Winning Score]]-Table1[[#This Row],[Losing Score]]</f>
        <v>1</v>
      </c>
      <c r="O900" s="1">
        <f>Table1[[#This Row],[Losing Seed]]-Table1[[#This Row],[Winning Seed]]</f>
        <v>-9</v>
      </c>
      <c r="P900" s="1" t="str">
        <f>IF(Table1[[#This Row],[SeD]]&lt;-2,Table1[[#This Row],[Winning Seed]]&amp; " over " &amp;Table1[[#This Row],[Losing Seed]],"")</f>
        <v>13 over 4</v>
      </c>
      <c r="Q900">
        <f>VLOOKUP(Table1[[#This Row],[Losing Seed]],'Seed History'!$N$4:$O$19,2)</f>
        <v>1.5208333333333333</v>
      </c>
      <c r="R900" s="1">
        <f>IF(Table1[[#This Row],[Round]]="PI",0,Table1[[#This Row],[Round]]-1)</f>
        <v>0</v>
      </c>
      <c r="S900">
        <f>Table1[[#This Row],[LAW]]-Table1[[#This Row],[LEW]]</f>
        <v>-1.5208333333333333</v>
      </c>
    </row>
    <row r="901" spans="1:19" x14ac:dyDescent="0.25">
      <c r="A901" s="66">
        <v>36231</v>
      </c>
      <c r="B901" s="51">
        <f>YEAR(Table1[[#This Row],[Date]])</f>
        <v>1999</v>
      </c>
      <c r="C901" s="1">
        <v>1</v>
      </c>
      <c r="D901" t="s">
        <v>49</v>
      </c>
      <c r="E901" s="1">
        <v>12</v>
      </c>
      <c r="F901" t="s">
        <v>278</v>
      </c>
      <c r="G901" t="str">
        <f>VLOOKUP(Table1[[#This Row],[Winner]],Ranking!C:D,2,FALSE)</f>
        <v>MVC</v>
      </c>
      <c r="H901" s="1">
        <v>43</v>
      </c>
      <c r="I901" s="1">
        <v>5</v>
      </c>
      <c r="J901" t="s">
        <v>39</v>
      </c>
      <c r="K901" t="str">
        <f>VLOOKUP(Table1[[#This Row],[Loser]],Ranking!C:D,2,FALSE)</f>
        <v>B10</v>
      </c>
      <c r="L901" s="1">
        <v>32</v>
      </c>
      <c r="N901" s="1">
        <f>Table1[[#This Row],[Winning Score]]-Table1[[#This Row],[Losing Score]]</f>
        <v>11</v>
      </c>
      <c r="O901" s="1">
        <f>Table1[[#This Row],[Losing Seed]]-Table1[[#This Row],[Winning Seed]]</f>
        <v>-7</v>
      </c>
      <c r="P901" s="1" t="str">
        <f>IF(Table1[[#This Row],[SeD]]&lt;-2,Table1[[#This Row],[Winning Seed]]&amp; " over " &amp;Table1[[#This Row],[Losing Seed]],"")</f>
        <v>12 over 5</v>
      </c>
      <c r="Q901">
        <f>VLOOKUP(Table1[[#This Row],[Losing Seed]],'Seed History'!$N$4:$O$19,2)</f>
        <v>1.1180555555555556</v>
      </c>
      <c r="R901" s="1">
        <f>IF(Table1[[#This Row],[Round]]="PI",0,Table1[[#This Row],[Round]]-1)</f>
        <v>0</v>
      </c>
      <c r="S901">
        <f>Table1[[#This Row],[LAW]]-Table1[[#This Row],[LEW]]</f>
        <v>-1.1180555555555556</v>
      </c>
    </row>
    <row r="902" spans="1:19" x14ac:dyDescent="0.25">
      <c r="A902" s="66">
        <v>36231</v>
      </c>
      <c r="B902" s="51">
        <f>YEAR(Table1[[#This Row],[Date]])</f>
        <v>1999</v>
      </c>
      <c r="C902" s="1">
        <v>1</v>
      </c>
      <c r="D902" t="s">
        <v>49</v>
      </c>
      <c r="E902" s="1">
        <v>1</v>
      </c>
      <c r="F902" t="s">
        <v>64</v>
      </c>
      <c r="G902" t="str">
        <f>VLOOKUP(Table1[[#This Row],[Winner]],Ranking!C:D,2,FALSE)</f>
        <v>ACC</v>
      </c>
      <c r="H902" s="1">
        <v>99</v>
      </c>
      <c r="I902" s="1">
        <v>16</v>
      </c>
      <c r="J902" t="s">
        <v>203</v>
      </c>
      <c r="K902" t="str">
        <f>VLOOKUP(Table1[[#This Row],[Loser]],Ranking!C:D,2,FALSE)</f>
        <v>MEAC</v>
      </c>
      <c r="L902" s="1">
        <v>58</v>
      </c>
      <c r="N902" s="1">
        <f>Table1[[#This Row],[Winning Score]]-Table1[[#This Row],[Losing Score]]</f>
        <v>41</v>
      </c>
      <c r="O902" s="1">
        <f>Table1[[#This Row],[Losing Seed]]-Table1[[#This Row],[Winning Seed]]</f>
        <v>15</v>
      </c>
      <c r="P902" s="1" t="str">
        <f>IF(Table1[[#This Row],[SeD]]&lt;-2,Table1[[#This Row],[Winning Seed]]&amp; " over " &amp;Table1[[#This Row],[Losing Seed]],"")</f>
        <v/>
      </c>
      <c r="Q902">
        <f>VLOOKUP(Table1[[#This Row],[Losing Seed]],'Seed History'!$N$4:$O$19,2)</f>
        <v>6.9444444444444441E-3</v>
      </c>
      <c r="R902" s="1">
        <f>IF(Table1[[#This Row],[Round]]="PI",0,Table1[[#This Row],[Round]]-1)</f>
        <v>0</v>
      </c>
      <c r="S902">
        <f>Table1[[#This Row],[LAW]]-Table1[[#This Row],[LEW]]</f>
        <v>-6.9444444444444441E-3</v>
      </c>
    </row>
    <row r="903" spans="1:19" x14ac:dyDescent="0.25">
      <c r="A903" s="66">
        <v>36231</v>
      </c>
      <c r="B903" s="51">
        <f>YEAR(Table1[[#This Row],[Date]])</f>
        <v>1999</v>
      </c>
      <c r="C903" s="1">
        <v>1</v>
      </c>
      <c r="D903" t="s">
        <v>49</v>
      </c>
      <c r="E903" s="1">
        <v>2</v>
      </c>
      <c r="F903" t="s">
        <v>269</v>
      </c>
      <c r="G903" t="str">
        <f>VLOOKUP(Table1[[#This Row],[Winner]],Ranking!C:D,2,FALSE)</f>
        <v>ACC</v>
      </c>
      <c r="H903" s="1">
        <v>75</v>
      </c>
      <c r="I903" s="1">
        <v>15</v>
      </c>
      <c r="J903" t="s">
        <v>51</v>
      </c>
      <c r="K903" t="str">
        <f>VLOOKUP(Table1[[#This Row],[Loser]],Ranking!C:D,2,FALSE)</f>
        <v>Pat</v>
      </c>
      <c r="L903" s="1">
        <v>54</v>
      </c>
      <c r="N903" s="1">
        <f>Table1[[#This Row],[Winning Score]]-Table1[[#This Row],[Losing Score]]</f>
        <v>21</v>
      </c>
      <c r="O903" s="1">
        <f>Table1[[#This Row],[Losing Seed]]-Table1[[#This Row],[Winning Seed]]</f>
        <v>13</v>
      </c>
      <c r="P903" s="1" t="str">
        <f>IF(Table1[[#This Row],[SeD]]&lt;-2,Table1[[#This Row],[Winning Seed]]&amp; " over " &amp;Table1[[#This Row],[Losing Seed]],"")</f>
        <v/>
      </c>
      <c r="Q903">
        <f>VLOOKUP(Table1[[#This Row],[Losing Seed]],'Seed History'!$N$4:$O$19,2)</f>
        <v>7.6388888888888895E-2</v>
      </c>
      <c r="R903" s="1">
        <f>IF(Table1[[#This Row],[Round]]="PI",0,Table1[[#This Row],[Round]]-1)</f>
        <v>0</v>
      </c>
      <c r="S903">
        <f>Table1[[#This Row],[LAW]]-Table1[[#This Row],[LEW]]</f>
        <v>-7.6388888888888895E-2</v>
      </c>
    </row>
    <row r="904" spans="1:19" x14ac:dyDescent="0.25">
      <c r="A904" s="66">
        <v>36231</v>
      </c>
      <c r="B904" s="51">
        <f>YEAR(Table1[[#This Row],[Date]])</f>
        <v>1999</v>
      </c>
      <c r="C904" s="1">
        <v>1</v>
      </c>
      <c r="D904" t="s">
        <v>49</v>
      </c>
      <c r="E904" s="1">
        <v>3</v>
      </c>
      <c r="F904" t="s">
        <v>28</v>
      </c>
      <c r="G904" t="str">
        <f>VLOOKUP(Table1[[#This Row],[Winner]],Ranking!C:D,2,FALSE)</f>
        <v>Amer</v>
      </c>
      <c r="H904" s="1">
        <v>72</v>
      </c>
      <c r="I904" s="1">
        <v>14</v>
      </c>
      <c r="J904" t="s">
        <v>212</v>
      </c>
      <c r="K904" t="str">
        <f>VLOOKUP(Table1[[#This Row],[Loser]],Ranking!C:D,2,FALSE)</f>
        <v>A10</v>
      </c>
      <c r="L904" s="1">
        <v>48</v>
      </c>
      <c r="N904" s="1">
        <f>Table1[[#This Row],[Winning Score]]-Table1[[#This Row],[Losing Score]]</f>
        <v>24</v>
      </c>
      <c r="O904" s="1">
        <f>Table1[[#This Row],[Losing Seed]]-Table1[[#This Row],[Winning Seed]]</f>
        <v>11</v>
      </c>
      <c r="P904" s="1" t="str">
        <f>IF(Table1[[#This Row],[SeD]]&lt;-2,Table1[[#This Row],[Winning Seed]]&amp; " over " &amp;Table1[[#This Row],[Losing Seed]],"")</f>
        <v/>
      </c>
      <c r="Q904">
        <f>VLOOKUP(Table1[[#This Row],[Losing Seed]],'Seed History'!$N$4:$O$19,2)</f>
        <v>0.16666666666666666</v>
      </c>
      <c r="R904" s="1">
        <f>IF(Table1[[#This Row],[Round]]="PI",0,Table1[[#This Row],[Round]]-1)</f>
        <v>0</v>
      </c>
      <c r="S904">
        <f>Table1[[#This Row],[LAW]]-Table1[[#This Row],[LEW]]</f>
        <v>-0.16666666666666666</v>
      </c>
    </row>
    <row r="905" spans="1:19" x14ac:dyDescent="0.25">
      <c r="A905" s="66">
        <v>36231</v>
      </c>
      <c r="B905" s="51">
        <f>YEAR(Table1[[#This Row],[Date]])</f>
        <v>1999</v>
      </c>
      <c r="C905" s="1">
        <v>1</v>
      </c>
      <c r="D905" t="s">
        <v>49</v>
      </c>
      <c r="E905" s="1">
        <v>4</v>
      </c>
      <c r="F905" t="s">
        <v>374</v>
      </c>
      <c r="G905" t="str">
        <f>VLOOKUP(Table1[[#This Row],[Winner]],Ranking!C:D,2,FALSE)</f>
        <v>SEC</v>
      </c>
      <c r="H905" s="1">
        <v>62</v>
      </c>
      <c r="I905" s="1">
        <v>13</v>
      </c>
      <c r="J905" t="s">
        <v>182</v>
      </c>
      <c r="K905" t="str">
        <f>VLOOKUP(Table1[[#This Row],[Loser]],Ranking!C:D,2,FALSE)</f>
        <v>CAA</v>
      </c>
      <c r="L905" s="1">
        <v>52</v>
      </c>
      <c r="N905" s="1">
        <f>Table1[[#This Row],[Winning Score]]-Table1[[#This Row],[Losing Score]]</f>
        <v>10</v>
      </c>
      <c r="O905" s="1">
        <f>Table1[[#This Row],[Losing Seed]]-Table1[[#This Row],[Winning Seed]]</f>
        <v>9</v>
      </c>
      <c r="P905" s="1" t="str">
        <f>IF(Table1[[#This Row],[SeD]]&lt;-2,Table1[[#This Row],[Winning Seed]]&amp; " over " &amp;Table1[[#This Row],[Losing Seed]],"")</f>
        <v/>
      </c>
      <c r="Q905">
        <f>VLOOKUP(Table1[[#This Row],[Losing Seed]],'Seed History'!$N$4:$O$19,2)</f>
        <v>0.25694444444444442</v>
      </c>
      <c r="R905" s="1">
        <f>IF(Table1[[#This Row],[Round]]="PI",0,Table1[[#This Row],[Round]]-1)</f>
        <v>0</v>
      </c>
      <c r="S905">
        <f>Table1[[#This Row],[LAW]]-Table1[[#This Row],[LEW]]</f>
        <v>-0.25694444444444442</v>
      </c>
    </row>
    <row r="906" spans="1:19" x14ac:dyDescent="0.25">
      <c r="A906" s="66">
        <v>36231</v>
      </c>
      <c r="B906" s="51">
        <f>YEAR(Table1[[#This Row],[Date]])</f>
        <v>1999</v>
      </c>
      <c r="C906" s="1">
        <v>1</v>
      </c>
      <c r="D906" t="s">
        <v>49</v>
      </c>
      <c r="E906" s="1">
        <v>6</v>
      </c>
      <c r="F906" t="s">
        <v>373</v>
      </c>
      <c r="G906" t="str">
        <f>VLOOKUP(Table1[[#This Row],[Winner]],Ranking!C:D,2,FALSE)</f>
        <v>Amer</v>
      </c>
      <c r="H906" s="1">
        <v>61</v>
      </c>
      <c r="I906" s="1">
        <v>11</v>
      </c>
      <c r="J906" t="s">
        <v>245</v>
      </c>
      <c r="K906" t="str">
        <f>VLOOKUP(Table1[[#This Row],[Loser]],Ranking!C:D,2,FALSE)</f>
        <v>MAC</v>
      </c>
      <c r="L906" s="1">
        <v>54</v>
      </c>
      <c r="N906" s="1">
        <f>Table1[[#This Row],[Winning Score]]-Table1[[#This Row],[Losing Score]]</f>
        <v>7</v>
      </c>
      <c r="O906" s="1">
        <f>Table1[[#This Row],[Losing Seed]]-Table1[[#This Row],[Winning Seed]]</f>
        <v>5</v>
      </c>
      <c r="P906" s="1" t="str">
        <f>IF(Table1[[#This Row],[SeD]]&lt;-2,Table1[[#This Row],[Winning Seed]]&amp; " over " &amp;Table1[[#This Row],[Losing Seed]],"")</f>
        <v/>
      </c>
      <c r="Q906">
        <f>VLOOKUP(Table1[[#This Row],[Losing Seed]],'Seed History'!$N$4:$O$19,2)</f>
        <v>0.63194444444444442</v>
      </c>
      <c r="R906" s="1">
        <f>IF(Table1[[#This Row],[Round]]="PI",0,Table1[[#This Row],[Round]]-1)</f>
        <v>0</v>
      </c>
      <c r="S906">
        <f>Table1[[#This Row],[LAW]]-Table1[[#This Row],[LEW]]</f>
        <v>-0.63194444444444442</v>
      </c>
    </row>
    <row r="907" spans="1:19" x14ac:dyDescent="0.25">
      <c r="A907" s="66">
        <v>36231</v>
      </c>
      <c r="B907" s="51">
        <f>YEAR(Table1[[#This Row],[Date]])</f>
        <v>1999</v>
      </c>
      <c r="C907" s="1">
        <v>1</v>
      </c>
      <c r="D907" t="s">
        <v>439</v>
      </c>
      <c r="E907" s="1">
        <v>1</v>
      </c>
      <c r="F907" t="s">
        <v>271</v>
      </c>
      <c r="G907" t="str">
        <f>VLOOKUP(Table1[[#This Row],[Winner]],Ranking!C:D,2,FALSE)</f>
        <v>B10</v>
      </c>
      <c r="H907" s="1">
        <v>76</v>
      </c>
      <c r="I907" s="1">
        <v>16</v>
      </c>
      <c r="J907" t="s">
        <v>284</v>
      </c>
      <c r="K907" t="str">
        <f>VLOOKUP(Table1[[#This Row],[Loser]],Ranking!C:D,2,FALSE)</f>
        <v>NEC</v>
      </c>
      <c r="L907" s="1">
        <v>53</v>
      </c>
      <c r="N907" s="1">
        <f>Table1[[#This Row],[Winning Score]]-Table1[[#This Row],[Losing Score]]</f>
        <v>23</v>
      </c>
      <c r="O907" s="1">
        <f>Table1[[#This Row],[Losing Seed]]-Table1[[#This Row],[Winning Seed]]</f>
        <v>15</v>
      </c>
      <c r="P907" s="1" t="str">
        <f>IF(Table1[[#This Row],[SeD]]&lt;-2,Table1[[#This Row],[Winning Seed]]&amp; " over " &amp;Table1[[#This Row],[Losing Seed]],"")</f>
        <v/>
      </c>
      <c r="Q907">
        <f>VLOOKUP(Table1[[#This Row],[Losing Seed]],'Seed History'!$N$4:$O$19,2)</f>
        <v>6.9444444444444441E-3</v>
      </c>
      <c r="R907" s="1">
        <f>IF(Table1[[#This Row],[Round]]="PI",0,Table1[[#This Row],[Round]]-1)</f>
        <v>0</v>
      </c>
      <c r="S907">
        <f>Table1[[#This Row],[LAW]]-Table1[[#This Row],[LEW]]</f>
        <v>-6.9444444444444441E-3</v>
      </c>
    </row>
    <row r="908" spans="1:19" x14ac:dyDescent="0.25">
      <c r="A908" s="66">
        <v>36231</v>
      </c>
      <c r="B908" s="51">
        <f>YEAR(Table1[[#This Row],[Date]])</f>
        <v>1999</v>
      </c>
      <c r="C908" s="1">
        <v>1</v>
      </c>
      <c r="D908" t="s">
        <v>439</v>
      </c>
      <c r="E908" s="1">
        <v>2</v>
      </c>
      <c r="F908" t="s">
        <v>65</v>
      </c>
      <c r="G908" t="str">
        <f>VLOOKUP(Table1[[#This Row],[Winner]],Ranking!C:D,2,FALSE)</f>
        <v>P12</v>
      </c>
      <c r="H908" s="1">
        <v>80</v>
      </c>
      <c r="I908" s="1">
        <v>15</v>
      </c>
      <c r="J908" t="s">
        <v>127</v>
      </c>
      <c r="K908" t="str">
        <f>VLOOKUP(Table1[[#This Row],[Loser]],Ranking!C:D,2,FALSE)</f>
        <v>SB</v>
      </c>
      <c r="L908" s="1">
        <v>58</v>
      </c>
      <c r="N908" s="1">
        <f>Table1[[#This Row],[Winning Score]]-Table1[[#This Row],[Losing Score]]</f>
        <v>22</v>
      </c>
      <c r="O908" s="1">
        <f>Table1[[#This Row],[Losing Seed]]-Table1[[#This Row],[Winning Seed]]</f>
        <v>13</v>
      </c>
      <c r="P908" s="1" t="str">
        <f>IF(Table1[[#This Row],[SeD]]&lt;-2,Table1[[#This Row],[Winning Seed]]&amp; " over " &amp;Table1[[#This Row],[Losing Seed]],"")</f>
        <v/>
      </c>
      <c r="Q908">
        <f>VLOOKUP(Table1[[#This Row],[Losing Seed]],'Seed History'!$N$4:$O$19,2)</f>
        <v>7.6388888888888895E-2</v>
      </c>
      <c r="R908" s="1">
        <f>IF(Table1[[#This Row],[Round]]="PI",0,Table1[[#This Row],[Round]]-1)</f>
        <v>0</v>
      </c>
      <c r="S908">
        <f>Table1[[#This Row],[LAW]]-Table1[[#This Row],[LEW]]</f>
        <v>-7.6388888888888895E-2</v>
      </c>
    </row>
    <row r="909" spans="1:19" x14ac:dyDescent="0.25">
      <c r="A909" s="66">
        <v>36231</v>
      </c>
      <c r="B909" s="51">
        <f>YEAR(Table1[[#This Row],[Date]])</f>
        <v>1999</v>
      </c>
      <c r="C909" s="1">
        <v>1</v>
      </c>
      <c r="D909" t="s">
        <v>439</v>
      </c>
      <c r="E909" s="1">
        <v>3</v>
      </c>
      <c r="F909" t="s">
        <v>26</v>
      </c>
      <c r="G909" t="str">
        <f>VLOOKUP(Table1[[#This Row],[Winner]],Ranking!C:D,2,FALSE)</f>
        <v>SEC</v>
      </c>
      <c r="H909" s="1">
        <v>82</v>
      </c>
      <c r="I909" s="1">
        <v>14</v>
      </c>
      <c r="J909" t="s">
        <v>292</v>
      </c>
      <c r="K909" t="str">
        <f>VLOOKUP(Table1[[#This Row],[Loser]],Ranking!C:D,2,FALSE)</f>
        <v>WAC</v>
      </c>
      <c r="L909" s="1">
        <v>60</v>
      </c>
      <c r="N909" s="1">
        <f>Table1[[#This Row],[Winning Score]]-Table1[[#This Row],[Losing Score]]</f>
        <v>22</v>
      </c>
      <c r="O909" s="1">
        <f>Table1[[#This Row],[Losing Seed]]-Table1[[#This Row],[Winning Seed]]</f>
        <v>11</v>
      </c>
      <c r="P909" s="1" t="str">
        <f>IF(Table1[[#This Row],[SeD]]&lt;-2,Table1[[#This Row],[Winning Seed]]&amp; " over " &amp;Table1[[#This Row],[Losing Seed]],"")</f>
        <v/>
      </c>
      <c r="Q909">
        <f>VLOOKUP(Table1[[#This Row],[Losing Seed]],'Seed History'!$N$4:$O$19,2)</f>
        <v>0.16666666666666666</v>
      </c>
      <c r="R909" s="1">
        <f>IF(Table1[[#This Row],[Round]]="PI",0,Table1[[#This Row],[Round]]-1)</f>
        <v>0</v>
      </c>
      <c r="S909">
        <f>Table1[[#This Row],[LAW]]-Table1[[#This Row],[LEW]]</f>
        <v>-0.16666666666666666</v>
      </c>
    </row>
    <row r="910" spans="1:19" x14ac:dyDescent="0.25">
      <c r="A910" s="66">
        <v>36231</v>
      </c>
      <c r="B910" s="51">
        <f>YEAR(Table1[[#This Row],[Date]])</f>
        <v>1999</v>
      </c>
      <c r="C910" s="1">
        <v>1</v>
      </c>
      <c r="D910" t="s">
        <v>439</v>
      </c>
      <c r="E910" s="1">
        <v>5</v>
      </c>
      <c r="F910" t="s">
        <v>165</v>
      </c>
      <c r="G910" t="str">
        <f>VLOOKUP(Table1[[#This Row],[Winner]],Ranking!C:D,2,FALSE)</f>
        <v>CUSA</v>
      </c>
      <c r="H910" s="1">
        <v>81</v>
      </c>
      <c r="I910" s="1">
        <v>12</v>
      </c>
      <c r="J910" t="s">
        <v>96</v>
      </c>
      <c r="K910" t="str">
        <f>VLOOKUP(Table1[[#This Row],[Loser]],Ranking!C:D,2,FALSE)</f>
        <v>A10</v>
      </c>
      <c r="L910" s="1">
        <v>70</v>
      </c>
      <c r="M910" s="1" t="s">
        <v>462</v>
      </c>
      <c r="N910" s="1">
        <f>Table1[[#This Row],[Winning Score]]-Table1[[#This Row],[Losing Score]]</f>
        <v>11</v>
      </c>
      <c r="O910" s="1">
        <f>Table1[[#This Row],[Losing Seed]]-Table1[[#This Row],[Winning Seed]]</f>
        <v>7</v>
      </c>
      <c r="P910" s="1" t="str">
        <f>IF(Table1[[#This Row],[SeD]]&lt;-2,Table1[[#This Row],[Winning Seed]]&amp; " over " &amp;Table1[[#This Row],[Losing Seed]],"")</f>
        <v/>
      </c>
      <c r="Q910">
        <f>VLOOKUP(Table1[[#This Row],[Losing Seed]],'Seed History'!$N$4:$O$19,2)</f>
        <v>0.52083333333333337</v>
      </c>
      <c r="R910" s="1">
        <f>IF(Table1[[#This Row],[Round]]="PI",0,Table1[[#This Row],[Round]]-1)</f>
        <v>0</v>
      </c>
      <c r="S910">
        <f>Table1[[#This Row],[LAW]]-Table1[[#This Row],[LEW]]</f>
        <v>-0.52083333333333337</v>
      </c>
    </row>
    <row r="911" spans="1:19" x14ac:dyDescent="0.25">
      <c r="A911" s="66">
        <v>36231</v>
      </c>
      <c r="B911" s="51">
        <f>YEAR(Table1[[#This Row],[Date]])</f>
        <v>1999</v>
      </c>
      <c r="C911" s="1">
        <v>1</v>
      </c>
      <c r="D911" t="s">
        <v>439</v>
      </c>
      <c r="E911" s="1">
        <v>6</v>
      </c>
      <c r="F911" t="s">
        <v>37</v>
      </c>
      <c r="G911" t="str">
        <f>VLOOKUP(Table1[[#This Row],[Winner]],Ranking!C:D,2,FALSE)</f>
        <v>B12</v>
      </c>
      <c r="H911" s="1">
        <v>95</v>
      </c>
      <c r="I911" s="1">
        <v>11</v>
      </c>
      <c r="J911" t="s">
        <v>199</v>
      </c>
      <c r="K911" t="str">
        <f>VLOOKUP(Table1[[#This Row],[Loser]],Ranking!C:D,2,FALSE)</f>
        <v>MVC</v>
      </c>
      <c r="L911" s="1">
        <v>74</v>
      </c>
      <c r="N911" s="1">
        <f>Table1[[#This Row],[Winning Score]]-Table1[[#This Row],[Losing Score]]</f>
        <v>21</v>
      </c>
      <c r="O911" s="1">
        <f>Table1[[#This Row],[Losing Seed]]-Table1[[#This Row],[Winning Seed]]</f>
        <v>5</v>
      </c>
      <c r="P911" s="1" t="str">
        <f>IF(Table1[[#This Row],[SeD]]&lt;-2,Table1[[#This Row],[Winning Seed]]&amp; " over " &amp;Table1[[#This Row],[Losing Seed]],"")</f>
        <v/>
      </c>
      <c r="Q911">
        <f>VLOOKUP(Table1[[#This Row],[Losing Seed]],'Seed History'!$N$4:$O$19,2)</f>
        <v>0.63194444444444442</v>
      </c>
      <c r="R911" s="1">
        <f>IF(Table1[[#This Row],[Round]]="PI",0,Table1[[#This Row],[Round]]-1)</f>
        <v>0</v>
      </c>
      <c r="S911">
        <f>Table1[[#This Row],[LAW]]-Table1[[#This Row],[LEW]]</f>
        <v>-0.63194444444444442</v>
      </c>
    </row>
    <row r="912" spans="1:19" x14ac:dyDescent="0.25">
      <c r="A912" s="66">
        <v>36231</v>
      </c>
      <c r="B912" s="51">
        <f>YEAR(Table1[[#This Row],[Date]])</f>
        <v>1999</v>
      </c>
      <c r="C912" s="1">
        <v>1</v>
      </c>
      <c r="D912" t="s">
        <v>49</v>
      </c>
      <c r="E912" s="1">
        <v>10</v>
      </c>
      <c r="F912" t="s">
        <v>29</v>
      </c>
      <c r="G912" t="str">
        <f>VLOOKUP(Table1[[#This Row],[Winner]],Ranking!C:D,2,FALSE)</f>
        <v>B10</v>
      </c>
      <c r="H912" s="1">
        <v>58</v>
      </c>
      <c r="I912" s="1">
        <v>7</v>
      </c>
      <c r="J912" t="s">
        <v>34</v>
      </c>
      <c r="K912" t="str">
        <f>VLOOKUP(Table1[[#This Row],[Loser]],Ranking!C:D,2,FALSE)</f>
        <v>B12</v>
      </c>
      <c r="L912" s="1">
        <v>54</v>
      </c>
      <c r="N912" s="1">
        <f>Table1[[#This Row],[Winning Score]]-Table1[[#This Row],[Losing Score]]</f>
        <v>4</v>
      </c>
      <c r="O912" s="1">
        <f>Table1[[#This Row],[Losing Seed]]-Table1[[#This Row],[Winning Seed]]</f>
        <v>-3</v>
      </c>
      <c r="P912" s="1" t="str">
        <f>IF(Table1[[#This Row],[SeD]]&lt;-2,Table1[[#This Row],[Winning Seed]]&amp; " over " &amp;Table1[[#This Row],[Losing Seed]],"")</f>
        <v>10 over 7</v>
      </c>
      <c r="Q912">
        <f>VLOOKUP(Table1[[#This Row],[Losing Seed]],'Seed History'!$N$4:$O$19,2)</f>
        <v>0.90277777777777779</v>
      </c>
      <c r="R912" s="1">
        <f>IF(Table1[[#This Row],[Round]]="PI",0,Table1[[#This Row],[Round]]-1)</f>
        <v>0</v>
      </c>
      <c r="S912">
        <f>Table1[[#This Row],[LAW]]-Table1[[#This Row],[LEW]]</f>
        <v>-0.90277777777777779</v>
      </c>
    </row>
    <row r="913" spans="1:19" x14ac:dyDescent="0.25">
      <c r="A913" s="66">
        <v>36231</v>
      </c>
      <c r="B913" s="51">
        <f>YEAR(Table1[[#This Row],[Date]])</f>
        <v>1999</v>
      </c>
      <c r="C913" s="1">
        <v>1</v>
      </c>
      <c r="D913" t="s">
        <v>439</v>
      </c>
      <c r="E913" s="1">
        <v>10</v>
      </c>
      <c r="F913" t="s">
        <v>270</v>
      </c>
      <c r="G913" t="str">
        <f>VLOOKUP(Table1[[#This Row],[Winner]],Ranking!C:D,2,FALSE)</f>
        <v>MAC</v>
      </c>
      <c r="H913" s="1">
        <v>59</v>
      </c>
      <c r="I913" s="1">
        <v>7</v>
      </c>
      <c r="J913" t="s">
        <v>409</v>
      </c>
      <c r="K913" t="str">
        <f>VLOOKUP(Table1[[#This Row],[Loser]],Ranking!C:D,2,FALSE)</f>
        <v>P12</v>
      </c>
      <c r="L913" s="1">
        <v>58</v>
      </c>
      <c r="N913" s="1">
        <f>Table1[[#This Row],[Winning Score]]-Table1[[#This Row],[Losing Score]]</f>
        <v>1</v>
      </c>
      <c r="O913" s="1">
        <f>Table1[[#This Row],[Losing Seed]]-Table1[[#This Row],[Winning Seed]]</f>
        <v>-3</v>
      </c>
      <c r="P913" s="1" t="str">
        <f>IF(Table1[[#This Row],[SeD]]&lt;-2,Table1[[#This Row],[Winning Seed]]&amp; " over " &amp;Table1[[#This Row],[Losing Seed]],"")</f>
        <v>10 over 7</v>
      </c>
      <c r="Q913">
        <f>VLOOKUP(Table1[[#This Row],[Losing Seed]],'Seed History'!$N$4:$O$19,2)</f>
        <v>0.90277777777777779</v>
      </c>
      <c r="R913" s="1">
        <f>IF(Table1[[#This Row],[Round]]="PI",0,Table1[[#This Row],[Round]]-1)</f>
        <v>0</v>
      </c>
      <c r="S913">
        <f>Table1[[#This Row],[LAW]]-Table1[[#This Row],[LEW]]</f>
        <v>-0.90277777777777779</v>
      </c>
    </row>
    <row r="914" spans="1:19" x14ac:dyDescent="0.25">
      <c r="A914" s="66">
        <v>36231</v>
      </c>
      <c r="B914" s="51">
        <f>YEAR(Table1[[#This Row],[Date]])</f>
        <v>1999</v>
      </c>
      <c r="C914" s="1">
        <v>1</v>
      </c>
      <c r="D914" t="s">
        <v>49</v>
      </c>
      <c r="E914" s="1">
        <v>9</v>
      </c>
      <c r="F914" t="s">
        <v>94</v>
      </c>
      <c r="G914" t="str">
        <f>VLOOKUP(Table1[[#This Row],[Winner]],Ranking!C:D,2,FALSE)</f>
        <v>Amer</v>
      </c>
      <c r="H914" s="1">
        <v>62</v>
      </c>
      <c r="I914" s="1">
        <v>8</v>
      </c>
      <c r="J914" t="s">
        <v>164</v>
      </c>
      <c r="K914" t="str">
        <f>VLOOKUP(Table1[[#This Row],[Loser]],Ranking!C:D,2,FALSE)</f>
        <v>BSth</v>
      </c>
      <c r="L914" s="1">
        <v>53</v>
      </c>
      <c r="N914" s="1">
        <f>Table1[[#This Row],[Winning Score]]-Table1[[#This Row],[Losing Score]]</f>
        <v>9</v>
      </c>
      <c r="O914" s="1">
        <f>Table1[[#This Row],[Losing Seed]]-Table1[[#This Row],[Winning Seed]]</f>
        <v>-1</v>
      </c>
      <c r="P914" s="1" t="str">
        <f>IF(Table1[[#This Row],[SeD]]&lt;-2,Table1[[#This Row],[Winning Seed]]&amp; " over " &amp;Table1[[#This Row],[Losing Seed]],"")</f>
        <v/>
      </c>
      <c r="Q914">
        <f>VLOOKUP(Table1[[#This Row],[Losing Seed]],'Seed History'!$N$4:$O$19,2)</f>
        <v>0.70833333333333337</v>
      </c>
      <c r="R914" s="1">
        <f>IF(Table1[[#This Row],[Round]]="PI",0,Table1[[#This Row],[Round]]-1)</f>
        <v>0</v>
      </c>
      <c r="S914">
        <f>Table1[[#This Row],[LAW]]-Table1[[#This Row],[LEW]]</f>
        <v>-0.70833333333333337</v>
      </c>
    </row>
    <row r="915" spans="1:19" x14ac:dyDescent="0.25">
      <c r="A915" s="66">
        <v>36231</v>
      </c>
      <c r="B915" s="51">
        <f>YEAR(Table1[[#This Row],[Date]])</f>
        <v>1999</v>
      </c>
      <c r="C915" s="1">
        <v>1</v>
      </c>
      <c r="D915" t="s">
        <v>439</v>
      </c>
      <c r="E915" s="1">
        <v>9</v>
      </c>
      <c r="F915" t="s">
        <v>45</v>
      </c>
      <c r="G915" t="str">
        <f>VLOOKUP(Table1[[#This Row],[Winner]],Ranking!C:D,2,FALSE)</f>
        <v>SEC</v>
      </c>
      <c r="H915" s="1">
        <v>72</v>
      </c>
      <c r="I915" s="1">
        <v>8</v>
      </c>
      <c r="J915" t="s">
        <v>50</v>
      </c>
      <c r="K915" t="str">
        <f>VLOOKUP(Table1[[#This Row],[Loser]],Ranking!C:D,2,FALSE)</f>
        <v>BE</v>
      </c>
      <c r="L915" s="1">
        <v>70</v>
      </c>
      <c r="N915" s="1">
        <f>Table1[[#This Row],[Winning Score]]-Table1[[#This Row],[Losing Score]]</f>
        <v>2</v>
      </c>
      <c r="O915" s="1">
        <f>Table1[[#This Row],[Losing Seed]]-Table1[[#This Row],[Winning Seed]]</f>
        <v>-1</v>
      </c>
      <c r="P915" s="1" t="str">
        <f>IF(Table1[[#This Row],[SeD]]&lt;-2,Table1[[#This Row],[Winning Seed]]&amp; " over " &amp;Table1[[#This Row],[Losing Seed]],"")</f>
        <v/>
      </c>
      <c r="Q915">
        <f>VLOOKUP(Table1[[#This Row],[Losing Seed]],'Seed History'!$N$4:$O$19,2)</f>
        <v>0.70833333333333337</v>
      </c>
      <c r="R915" s="1">
        <f>IF(Table1[[#This Row],[Round]]="PI",0,Table1[[#This Row],[Round]]-1)</f>
        <v>0</v>
      </c>
      <c r="S915">
        <f>Table1[[#This Row],[LAW]]-Table1[[#This Row],[LEW]]</f>
        <v>-0.70833333333333337</v>
      </c>
    </row>
    <row r="916" spans="1:19" x14ac:dyDescent="0.25">
      <c r="A916" s="66">
        <v>36232</v>
      </c>
      <c r="B916" s="51">
        <f>YEAR(Table1[[#This Row],[Date]])</f>
        <v>1999</v>
      </c>
      <c r="C916" s="1">
        <v>2</v>
      </c>
      <c r="D916" t="s">
        <v>38</v>
      </c>
      <c r="E916" s="1">
        <v>10</v>
      </c>
      <c r="F916" t="s">
        <v>71</v>
      </c>
      <c r="G916" t="str">
        <f>VLOOKUP(Table1[[#This Row],[Winner]],Ranking!C:D,2,FALSE)</f>
        <v>WCC</v>
      </c>
      <c r="H916" s="1">
        <v>82</v>
      </c>
      <c r="I916" s="1">
        <v>2</v>
      </c>
      <c r="J916" t="s">
        <v>369</v>
      </c>
      <c r="K916" t="str">
        <f>VLOOKUP(Table1[[#This Row],[Loser]],Ranking!C:D,2,FALSE)</f>
        <v>P12</v>
      </c>
      <c r="L916" s="1">
        <v>74</v>
      </c>
      <c r="N916" s="1">
        <f>Table1[[#This Row],[Winning Score]]-Table1[[#This Row],[Losing Score]]</f>
        <v>8</v>
      </c>
      <c r="O916" s="1">
        <f>Table1[[#This Row],[Losing Seed]]-Table1[[#This Row],[Winning Seed]]</f>
        <v>-8</v>
      </c>
      <c r="P916" s="1" t="str">
        <f>IF(Table1[[#This Row],[SeD]]&lt;-2,Table1[[#This Row],[Winning Seed]]&amp; " over " &amp;Table1[[#This Row],[Losing Seed]],"")</f>
        <v>10 over 2</v>
      </c>
      <c r="Q916">
        <f>VLOOKUP(Table1[[#This Row],[Losing Seed]],'Seed History'!$N$4:$O$19,2)</f>
        <v>2.3472222222222223</v>
      </c>
      <c r="R916" s="1">
        <f>IF(Table1[[#This Row],[Round]]="PI",0,Table1[[#This Row],[Round]]-1)</f>
        <v>1</v>
      </c>
      <c r="S916">
        <f>Table1[[#This Row],[LAW]]-Table1[[#This Row],[LEW]]</f>
        <v>-1.3472222222222223</v>
      </c>
    </row>
    <row r="917" spans="1:19" x14ac:dyDescent="0.25">
      <c r="A917" s="66">
        <v>36232</v>
      </c>
      <c r="B917" s="51">
        <f>YEAR(Table1[[#This Row],[Date]])</f>
        <v>1999</v>
      </c>
      <c r="C917" s="1">
        <v>2</v>
      </c>
      <c r="D917" t="s">
        <v>63</v>
      </c>
      <c r="E917" s="1">
        <v>1</v>
      </c>
      <c r="F917" t="s">
        <v>129</v>
      </c>
      <c r="G917" t="str">
        <f>VLOOKUP(Table1[[#This Row],[Winner]],Ranking!C:D,2,FALSE)</f>
        <v>SEC</v>
      </c>
      <c r="H917" s="1">
        <v>81</v>
      </c>
      <c r="I917" s="1">
        <v>9</v>
      </c>
      <c r="J917" t="s">
        <v>316</v>
      </c>
      <c r="K917" t="str">
        <f>VLOOKUP(Table1[[#This Row],[Loser]],Ranking!C:D,2,FALSE)</f>
        <v>B12</v>
      </c>
      <c r="L917" s="1">
        <v>74</v>
      </c>
      <c r="N917" s="1">
        <f>Table1[[#This Row],[Winning Score]]-Table1[[#This Row],[Losing Score]]</f>
        <v>7</v>
      </c>
      <c r="O917" s="1">
        <f>Table1[[#This Row],[Losing Seed]]-Table1[[#This Row],[Winning Seed]]</f>
        <v>8</v>
      </c>
      <c r="P917" s="1" t="str">
        <f>IF(Table1[[#This Row],[SeD]]&lt;-2,Table1[[#This Row],[Winning Seed]]&amp; " over " &amp;Table1[[#This Row],[Losing Seed]],"")</f>
        <v/>
      </c>
      <c r="Q917">
        <f>VLOOKUP(Table1[[#This Row],[Losing Seed]],'Seed History'!$N$4:$O$19,2)</f>
        <v>0.59027777777777779</v>
      </c>
      <c r="R917" s="1">
        <f>IF(Table1[[#This Row],[Round]]="PI",0,Table1[[#This Row],[Round]]-1)</f>
        <v>1</v>
      </c>
      <c r="S917">
        <f>Table1[[#This Row],[LAW]]-Table1[[#This Row],[LEW]]</f>
        <v>0.40972222222222221</v>
      </c>
    </row>
    <row r="918" spans="1:19" x14ac:dyDescent="0.25">
      <c r="A918" s="66">
        <v>36232</v>
      </c>
      <c r="B918" s="51">
        <f>YEAR(Table1[[#This Row],[Date]])</f>
        <v>1999</v>
      </c>
      <c r="C918" s="1">
        <v>2</v>
      </c>
      <c r="D918" t="s">
        <v>63</v>
      </c>
      <c r="E918" s="1">
        <v>2</v>
      </c>
      <c r="F918" t="s">
        <v>31</v>
      </c>
      <c r="G918" t="str">
        <f>VLOOKUP(Table1[[#This Row],[Winner]],Ranking!C:D,2,FALSE)</f>
        <v>B10</v>
      </c>
      <c r="H918" s="1">
        <v>75</v>
      </c>
      <c r="I918" s="1">
        <v>10</v>
      </c>
      <c r="J918" t="s">
        <v>88</v>
      </c>
      <c r="K918" t="str">
        <f>VLOOKUP(Table1[[#This Row],[Loser]],Ranking!C:D,2,FALSE)</f>
        <v>BE</v>
      </c>
      <c r="L918" s="1">
        <v>63</v>
      </c>
      <c r="N918" s="1">
        <f>Table1[[#This Row],[Winning Score]]-Table1[[#This Row],[Losing Score]]</f>
        <v>12</v>
      </c>
      <c r="O918" s="1">
        <f>Table1[[#This Row],[Losing Seed]]-Table1[[#This Row],[Winning Seed]]</f>
        <v>8</v>
      </c>
      <c r="P918" s="1" t="str">
        <f>IF(Table1[[#This Row],[SeD]]&lt;-2,Table1[[#This Row],[Winning Seed]]&amp; " over " &amp;Table1[[#This Row],[Losing Seed]],"")</f>
        <v/>
      </c>
      <c r="Q918">
        <f>VLOOKUP(Table1[[#This Row],[Losing Seed]],'Seed History'!$N$4:$O$19,2)</f>
        <v>0.61805555555555558</v>
      </c>
      <c r="R918" s="1">
        <f>IF(Table1[[#This Row],[Round]]="PI",0,Table1[[#This Row],[Round]]-1)</f>
        <v>1</v>
      </c>
      <c r="S918">
        <f>Table1[[#This Row],[LAW]]-Table1[[#This Row],[LEW]]</f>
        <v>0.38194444444444442</v>
      </c>
    </row>
    <row r="919" spans="1:19" x14ac:dyDescent="0.25">
      <c r="A919" s="66">
        <v>36232</v>
      </c>
      <c r="B919" s="51">
        <f>YEAR(Table1[[#This Row],[Date]])</f>
        <v>1999</v>
      </c>
      <c r="C919" s="1">
        <v>2</v>
      </c>
      <c r="D919" t="s">
        <v>63</v>
      </c>
      <c r="E919" s="1">
        <v>3</v>
      </c>
      <c r="F919" t="s">
        <v>368</v>
      </c>
      <c r="G919" t="str">
        <f>VLOOKUP(Table1[[#This Row],[Winner]],Ranking!C:D,2,FALSE)</f>
        <v>BE</v>
      </c>
      <c r="H919" s="1">
        <v>86</v>
      </c>
      <c r="I919" s="1">
        <v>6</v>
      </c>
      <c r="J919" t="s">
        <v>36</v>
      </c>
      <c r="K919" t="str">
        <f>VLOOKUP(Table1[[#This Row],[Loser]],Ranking!C:D,2,FALSE)</f>
        <v>B10</v>
      </c>
      <c r="L919" s="1">
        <v>61</v>
      </c>
      <c r="N919" s="1">
        <f>Table1[[#This Row],[Winning Score]]-Table1[[#This Row],[Losing Score]]</f>
        <v>25</v>
      </c>
      <c r="O919" s="1">
        <f>Table1[[#This Row],[Losing Seed]]-Table1[[#This Row],[Winning Seed]]</f>
        <v>3</v>
      </c>
      <c r="P919" s="1" t="str">
        <f>IF(Table1[[#This Row],[SeD]]&lt;-2,Table1[[#This Row],[Winning Seed]]&amp; " over " &amp;Table1[[#This Row],[Losing Seed]],"")</f>
        <v/>
      </c>
      <c r="Q919">
        <f>VLOOKUP(Table1[[#This Row],[Losing Seed]],'Seed History'!$N$4:$O$19,2)</f>
        <v>1.0625</v>
      </c>
      <c r="R919" s="1">
        <f>IF(Table1[[#This Row],[Round]]="PI",0,Table1[[#This Row],[Round]]-1)</f>
        <v>1</v>
      </c>
      <c r="S919">
        <f>Table1[[#This Row],[LAW]]-Table1[[#This Row],[LEW]]</f>
        <v>-6.25E-2</v>
      </c>
    </row>
    <row r="920" spans="1:19" x14ac:dyDescent="0.25">
      <c r="A920" s="66">
        <v>36232</v>
      </c>
      <c r="B920" s="51">
        <f>YEAR(Table1[[#This Row],[Date]])</f>
        <v>1999</v>
      </c>
      <c r="C920" s="1">
        <v>2</v>
      </c>
      <c r="D920" t="s">
        <v>63</v>
      </c>
      <c r="E920" s="1">
        <v>4</v>
      </c>
      <c r="F920" t="s">
        <v>315</v>
      </c>
      <c r="G920" t="str">
        <f>VLOOKUP(Table1[[#This Row],[Winner]],Ranking!C:D,2,FALSE)</f>
        <v>B10</v>
      </c>
      <c r="H920" s="1">
        <v>75</v>
      </c>
      <c r="I920" s="1">
        <v>12</v>
      </c>
      <c r="J920" t="s">
        <v>187</v>
      </c>
      <c r="K920" t="str">
        <f>VLOOKUP(Table1[[#This Row],[Loser]],Ranking!C:D,2,FALSE)</f>
        <v>Horz</v>
      </c>
      <c r="L920" s="1">
        <v>44</v>
      </c>
      <c r="N920" s="1">
        <f>Table1[[#This Row],[Winning Score]]-Table1[[#This Row],[Losing Score]]</f>
        <v>31</v>
      </c>
      <c r="O920" s="1">
        <f>Table1[[#This Row],[Losing Seed]]-Table1[[#This Row],[Winning Seed]]</f>
        <v>8</v>
      </c>
      <c r="P920" s="1" t="str">
        <f>IF(Table1[[#This Row],[SeD]]&lt;-2,Table1[[#This Row],[Winning Seed]]&amp; " over " &amp;Table1[[#This Row],[Losing Seed]],"")</f>
        <v/>
      </c>
      <c r="Q920">
        <f>VLOOKUP(Table1[[#This Row],[Losing Seed]],'Seed History'!$N$4:$O$19,2)</f>
        <v>0.52083333333333337</v>
      </c>
      <c r="R920" s="1">
        <f>IF(Table1[[#This Row],[Round]]="PI",0,Table1[[#This Row],[Round]]-1)</f>
        <v>1</v>
      </c>
      <c r="S920">
        <f>Table1[[#This Row],[LAW]]-Table1[[#This Row],[LEW]]</f>
        <v>0.47916666666666663</v>
      </c>
    </row>
    <row r="921" spans="1:19" x14ac:dyDescent="0.25">
      <c r="A921" s="66">
        <v>36232</v>
      </c>
      <c r="B921" s="51">
        <f>YEAR(Table1[[#This Row],[Date]])</f>
        <v>1999</v>
      </c>
      <c r="C921" s="1">
        <v>2</v>
      </c>
      <c r="D921" t="s">
        <v>38</v>
      </c>
      <c r="E921" s="1">
        <v>1</v>
      </c>
      <c r="F921" t="s">
        <v>80</v>
      </c>
      <c r="G921" t="str">
        <f>VLOOKUP(Table1[[#This Row],[Winner]],Ranking!C:D,2,FALSE)</f>
        <v>BE</v>
      </c>
      <c r="H921" s="1">
        <v>78</v>
      </c>
      <c r="I921" s="1">
        <v>9</v>
      </c>
      <c r="J921" t="s">
        <v>291</v>
      </c>
      <c r="K921" t="str">
        <f>VLOOKUP(Table1[[#This Row],[Loser]],Ranking!C:D,2,FALSE)</f>
        <v>MWC</v>
      </c>
      <c r="L921" s="1">
        <v>56</v>
      </c>
      <c r="N921" s="1">
        <f>Table1[[#This Row],[Winning Score]]-Table1[[#This Row],[Losing Score]]</f>
        <v>22</v>
      </c>
      <c r="O921" s="1">
        <f>Table1[[#This Row],[Losing Seed]]-Table1[[#This Row],[Winning Seed]]</f>
        <v>8</v>
      </c>
      <c r="P921" s="1" t="str">
        <f>IF(Table1[[#This Row],[SeD]]&lt;-2,Table1[[#This Row],[Winning Seed]]&amp; " over " &amp;Table1[[#This Row],[Losing Seed]],"")</f>
        <v/>
      </c>
      <c r="Q921">
        <f>VLOOKUP(Table1[[#This Row],[Losing Seed]],'Seed History'!$N$4:$O$19,2)</f>
        <v>0.59027777777777779</v>
      </c>
      <c r="R921" s="1">
        <f>IF(Table1[[#This Row],[Round]]="PI",0,Table1[[#This Row],[Round]]-1)</f>
        <v>1</v>
      </c>
      <c r="S921">
        <f>Table1[[#This Row],[LAW]]-Table1[[#This Row],[LEW]]</f>
        <v>0.40972222222222221</v>
      </c>
    </row>
    <row r="922" spans="1:19" x14ac:dyDescent="0.25">
      <c r="A922" s="66">
        <v>36232</v>
      </c>
      <c r="B922" s="51">
        <f>YEAR(Table1[[#This Row],[Date]])</f>
        <v>1999</v>
      </c>
      <c r="C922" s="1">
        <v>2</v>
      </c>
      <c r="D922" t="s">
        <v>38</v>
      </c>
      <c r="E922" s="1">
        <v>6</v>
      </c>
      <c r="F922" t="s">
        <v>81</v>
      </c>
      <c r="G922" t="str">
        <f>VLOOKUP(Table1[[#This Row],[Winner]],Ranking!C:D,2,FALSE)</f>
        <v>SEC</v>
      </c>
      <c r="H922" s="1">
        <v>82</v>
      </c>
      <c r="I922" s="1">
        <v>14</v>
      </c>
      <c r="J922" t="s">
        <v>411</v>
      </c>
      <c r="K922" t="str">
        <f>VLOOKUP(Table1[[#This Row],[Loser]],Ranking!C:D,2,FALSE)</f>
        <v>BSky</v>
      </c>
      <c r="L922" s="1">
        <v>74</v>
      </c>
      <c r="M922" s="1" t="s">
        <v>462</v>
      </c>
      <c r="N922" s="1">
        <f>Table1[[#This Row],[Winning Score]]-Table1[[#This Row],[Losing Score]]</f>
        <v>8</v>
      </c>
      <c r="O922" s="1">
        <f>Table1[[#This Row],[Losing Seed]]-Table1[[#This Row],[Winning Seed]]</f>
        <v>8</v>
      </c>
      <c r="P922" s="1" t="str">
        <f>IF(Table1[[#This Row],[SeD]]&lt;-2,Table1[[#This Row],[Winning Seed]]&amp; " over " &amp;Table1[[#This Row],[Losing Seed]],"")</f>
        <v/>
      </c>
      <c r="Q922">
        <f>VLOOKUP(Table1[[#This Row],[Losing Seed]],'Seed History'!$N$4:$O$19,2)</f>
        <v>0.16666666666666666</v>
      </c>
      <c r="R922" s="1">
        <f>IF(Table1[[#This Row],[Round]]="PI",0,Table1[[#This Row],[Round]]-1)</f>
        <v>1</v>
      </c>
      <c r="S922">
        <f>Table1[[#This Row],[LAW]]-Table1[[#This Row],[LEW]]</f>
        <v>0.83333333333333337</v>
      </c>
    </row>
    <row r="923" spans="1:19" x14ac:dyDescent="0.25">
      <c r="A923" s="66">
        <v>36232</v>
      </c>
      <c r="B923" s="51">
        <f>YEAR(Table1[[#This Row],[Date]])</f>
        <v>1999</v>
      </c>
      <c r="C923" s="1">
        <v>2</v>
      </c>
      <c r="D923" t="s">
        <v>38</v>
      </c>
      <c r="E923" s="1">
        <v>5</v>
      </c>
      <c r="F923" t="s">
        <v>69</v>
      </c>
      <c r="G923" t="str">
        <f>VLOOKUP(Table1[[#This Row],[Winner]],Ranking!C:D,2,FALSE)</f>
        <v>B10</v>
      </c>
      <c r="H923" s="1">
        <v>82</v>
      </c>
      <c r="I923" s="1">
        <v>4</v>
      </c>
      <c r="J923" t="s">
        <v>41</v>
      </c>
      <c r="K923" t="str">
        <f>VLOOKUP(Table1[[#This Row],[Loser]],Ranking!C:D,2,FALSE)</f>
        <v>SEC</v>
      </c>
      <c r="L923" s="1">
        <v>72</v>
      </c>
      <c r="N923" s="1">
        <f>Table1[[#This Row],[Winning Score]]-Table1[[#This Row],[Losing Score]]</f>
        <v>10</v>
      </c>
      <c r="O923" s="1">
        <f>Table1[[#This Row],[Losing Seed]]-Table1[[#This Row],[Winning Seed]]</f>
        <v>-1</v>
      </c>
      <c r="P923" s="1" t="str">
        <f>IF(Table1[[#This Row],[SeD]]&lt;-2,Table1[[#This Row],[Winning Seed]]&amp; " over " &amp;Table1[[#This Row],[Losing Seed]],"")</f>
        <v/>
      </c>
      <c r="Q923">
        <f>VLOOKUP(Table1[[#This Row],[Losing Seed]],'Seed History'!$N$4:$O$19,2)</f>
        <v>1.5208333333333333</v>
      </c>
      <c r="R923" s="1">
        <f>IF(Table1[[#This Row],[Round]]="PI",0,Table1[[#This Row],[Round]]-1)</f>
        <v>1</v>
      </c>
      <c r="S923">
        <f>Table1[[#This Row],[LAW]]-Table1[[#This Row],[LEW]]</f>
        <v>-0.52083333333333326</v>
      </c>
    </row>
    <row r="924" spans="1:19" x14ac:dyDescent="0.25">
      <c r="A924" s="66">
        <v>36233</v>
      </c>
      <c r="B924" s="51">
        <f>YEAR(Table1[[#This Row],[Date]])</f>
        <v>1999</v>
      </c>
      <c r="C924" s="1">
        <v>2</v>
      </c>
      <c r="D924" t="s">
        <v>49</v>
      </c>
      <c r="E924" s="1">
        <v>10</v>
      </c>
      <c r="F924" t="s">
        <v>29</v>
      </c>
      <c r="G924" t="str">
        <f>VLOOKUP(Table1[[#This Row],[Winner]],Ranking!C:D,2,FALSE)</f>
        <v>B10</v>
      </c>
      <c r="H924" s="1">
        <v>73</v>
      </c>
      <c r="I924" s="1">
        <v>2</v>
      </c>
      <c r="J924" t="s">
        <v>269</v>
      </c>
      <c r="K924" t="str">
        <f>VLOOKUP(Table1[[#This Row],[Loser]],Ranking!C:D,2,FALSE)</f>
        <v>ACC</v>
      </c>
      <c r="L924" s="1">
        <v>63</v>
      </c>
      <c r="N924" s="1">
        <f>Table1[[#This Row],[Winning Score]]-Table1[[#This Row],[Losing Score]]</f>
        <v>10</v>
      </c>
      <c r="O924" s="1">
        <f>Table1[[#This Row],[Losing Seed]]-Table1[[#This Row],[Winning Seed]]</f>
        <v>-8</v>
      </c>
      <c r="P924" s="1" t="str">
        <f>IF(Table1[[#This Row],[SeD]]&lt;-2,Table1[[#This Row],[Winning Seed]]&amp; " over " &amp;Table1[[#This Row],[Losing Seed]],"")</f>
        <v>10 over 2</v>
      </c>
      <c r="Q924">
        <f>VLOOKUP(Table1[[#This Row],[Losing Seed]],'Seed History'!$N$4:$O$19,2)</f>
        <v>2.3472222222222223</v>
      </c>
      <c r="R924" s="1">
        <f>IF(Table1[[#This Row],[Round]]="PI",0,Table1[[#This Row],[Round]]-1)</f>
        <v>1</v>
      </c>
      <c r="S924">
        <f>Table1[[#This Row],[LAW]]-Table1[[#This Row],[LEW]]</f>
        <v>-1.3472222222222223</v>
      </c>
    </row>
    <row r="925" spans="1:19" x14ac:dyDescent="0.25">
      <c r="A925" s="66">
        <v>36233</v>
      </c>
      <c r="B925" s="51">
        <f>YEAR(Table1[[#This Row],[Date]])</f>
        <v>1999</v>
      </c>
      <c r="C925" s="1">
        <v>2</v>
      </c>
      <c r="D925" t="s">
        <v>49</v>
      </c>
      <c r="E925" s="1">
        <v>12</v>
      </c>
      <c r="F925" t="s">
        <v>278</v>
      </c>
      <c r="G925" t="str">
        <f>VLOOKUP(Table1[[#This Row],[Winner]],Ranking!C:D,2,FALSE)</f>
        <v>MVC</v>
      </c>
      <c r="H925" s="1">
        <v>81</v>
      </c>
      <c r="I925" s="1">
        <v>4</v>
      </c>
      <c r="J925" t="s">
        <v>374</v>
      </c>
      <c r="K925" t="str">
        <f>VLOOKUP(Table1[[#This Row],[Loser]],Ranking!C:D,2,FALSE)</f>
        <v>SEC</v>
      </c>
      <c r="L925" s="1">
        <v>51</v>
      </c>
      <c r="N925" s="1">
        <f>Table1[[#This Row],[Winning Score]]-Table1[[#This Row],[Losing Score]]</f>
        <v>30</v>
      </c>
      <c r="O925" s="1">
        <f>Table1[[#This Row],[Losing Seed]]-Table1[[#This Row],[Winning Seed]]</f>
        <v>-8</v>
      </c>
      <c r="P925" s="1" t="str">
        <f>IF(Table1[[#This Row],[SeD]]&lt;-2,Table1[[#This Row],[Winning Seed]]&amp; " over " &amp;Table1[[#This Row],[Losing Seed]],"")</f>
        <v>12 over 4</v>
      </c>
      <c r="Q925">
        <f>VLOOKUP(Table1[[#This Row],[Losing Seed]],'Seed History'!$N$4:$O$19,2)</f>
        <v>1.5208333333333333</v>
      </c>
      <c r="R925" s="1">
        <f>IF(Table1[[#This Row],[Round]]="PI",0,Table1[[#This Row],[Round]]-1)</f>
        <v>1</v>
      </c>
      <c r="S925">
        <f>Table1[[#This Row],[LAW]]-Table1[[#This Row],[LEW]]</f>
        <v>-0.52083333333333326</v>
      </c>
    </row>
    <row r="926" spans="1:19" x14ac:dyDescent="0.25">
      <c r="A926" s="66">
        <v>36233</v>
      </c>
      <c r="B926" s="51">
        <f>YEAR(Table1[[#This Row],[Date]])</f>
        <v>1999</v>
      </c>
      <c r="C926" s="1">
        <v>2</v>
      </c>
      <c r="D926" t="s">
        <v>439</v>
      </c>
      <c r="E926" s="1">
        <v>10</v>
      </c>
      <c r="F926" t="s">
        <v>270</v>
      </c>
      <c r="G926" t="str">
        <f>VLOOKUP(Table1[[#This Row],[Winner]],Ranking!C:D,2,FALSE)</f>
        <v>MAC</v>
      </c>
      <c r="H926" s="1">
        <v>66</v>
      </c>
      <c r="I926" s="1">
        <v>2</v>
      </c>
      <c r="J926" t="s">
        <v>65</v>
      </c>
      <c r="K926" t="str">
        <f>VLOOKUP(Table1[[#This Row],[Loser]],Ranking!C:D,2,FALSE)</f>
        <v>P12</v>
      </c>
      <c r="L926" s="1">
        <v>58</v>
      </c>
      <c r="N926" s="1">
        <f>Table1[[#This Row],[Winning Score]]-Table1[[#This Row],[Losing Score]]</f>
        <v>8</v>
      </c>
      <c r="O926" s="1">
        <f>Table1[[#This Row],[Losing Seed]]-Table1[[#This Row],[Winning Seed]]</f>
        <v>-8</v>
      </c>
      <c r="P926" s="1" t="str">
        <f>IF(Table1[[#This Row],[SeD]]&lt;-2,Table1[[#This Row],[Winning Seed]]&amp; " over " &amp;Table1[[#This Row],[Losing Seed]],"")</f>
        <v>10 over 2</v>
      </c>
      <c r="Q926">
        <f>VLOOKUP(Table1[[#This Row],[Losing Seed]],'Seed History'!$N$4:$O$19,2)</f>
        <v>2.3472222222222223</v>
      </c>
      <c r="R926" s="1">
        <f>IF(Table1[[#This Row],[Round]]="PI",0,Table1[[#This Row],[Round]]-1)</f>
        <v>1</v>
      </c>
      <c r="S926">
        <f>Table1[[#This Row],[LAW]]-Table1[[#This Row],[LEW]]</f>
        <v>-1.3472222222222223</v>
      </c>
    </row>
    <row r="927" spans="1:19" x14ac:dyDescent="0.25">
      <c r="A927" s="66">
        <v>36233</v>
      </c>
      <c r="B927" s="51">
        <f>YEAR(Table1[[#This Row],[Date]])</f>
        <v>1999</v>
      </c>
      <c r="C927" s="1">
        <v>2</v>
      </c>
      <c r="D927" t="s">
        <v>439</v>
      </c>
      <c r="E927" s="1">
        <v>13</v>
      </c>
      <c r="F927" t="s">
        <v>58</v>
      </c>
      <c r="G927" t="str">
        <f>VLOOKUP(Table1[[#This Row],[Winner]],Ranking!C:D,2,FALSE)</f>
        <v>B12</v>
      </c>
      <c r="H927" s="1">
        <v>85</v>
      </c>
      <c r="I927" s="1">
        <v>5</v>
      </c>
      <c r="J927" t="s">
        <v>165</v>
      </c>
      <c r="K927" t="str">
        <f>VLOOKUP(Table1[[#This Row],[Loser]],Ranking!C:D,2,FALSE)</f>
        <v>CUSA</v>
      </c>
      <c r="L927" s="1">
        <v>72</v>
      </c>
      <c r="N927" s="1">
        <f>Table1[[#This Row],[Winning Score]]-Table1[[#This Row],[Losing Score]]</f>
        <v>13</v>
      </c>
      <c r="O927" s="1">
        <f>Table1[[#This Row],[Losing Seed]]-Table1[[#This Row],[Winning Seed]]</f>
        <v>-8</v>
      </c>
      <c r="P927" s="1" t="str">
        <f>IF(Table1[[#This Row],[SeD]]&lt;-2,Table1[[#This Row],[Winning Seed]]&amp; " over " &amp;Table1[[#This Row],[Losing Seed]],"")</f>
        <v>13 over 5</v>
      </c>
      <c r="Q927">
        <f>VLOOKUP(Table1[[#This Row],[Losing Seed]],'Seed History'!$N$4:$O$19,2)</f>
        <v>1.1180555555555556</v>
      </c>
      <c r="R927" s="1">
        <f>IF(Table1[[#This Row],[Round]]="PI",0,Table1[[#This Row],[Round]]-1)</f>
        <v>1</v>
      </c>
      <c r="S927">
        <f>Table1[[#This Row],[LAW]]-Table1[[#This Row],[LEW]]</f>
        <v>-0.11805555555555558</v>
      </c>
    </row>
    <row r="928" spans="1:19" x14ac:dyDescent="0.25">
      <c r="A928" s="66">
        <v>36233</v>
      </c>
      <c r="B928" s="51">
        <f>YEAR(Table1[[#This Row],[Date]])</f>
        <v>1999</v>
      </c>
      <c r="C928" s="1">
        <v>2</v>
      </c>
      <c r="D928" t="s">
        <v>49</v>
      </c>
      <c r="E928" s="1">
        <v>1</v>
      </c>
      <c r="F928" t="s">
        <v>64</v>
      </c>
      <c r="G928" t="str">
        <f>VLOOKUP(Table1[[#This Row],[Winner]],Ranking!C:D,2,FALSE)</f>
        <v>ACC</v>
      </c>
      <c r="H928" s="1">
        <v>97</v>
      </c>
      <c r="I928" s="1">
        <v>9</v>
      </c>
      <c r="J928" t="s">
        <v>94</v>
      </c>
      <c r="K928" t="str">
        <f>VLOOKUP(Table1[[#This Row],[Loser]],Ranking!C:D,2,FALSE)</f>
        <v>Amer</v>
      </c>
      <c r="L928" s="1">
        <v>56</v>
      </c>
      <c r="N928" s="1">
        <f>Table1[[#This Row],[Winning Score]]-Table1[[#This Row],[Losing Score]]</f>
        <v>41</v>
      </c>
      <c r="O928" s="1">
        <f>Table1[[#This Row],[Losing Seed]]-Table1[[#This Row],[Winning Seed]]</f>
        <v>8</v>
      </c>
      <c r="P928" s="1" t="str">
        <f>IF(Table1[[#This Row],[SeD]]&lt;-2,Table1[[#This Row],[Winning Seed]]&amp; " over " &amp;Table1[[#This Row],[Losing Seed]],"")</f>
        <v/>
      </c>
      <c r="Q928">
        <f>VLOOKUP(Table1[[#This Row],[Losing Seed]],'Seed History'!$N$4:$O$19,2)</f>
        <v>0.59027777777777779</v>
      </c>
      <c r="R928" s="1">
        <f>IF(Table1[[#This Row],[Round]]="PI",0,Table1[[#This Row],[Round]]-1)</f>
        <v>1</v>
      </c>
      <c r="S928">
        <f>Table1[[#This Row],[LAW]]-Table1[[#This Row],[LEW]]</f>
        <v>0.40972222222222221</v>
      </c>
    </row>
    <row r="929" spans="1:19" x14ac:dyDescent="0.25">
      <c r="A929" s="66">
        <v>36233</v>
      </c>
      <c r="B929" s="51">
        <f>YEAR(Table1[[#This Row],[Date]])</f>
        <v>1999</v>
      </c>
      <c r="C929" s="1">
        <v>2</v>
      </c>
      <c r="D929" t="s">
        <v>439</v>
      </c>
      <c r="E929" s="1">
        <v>1</v>
      </c>
      <c r="F929" t="s">
        <v>271</v>
      </c>
      <c r="G929" t="str">
        <f>VLOOKUP(Table1[[#This Row],[Winner]],Ranking!C:D,2,FALSE)</f>
        <v>B10</v>
      </c>
      <c r="H929" s="1">
        <v>74</v>
      </c>
      <c r="I929" s="1">
        <v>9</v>
      </c>
      <c r="J929" t="s">
        <v>45</v>
      </c>
      <c r="K929" t="str">
        <f>VLOOKUP(Table1[[#This Row],[Loser]],Ranking!C:D,2,FALSE)</f>
        <v>SEC</v>
      </c>
      <c r="L929" s="1">
        <v>66</v>
      </c>
      <c r="N929" s="1">
        <f>Table1[[#This Row],[Winning Score]]-Table1[[#This Row],[Losing Score]]</f>
        <v>8</v>
      </c>
      <c r="O929" s="1">
        <f>Table1[[#This Row],[Losing Seed]]-Table1[[#This Row],[Winning Seed]]</f>
        <v>8</v>
      </c>
      <c r="P929" s="1" t="str">
        <f>IF(Table1[[#This Row],[SeD]]&lt;-2,Table1[[#This Row],[Winning Seed]]&amp; " over " &amp;Table1[[#This Row],[Losing Seed]],"")</f>
        <v/>
      </c>
      <c r="Q929">
        <f>VLOOKUP(Table1[[#This Row],[Losing Seed]],'Seed History'!$N$4:$O$19,2)</f>
        <v>0.59027777777777779</v>
      </c>
      <c r="R929" s="1">
        <f>IF(Table1[[#This Row],[Round]]="PI",0,Table1[[#This Row],[Round]]-1)</f>
        <v>1</v>
      </c>
      <c r="S929">
        <f>Table1[[#This Row],[LAW]]-Table1[[#This Row],[LEW]]</f>
        <v>0.40972222222222221</v>
      </c>
    </row>
    <row r="930" spans="1:19" x14ac:dyDescent="0.25">
      <c r="A930" s="66">
        <v>36233</v>
      </c>
      <c r="B930" s="51">
        <f>YEAR(Table1[[#This Row],[Date]])</f>
        <v>1999</v>
      </c>
      <c r="C930" s="1">
        <v>2</v>
      </c>
      <c r="D930" t="s">
        <v>439</v>
      </c>
      <c r="E930" s="1">
        <v>3</v>
      </c>
      <c r="F930" t="s">
        <v>26</v>
      </c>
      <c r="G930" t="str">
        <f>VLOOKUP(Table1[[#This Row],[Winner]],Ranking!C:D,2,FALSE)</f>
        <v>SEC</v>
      </c>
      <c r="H930" s="1">
        <v>92</v>
      </c>
      <c r="I930" s="1">
        <v>6</v>
      </c>
      <c r="J930" t="s">
        <v>37</v>
      </c>
      <c r="K930" t="str">
        <f>VLOOKUP(Table1[[#This Row],[Loser]],Ranking!C:D,2,FALSE)</f>
        <v>B12</v>
      </c>
      <c r="L930" s="1">
        <v>88</v>
      </c>
      <c r="M930" s="1" t="s">
        <v>462</v>
      </c>
      <c r="N930" s="1">
        <f>Table1[[#This Row],[Winning Score]]-Table1[[#This Row],[Losing Score]]</f>
        <v>4</v>
      </c>
      <c r="O930" s="1">
        <f>Table1[[#This Row],[Losing Seed]]-Table1[[#This Row],[Winning Seed]]</f>
        <v>3</v>
      </c>
      <c r="P930" s="1" t="str">
        <f>IF(Table1[[#This Row],[SeD]]&lt;-2,Table1[[#This Row],[Winning Seed]]&amp; " over " &amp;Table1[[#This Row],[Losing Seed]],"")</f>
        <v/>
      </c>
      <c r="Q930">
        <f>VLOOKUP(Table1[[#This Row],[Losing Seed]],'Seed History'!$N$4:$O$19,2)</f>
        <v>1.0625</v>
      </c>
      <c r="R930" s="1">
        <f>IF(Table1[[#This Row],[Round]]="PI",0,Table1[[#This Row],[Round]]-1)</f>
        <v>1</v>
      </c>
      <c r="S930">
        <f>Table1[[#This Row],[LAW]]-Table1[[#This Row],[LEW]]</f>
        <v>-6.25E-2</v>
      </c>
    </row>
    <row r="931" spans="1:19" x14ac:dyDescent="0.25">
      <c r="A931" s="66">
        <v>36233</v>
      </c>
      <c r="B931" s="51">
        <f>YEAR(Table1[[#This Row],[Date]])</f>
        <v>1999</v>
      </c>
      <c r="C931" s="1">
        <v>2</v>
      </c>
      <c r="D931" t="s">
        <v>49</v>
      </c>
      <c r="E931" s="1">
        <v>6</v>
      </c>
      <c r="F931" t="s">
        <v>373</v>
      </c>
      <c r="G931" t="str">
        <f>VLOOKUP(Table1[[#This Row],[Winner]],Ranking!C:D,2,FALSE)</f>
        <v>Amer</v>
      </c>
      <c r="H931" s="1">
        <v>64</v>
      </c>
      <c r="I931" s="1">
        <v>3</v>
      </c>
      <c r="J931" t="s">
        <v>28</v>
      </c>
      <c r="K931" t="str">
        <f>VLOOKUP(Table1[[#This Row],[Loser]],Ranking!C:D,2,FALSE)</f>
        <v>Amer</v>
      </c>
      <c r="L931" s="1">
        <v>54</v>
      </c>
      <c r="N931" s="1">
        <f>Table1[[#This Row],[Winning Score]]-Table1[[#This Row],[Losing Score]]</f>
        <v>10</v>
      </c>
      <c r="O931" s="1">
        <f>Table1[[#This Row],[Losing Seed]]-Table1[[#This Row],[Winning Seed]]</f>
        <v>-3</v>
      </c>
      <c r="P931" s="1" t="str">
        <f>IF(Table1[[#This Row],[SeD]]&lt;-2,Table1[[#This Row],[Winning Seed]]&amp; " over " &amp;Table1[[#This Row],[Losing Seed]],"")</f>
        <v>6 over 3</v>
      </c>
      <c r="Q931">
        <f>VLOOKUP(Table1[[#This Row],[Losing Seed]],'Seed History'!$N$4:$O$19,2)</f>
        <v>1.8472222222222223</v>
      </c>
      <c r="R931" s="1">
        <f>IF(Table1[[#This Row],[Round]]="PI",0,Table1[[#This Row],[Round]]-1)</f>
        <v>1</v>
      </c>
      <c r="S931">
        <f>Table1[[#This Row],[LAW]]-Table1[[#This Row],[LEW]]</f>
        <v>-0.84722222222222232</v>
      </c>
    </row>
    <row r="932" spans="1:19" x14ac:dyDescent="0.25">
      <c r="A932" s="66">
        <v>36237</v>
      </c>
      <c r="B932" s="51">
        <f>YEAR(Table1[[#This Row],[Date]])</f>
        <v>1999</v>
      </c>
      <c r="C932" s="1">
        <v>3</v>
      </c>
      <c r="D932" t="s">
        <v>38</v>
      </c>
      <c r="E932" s="1">
        <v>1</v>
      </c>
      <c r="F932" t="s">
        <v>80</v>
      </c>
      <c r="G932" t="str">
        <f>VLOOKUP(Table1[[#This Row],[Winner]],Ranking!C:D,2,FALSE)</f>
        <v>BE</v>
      </c>
      <c r="H932" s="1">
        <v>78</v>
      </c>
      <c r="I932" s="1">
        <v>5</v>
      </c>
      <c r="J932" t="s">
        <v>69</v>
      </c>
      <c r="K932" t="str">
        <f>VLOOKUP(Table1[[#This Row],[Loser]],Ranking!C:D,2,FALSE)</f>
        <v>B10</v>
      </c>
      <c r="L932" s="1">
        <v>68</v>
      </c>
      <c r="N932" s="1">
        <f>Table1[[#This Row],[Winning Score]]-Table1[[#This Row],[Losing Score]]</f>
        <v>10</v>
      </c>
      <c r="O932" s="1">
        <f>Table1[[#This Row],[Losing Seed]]-Table1[[#This Row],[Winning Seed]]</f>
        <v>4</v>
      </c>
      <c r="P932" s="1" t="str">
        <f>IF(Table1[[#This Row],[SeD]]&lt;-2,Table1[[#This Row],[Winning Seed]]&amp; " over " &amp;Table1[[#This Row],[Losing Seed]],"")</f>
        <v/>
      </c>
      <c r="Q932">
        <f>VLOOKUP(Table1[[#This Row],[Losing Seed]],'Seed History'!$N$4:$O$19,2)</f>
        <v>1.1180555555555556</v>
      </c>
      <c r="R932" s="1">
        <f>IF(Table1[[#This Row],[Round]]="PI",0,Table1[[#This Row],[Round]]-1)</f>
        <v>2</v>
      </c>
      <c r="S932">
        <f>Table1[[#This Row],[LAW]]-Table1[[#This Row],[LEW]]</f>
        <v>0.88194444444444442</v>
      </c>
    </row>
    <row r="933" spans="1:19" x14ac:dyDescent="0.25">
      <c r="A933" s="66">
        <v>36237</v>
      </c>
      <c r="B933" s="51">
        <f>YEAR(Table1[[#This Row],[Date]])</f>
        <v>1999</v>
      </c>
      <c r="C933" s="1">
        <v>3</v>
      </c>
      <c r="D933" t="s">
        <v>38</v>
      </c>
      <c r="E933" s="1">
        <v>10</v>
      </c>
      <c r="F933" t="s">
        <v>71</v>
      </c>
      <c r="G933" t="str">
        <f>VLOOKUP(Table1[[#This Row],[Winner]],Ranking!C:D,2,FALSE)</f>
        <v>WCC</v>
      </c>
      <c r="H933" s="1">
        <v>73</v>
      </c>
      <c r="I933" s="1">
        <v>6</v>
      </c>
      <c r="J933" t="s">
        <v>81</v>
      </c>
      <c r="K933" t="str">
        <f>VLOOKUP(Table1[[#This Row],[Loser]],Ranking!C:D,2,FALSE)</f>
        <v>SEC</v>
      </c>
      <c r="L933" s="1">
        <v>72</v>
      </c>
      <c r="N933" s="1">
        <f>Table1[[#This Row],[Winning Score]]-Table1[[#This Row],[Losing Score]]</f>
        <v>1</v>
      </c>
      <c r="O933" s="1">
        <f>Table1[[#This Row],[Losing Seed]]-Table1[[#This Row],[Winning Seed]]</f>
        <v>-4</v>
      </c>
      <c r="P933" s="1" t="str">
        <f>IF(Table1[[#This Row],[SeD]]&lt;-2,Table1[[#This Row],[Winning Seed]]&amp; " over " &amp;Table1[[#This Row],[Losing Seed]],"")</f>
        <v>10 over 6</v>
      </c>
      <c r="Q933">
        <f>VLOOKUP(Table1[[#This Row],[Losing Seed]],'Seed History'!$N$4:$O$19,2)</f>
        <v>1.0625</v>
      </c>
      <c r="R933" s="1">
        <f>IF(Table1[[#This Row],[Round]]="PI",0,Table1[[#This Row],[Round]]-1)</f>
        <v>2</v>
      </c>
      <c r="S933">
        <f>Table1[[#This Row],[LAW]]-Table1[[#This Row],[LEW]]</f>
        <v>0.9375</v>
      </c>
    </row>
    <row r="934" spans="1:19" x14ac:dyDescent="0.25">
      <c r="A934" s="66">
        <v>36237</v>
      </c>
      <c r="B934" s="51">
        <f>YEAR(Table1[[#This Row],[Date]])</f>
        <v>1999</v>
      </c>
      <c r="C934" s="1">
        <v>3</v>
      </c>
      <c r="D934" t="s">
        <v>63</v>
      </c>
      <c r="E934" s="1">
        <v>4</v>
      </c>
      <c r="F934" t="s">
        <v>315</v>
      </c>
      <c r="G934" t="str">
        <f>VLOOKUP(Table1[[#This Row],[Winner]],Ranking!C:D,2,FALSE)</f>
        <v>B10</v>
      </c>
      <c r="H934" s="1">
        <v>72</v>
      </c>
      <c r="I934" s="1">
        <v>1</v>
      </c>
      <c r="J934" t="s">
        <v>129</v>
      </c>
      <c r="K934" t="str">
        <f>VLOOKUP(Table1[[#This Row],[Loser]],Ranking!C:D,2,FALSE)</f>
        <v>SEC</v>
      </c>
      <c r="L934" s="1">
        <v>64</v>
      </c>
      <c r="N934" s="1">
        <f>Table1[[#This Row],[Winning Score]]-Table1[[#This Row],[Losing Score]]</f>
        <v>8</v>
      </c>
      <c r="O934" s="1">
        <f>Table1[[#This Row],[Losing Seed]]-Table1[[#This Row],[Winning Seed]]</f>
        <v>-3</v>
      </c>
      <c r="P934" s="1" t="str">
        <f>IF(Table1[[#This Row],[SeD]]&lt;-2,Table1[[#This Row],[Winning Seed]]&amp; " over " &amp;Table1[[#This Row],[Losing Seed]],"")</f>
        <v>4 over 1</v>
      </c>
      <c r="Q934">
        <f>VLOOKUP(Table1[[#This Row],[Losing Seed]],'Seed History'!$N$4:$O$19,2)</f>
        <v>3.3263888888888888</v>
      </c>
      <c r="R934" s="1">
        <f>IF(Table1[[#This Row],[Round]]="PI",0,Table1[[#This Row],[Round]]-1)</f>
        <v>2</v>
      </c>
      <c r="S934">
        <f>Table1[[#This Row],[LAW]]-Table1[[#This Row],[LEW]]</f>
        <v>-1.3263888888888888</v>
      </c>
    </row>
    <row r="935" spans="1:19" x14ac:dyDescent="0.25">
      <c r="A935" s="66">
        <v>36237</v>
      </c>
      <c r="B935" s="51">
        <f>YEAR(Table1[[#This Row],[Date]])</f>
        <v>1999</v>
      </c>
      <c r="C935" s="1">
        <v>3</v>
      </c>
      <c r="D935" t="s">
        <v>63</v>
      </c>
      <c r="E935" s="1">
        <v>3</v>
      </c>
      <c r="F935" t="s">
        <v>368</v>
      </c>
      <c r="G935" t="str">
        <f>VLOOKUP(Table1[[#This Row],[Winner]],Ranking!C:D,2,FALSE)</f>
        <v>BE</v>
      </c>
      <c r="H935" s="1">
        <v>76</v>
      </c>
      <c r="I935" s="1">
        <v>2</v>
      </c>
      <c r="J935" t="s">
        <v>31</v>
      </c>
      <c r="K935" t="str">
        <f>VLOOKUP(Table1[[#This Row],[Loser]],Ranking!C:D,2,FALSE)</f>
        <v>B10</v>
      </c>
      <c r="L935" s="1">
        <v>62</v>
      </c>
      <c r="N935" s="1">
        <f>Table1[[#This Row],[Winning Score]]-Table1[[#This Row],[Losing Score]]</f>
        <v>14</v>
      </c>
      <c r="O935" s="1">
        <f>Table1[[#This Row],[Losing Seed]]-Table1[[#This Row],[Winning Seed]]</f>
        <v>-1</v>
      </c>
      <c r="P935" s="1" t="str">
        <f>IF(Table1[[#This Row],[SeD]]&lt;-2,Table1[[#This Row],[Winning Seed]]&amp; " over " &amp;Table1[[#This Row],[Losing Seed]],"")</f>
        <v/>
      </c>
      <c r="Q935">
        <f>VLOOKUP(Table1[[#This Row],[Losing Seed]],'Seed History'!$N$4:$O$19,2)</f>
        <v>2.3472222222222223</v>
      </c>
      <c r="R935" s="1">
        <f>IF(Table1[[#This Row],[Round]]="PI",0,Table1[[#This Row],[Round]]-1)</f>
        <v>2</v>
      </c>
      <c r="S935">
        <f>Table1[[#This Row],[LAW]]-Table1[[#This Row],[LEW]]</f>
        <v>-0.34722222222222232</v>
      </c>
    </row>
    <row r="936" spans="1:19" x14ac:dyDescent="0.25">
      <c r="A936" s="66">
        <v>36238</v>
      </c>
      <c r="B936" s="51">
        <f>YEAR(Table1[[#This Row],[Date]])</f>
        <v>1999</v>
      </c>
      <c r="C936" s="1">
        <v>3</v>
      </c>
      <c r="D936" t="s">
        <v>49</v>
      </c>
      <c r="E936" s="1">
        <v>1</v>
      </c>
      <c r="F936" t="s">
        <v>64</v>
      </c>
      <c r="G936" t="str">
        <f>VLOOKUP(Table1[[#This Row],[Winner]],Ranking!C:D,2,FALSE)</f>
        <v>ACC</v>
      </c>
      <c r="H936" s="1">
        <v>78</v>
      </c>
      <c r="I936" s="1">
        <v>12</v>
      </c>
      <c r="J936" t="s">
        <v>278</v>
      </c>
      <c r="K936" t="str">
        <f>VLOOKUP(Table1[[#This Row],[Loser]],Ranking!C:D,2,FALSE)</f>
        <v>MVC</v>
      </c>
      <c r="L936" s="1">
        <v>61</v>
      </c>
      <c r="N936" s="1">
        <f>Table1[[#This Row],[Winning Score]]-Table1[[#This Row],[Losing Score]]</f>
        <v>17</v>
      </c>
      <c r="O936" s="1">
        <f>Table1[[#This Row],[Losing Seed]]-Table1[[#This Row],[Winning Seed]]</f>
        <v>11</v>
      </c>
      <c r="P936" s="1" t="str">
        <f>IF(Table1[[#This Row],[SeD]]&lt;-2,Table1[[#This Row],[Winning Seed]]&amp; " over " &amp;Table1[[#This Row],[Losing Seed]],"")</f>
        <v/>
      </c>
      <c r="Q936">
        <f>VLOOKUP(Table1[[#This Row],[Losing Seed]],'Seed History'!$N$4:$O$19,2)</f>
        <v>0.52083333333333337</v>
      </c>
      <c r="R936" s="1">
        <f>IF(Table1[[#This Row],[Round]]="PI",0,Table1[[#This Row],[Round]]-1)</f>
        <v>2</v>
      </c>
      <c r="S936">
        <f>Table1[[#This Row],[LAW]]-Table1[[#This Row],[LEW]]</f>
        <v>1.4791666666666665</v>
      </c>
    </row>
    <row r="937" spans="1:19" x14ac:dyDescent="0.25">
      <c r="A937" s="66">
        <v>36238</v>
      </c>
      <c r="B937" s="51">
        <f>YEAR(Table1[[#This Row],[Date]])</f>
        <v>1999</v>
      </c>
      <c r="C937" s="1">
        <v>3</v>
      </c>
      <c r="D937" t="s">
        <v>49</v>
      </c>
      <c r="E937" s="1">
        <v>6</v>
      </c>
      <c r="F937" t="s">
        <v>373</v>
      </c>
      <c r="G937" t="str">
        <f>VLOOKUP(Table1[[#This Row],[Winner]],Ranking!C:D,2,FALSE)</f>
        <v>Amer</v>
      </c>
      <c r="H937" s="1">
        <v>77</v>
      </c>
      <c r="I937" s="1">
        <v>10</v>
      </c>
      <c r="J937" t="s">
        <v>29</v>
      </c>
      <c r="K937" t="str">
        <f>VLOOKUP(Table1[[#This Row],[Loser]],Ranking!C:D,2,FALSE)</f>
        <v>B10</v>
      </c>
      <c r="L937" s="1">
        <v>55</v>
      </c>
      <c r="N937" s="1">
        <f>Table1[[#This Row],[Winning Score]]-Table1[[#This Row],[Losing Score]]</f>
        <v>22</v>
      </c>
      <c r="O937" s="1">
        <f>Table1[[#This Row],[Losing Seed]]-Table1[[#This Row],[Winning Seed]]</f>
        <v>4</v>
      </c>
      <c r="P937" s="1" t="str">
        <f>IF(Table1[[#This Row],[SeD]]&lt;-2,Table1[[#This Row],[Winning Seed]]&amp; " over " &amp;Table1[[#This Row],[Losing Seed]],"")</f>
        <v/>
      </c>
      <c r="Q937">
        <f>VLOOKUP(Table1[[#This Row],[Losing Seed]],'Seed History'!$N$4:$O$19,2)</f>
        <v>0.61805555555555558</v>
      </c>
      <c r="R937" s="1">
        <f>IF(Table1[[#This Row],[Round]]="PI",0,Table1[[#This Row],[Round]]-1)</f>
        <v>2</v>
      </c>
      <c r="S937">
        <f>Table1[[#This Row],[LAW]]-Table1[[#This Row],[LEW]]</f>
        <v>1.3819444444444444</v>
      </c>
    </row>
    <row r="938" spans="1:19" x14ac:dyDescent="0.25">
      <c r="A938" s="66">
        <v>36238</v>
      </c>
      <c r="B938" s="51">
        <f>YEAR(Table1[[#This Row],[Date]])</f>
        <v>1999</v>
      </c>
      <c r="C938" s="1">
        <v>3</v>
      </c>
      <c r="D938" t="s">
        <v>439</v>
      </c>
      <c r="E938" s="1">
        <v>1</v>
      </c>
      <c r="F938" t="s">
        <v>271</v>
      </c>
      <c r="G938" t="str">
        <f>VLOOKUP(Table1[[#This Row],[Winner]],Ranking!C:D,2,FALSE)</f>
        <v>B10</v>
      </c>
      <c r="H938" s="1">
        <v>54</v>
      </c>
      <c r="I938" s="1">
        <v>13</v>
      </c>
      <c r="J938" t="s">
        <v>58</v>
      </c>
      <c r="K938" t="str">
        <f>VLOOKUP(Table1[[#This Row],[Loser]],Ranking!C:D,2,FALSE)</f>
        <v>B12</v>
      </c>
      <c r="L938" s="1">
        <v>46</v>
      </c>
      <c r="N938" s="1">
        <f>Table1[[#This Row],[Winning Score]]-Table1[[#This Row],[Losing Score]]</f>
        <v>8</v>
      </c>
      <c r="O938" s="1">
        <f>Table1[[#This Row],[Losing Seed]]-Table1[[#This Row],[Winning Seed]]</f>
        <v>12</v>
      </c>
      <c r="P938" s="1" t="str">
        <f>IF(Table1[[#This Row],[SeD]]&lt;-2,Table1[[#This Row],[Winning Seed]]&amp; " over " &amp;Table1[[#This Row],[Losing Seed]],"")</f>
        <v/>
      </c>
      <c r="Q938">
        <f>VLOOKUP(Table1[[#This Row],[Losing Seed]],'Seed History'!$N$4:$O$19,2)</f>
        <v>0.25694444444444442</v>
      </c>
      <c r="R938" s="1">
        <f>IF(Table1[[#This Row],[Round]]="PI",0,Table1[[#This Row],[Round]]-1)</f>
        <v>2</v>
      </c>
      <c r="S938">
        <f>Table1[[#This Row],[LAW]]-Table1[[#This Row],[LEW]]</f>
        <v>1.7430555555555556</v>
      </c>
    </row>
    <row r="939" spans="1:19" x14ac:dyDescent="0.25">
      <c r="A939" s="66">
        <v>36238</v>
      </c>
      <c r="B939" s="51">
        <f>YEAR(Table1[[#This Row],[Date]])</f>
        <v>1999</v>
      </c>
      <c r="C939" s="1">
        <v>3</v>
      </c>
      <c r="D939" t="s">
        <v>439</v>
      </c>
      <c r="E939" s="1">
        <v>3</v>
      </c>
      <c r="F939" t="s">
        <v>26</v>
      </c>
      <c r="G939" t="str">
        <f>VLOOKUP(Table1[[#This Row],[Winner]],Ranking!C:D,2,FALSE)</f>
        <v>SEC</v>
      </c>
      <c r="H939" s="1">
        <v>58</v>
      </c>
      <c r="I939" s="1">
        <v>10</v>
      </c>
      <c r="J939" t="s">
        <v>270</v>
      </c>
      <c r="K939" t="str">
        <f>VLOOKUP(Table1[[#This Row],[Loser]],Ranking!C:D,2,FALSE)</f>
        <v>MAC</v>
      </c>
      <c r="L939" s="1">
        <v>43</v>
      </c>
      <c r="N939" s="1">
        <f>Table1[[#This Row],[Winning Score]]-Table1[[#This Row],[Losing Score]]</f>
        <v>15</v>
      </c>
      <c r="O939" s="1">
        <f>Table1[[#This Row],[Losing Seed]]-Table1[[#This Row],[Winning Seed]]</f>
        <v>7</v>
      </c>
      <c r="P939" s="1" t="str">
        <f>IF(Table1[[#This Row],[SeD]]&lt;-2,Table1[[#This Row],[Winning Seed]]&amp; " over " &amp;Table1[[#This Row],[Losing Seed]],"")</f>
        <v/>
      </c>
      <c r="Q939">
        <f>VLOOKUP(Table1[[#This Row],[Losing Seed]],'Seed History'!$N$4:$O$19,2)</f>
        <v>0.61805555555555558</v>
      </c>
      <c r="R939" s="1">
        <f>IF(Table1[[#This Row],[Round]]="PI",0,Table1[[#This Row],[Round]]-1)</f>
        <v>2</v>
      </c>
      <c r="S939">
        <f>Table1[[#This Row],[LAW]]-Table1[[#This Row],[LEW]]</f>
        <v>1.3819444444444444</v>
      </c>
    </row>
    <row r="940" spans="1:19" x14ac:dyDescent="0.25">
      <c r="A940" s="66">
        <v>36239</v>
      </c>
      <c r="B940" s="51">
        <f>YEAR(Table1[[#This Row],[Date]])</f>
        <v>1999</v>
      </c>
      <c r="C940" s="1">
        <v>4</v>
      </c>
      <c r="D940" t="s">
        <v>38</v>
      </c>
      <c r="E940" s="1">
        <v>1</v>
      </c>
      <c r="F940" t="s">
        <v>80</v>
      </c>
      <c r="G940" t="str">
        <f>VLOOKUP(Table1[[#This Row],[Winner]],Ranking!C:D,2,FALSE)</f>
        <v>BE</v>
      </c>
      <c r="H940" s="1">
        <v>67</v>
      </c>
      <c r="I940" s="1">
        <v>10</v>
      </c>
      <c r="J940" t="s">
        <v>71</v>
      </c>
      <c r="K940" t="str">
        <f>VLOOKUP(Table1[[#This Row],[Loser]],Ranking!C:D,2,FALSE)</f>
        <v>WCC</v>
      </c>
      <c r="L940" s="1">
        <v>62</v>
      </c>
      <c r="N940" s="1">
        <f>Table1[[#This Row],[Winning Score]]-Table1[[#This Row],[Losing Score]]</f>
        <v>5</v>
      </c>
      <c r="O940" s="1">
        <f>Table1[[#This Row],[Losing Seed]]-Table1[[#This Row],[Winning Seed]]</f>
        <v>9</v>
      </c>
      <c r="P940" s="1" t="str">
        <f>IF(Table1[[#This Row],[SeD]]&lt;-2,Table1[[#This Row],[Winning Seed]]&amp; " over " &amp;Table1[[#This Row],[Losing Seed]],"")</f>
        <v/>
      </c>
      <c r="Q940">
        <f>VLOOKUP(Table1[[#This Row],[Losing Seed]],'Seed History'!$N$4:$O$19,2)</f>
        <v>0.61805555555555558</v>
      </c>
      <c r="R940" s="1">
        <f>IF(Table1[[#This Row],[Round]]="PI",0,Table1[[#This Row],[Round]]-1)</f>
        <v>3</v>
      </c>
      <c r="S940">
        <f>Table1[[#This Row],[LAW]]-Table1[[#This Row],[LEW]]</f>
        <v>2.3819444444444446</v>
      </c>
    </row>
    <row r="941" spans="1:19" x14ac:dyDescent="0.25">
      <c r="A941" s="66">
        <v>36239</v>
      </c>
      <c r="B941" s="51">
        <f>YEAR(Table1[[#This Row],[Date]])</f>
        <v>1999</v>
      </c>
      <c r="C941" s="1">
        <v>4</v>
      </c>
      <c r="D941" t="s">
        <v>63</v>
      </c>
      <c r="E941" s="1">
        <v>4</v>
      </c>
      <c r="F941" t="s">
        <v>315</v>
      </c>
      <c r="G941" t="str">
        <f>VLOOKUP(Table1[[#This Row],[Winner]],Ranking!C:D,2,FALSE)</f>
        <v>B10</v>
      </c>
      <c r="H941" s="1">
        <v>77</v>
      </c>
      <c r="I941" s="1">
        <v>3</v>
      </c>
      <c r="J941" t="s">
        <v>368</v>
      </c>
      <c r="K941" t="str">
        <f>VLOOKUP(Table1[[#This Row],[Loser]],Ranking!C:D,2,FALSE)</f>
        <v>BE</v>
      </c>
      <c r="L941" s="1">
        <v>74</v>
      </c>
      <c r="N941" s="1">
        <f>Table1[[#This Row],[Winning Score]]-Table1[[#This Row],[Losing Score]]</f>
        <v>3</v>
      </c>
      <c r="O941" s="1">
        <f>Table1[[#This Row],[Losing Seed]]-Table1[[#This Row],[Winning Seed]]</f>
        <v>-1</v>
      </c>
      <c r="P941" s="1" t="str">
        <f>IF(Table1[[#This Row],[SeD]]&lt;-2,Table1[[#This Row],[Winning Seed]]&amp; " over " &amp;Table1[[#This Row],[Losing Seed]],"")</f>
        <v/>
      </c>
      <c r="Q941">
        <f>VLOOKUP(Table1[[#This Row],[Losing Seed]],'Seed History'!$N$4:$O$19,2)</f>
        <v>1.8472222222222223</v>
      </c>
      <c r="R941" s="1">
        <f>IF(Table1[[#This Row],[Round]]="PI",0,Table1[[#This Row],[Round]]-1)</f>
        <v>3</v>
      </c>
      <c r="S941">
        <f>Table1[[#This Row],[LAW]]-Table1[[#This Row],[LEW]]</f>
        <v>1.1527777777777777</v>
      </c>
    </row>
    <row r="942" spans="1:19" x14ac:dyDescent="0.25">
      <c r="A942" s="66">
        <v>36240</v>
      </c>
      <c r="B942" s="51">
        <f>YEAR(Table1[[#This Row],[Date]])</f>
        <v>1999</v>
      </c>
      <c r="C942" s="1">
        <v>4</v>
      </c>
      <c r="D942" t="s">
        <v>49</v>
      </c>
      <c r="E942" s="1">
        <v>1</v>
      </c>
      <c r="F942" t="s">
        <v>64</v>
      </c>
      <c r="G942" t="str">
        <f>VLOOKUP(Table1[[#This Row],[Winner]],Ranking!C:D,2,FALSE)</f>
        <v>ACC</v>
      </c>
      <c r="H942" s="1">
        <v>85</v>
      </c>
      <c r="I942" s="1">
        <v>6</v>
      </c>
      <c r="J942" t="s">
        <v>373</v>
      </c>
      <c r="K942" t="str">
        <f>VLOOKUP(Table1[[#This Row],[Loser]],Ranking!C:D,2,FALSE)</f>
        <v>Amer</v>
      </c>
      <c r="L942" s="1">
        <v>64</v>
      </c>
      <c r="N942" s="1">
        <f>Table1[[#This Row],[Winning Score]]-Table1[[#This Row],[Losing Score]]</f>
        <v>21</v>
      </c>
      <c r="O942" s="1">
        <f>Table1[[#This Row],[Losing Seed]]-Table1[[#This Row],[Winning Seed]]</f>
        <v>5</v>
      </c>
      <c r="P942" s="1" t="str">
        <f>IF(Table1[[#This Row],[SeD]]&lt;-2,Table1[[#This Row],[Winning Seed]]&amp; " over " &amp;Table1[[#This Row],[Losing Seed]],"")</f>
        <v/>
      </c>
      <c r="Q942">
        <f>VLOOKUP(Table1[[#This Row],[Losing Seed]],'Seed History'!$N$4:$O$19,2)</f>
        <v>1.0625</v>
      </c>
      <c r="R942" s="1">
        <f>IF(Table1[[#This Row],[Round]]="PI",0,Table1[[#This Row],[Round]]-1)</f>
        <v>3</v>
      </c>
      <c r="S942">
        <f>Table1[[#This Row],[LAW]]-Table1[[#This Row],[LEW]]</f>
        <v>1.9375</v>
      </c>
    </row>
    <row r="943" spans="1:19" x14ac:dyDescent="0.25">
      <c r="A943" s="66">
        <v>36240</v>
      </c>
      <c r="B943" s="51">
        <f>YEAR(Table1[[#This Row],[Date]])</f>
        <v>1999</v>
      </c>
      <c r="C943" s="1">
        <v>4</v>
      </c>
      <c r="D943" t="s">
        <v>439</v>
      </c>
      <c r="E943" s="1">
        <v>1</v>
      </c>
      <c r="F943" t="s">
        <v>271</v>
      </c>
      <c r="G943" t="str">
        <f>VLOOKUP(Table1[[#This Row],[Winner]],Ranking!C:D,2,FALSE)</f>
        <v>B10</v>
      </c>
      <c r="H943" s="1">
        <v>73</v>
      </c>
      <c r="I943" s="1">
        <v>3</v>
      </c>
      <c r="J943" t="s">
        <v>26</v>
      </c>
      <c r="K943" t="str">
        <f>VLOOKUP(Table1[[#This Row],[Loser]],Ranking!C:D,2,FALSE)</f>
        <v>SEC</v>
      </c>
      <c r="L943" s="1">
        <v>66</v>
      </c>
      <c r="N943" s="1">
        <f>Table1[[#This Row],[Winning Score]]-Table1[[#This Row],[Losing Score]]</f>
        <v>7</v>
      </c>
      <c r="O943" s="1">
        <f>Table1[[#This Row],[Losing Seed]]-Table1[[#This Row],[Winning Seed]]</f>
        <v>2</v>
      </c>
      <c r="P943" s="1" t="str">
        <f>IF(Table1[[#This Row],[SeD]]&lt;-2,Table1[[#This Row],[Winning Seed]]&amp; " over " &amp;Table1[[#This Row],[Losing Seed]],"")</f>
        <v/>
      </c>
      <c r="Q943">
        <f>VLOOKUP(Table1[[#This Row],[Losing Seed]],'Seed History'!$N$4:$O$19,2)</f>
        <v>1.8472222222222223</v>
      </c>
      <c r="R943" s="1">
        <f>IF(Table1[[#This Row],[Round]]="PI",0,Table1[[#This Row],[Round]]-1)</f>
        <v>3</v>
      </c>
      <c r="S943">
        <f>Table1[[#This Row],[LAW]]-Table1[[#This Row],[LEW]]</f>
        <v>1.1527777777777777</v>
      </c>
    </row>
    <row r="944" spans="1:19" x14ac:dyDescent="0.25">
      <c r="A944" s="66">
        <v>36246</v>
      </c>
      <c r="B944" s="51">
        <f>YEAR(Table1[[#This Row],[Date]])</f>
        <v>1999</v>
      </c>
      <c r="C944" s="1">
        <v>5</v>
      </c>
      <c r="D944" t="s">
        <v>467</v>
      </c>
      <c r="E944" s="1">
        <v>1</v>
      </c>
      <c r="F944" t="s">
        <v>64</v>
      </c>
      <c r="G944" t="str">
        <f>VLOOKUP(Table1[[#This Row],[Winner]],Ranking!C:D,2,FALSE)</f>
        <v>ACC</v>
      </c>
      <c r="H944" s="1">
        <v>68</v>
      </c>
      <c r="I944" s="1">
        <v>1</v>
      </c>
      <c r="J944" t="s">
        <v>271</v>
      </c>
      <c r="K944" t="str">
        <f>VLOOKUP(Table1[[#This Row],[Loser]],Ranking!C:D,2,FALSE)</f>
        <v>B10</v>
      </c>
      <c r="L944" s="1">
        <v>62</v>
      </c>
      <c r="N944" s="1">
        <f>Table1[[#This Row],[Winning Score]]-Table1[[#This Row],[Losing Score]]</f>
        <v>6</v>
      </c>
      <c r="O944" s="1">
        <f>Table1[[#This Row],[Losing Seed]]-Table1[[#This Row],[Winning Seed]]</f>
        <v>0</v>
      </c>
      <c r="P944" s="1" t="str">
        <f>IF(Table1[[#This Row],[SeD]]&lt;-2,Table1[[#This Row],[Winning Seed]]&amp; " over " &amp;Table1[[#This Row],[Losing Seed]],"")</f>
        <v/>
      </c>
      <c r="Q944">
        <f>VLOOKUP(Table1[[#This Row],[Losing Seed]],'Seed History'!$N$4:$O$19,2)</f>
        <v>3.3263888888888888</v>
      </c>
      <c r="R944" s="1">
        <f>IF(Table1[[#This Row],[Round]]="PI",0,Table1[[#This Row],[Round]]-1)</f>
        <v>4</v>
      </c>
      <c r="S944">
        <f>Table1[[#This Row],[LAW]]-Table1[[#This Row],[LEW]]</f>
        <v>0.67361111111111116</v>
      </c>
    </row>
    <row r="945" spans="1:19" x14ac:dyDescent="0.25">
      <c r="A945" s="66">
        <v>36246</v>
      </c>
      <c r="B945" s="51">
        <f>YEAR(Table1[[#This Row],[Date]])</f>
        <v>1999</v>
      </c>
      <c r="C945" s="1">
        <v>5</v>
      </c>
      <c r="D945" t="s">
        <v>467</v>
      </c>
      <c r="E945" s="1">
        <v>1</v>
      </c>
      <c r="F945" t="s">
        <v>80</v>
      </c>
      <c r="G945" t="str">
        <f>VLOOKUP(Table1[[#This Row],[Winner]],Ranking!C:D,2,FALSE)</f>
        <v>BE</v>
      </c>
      <c r="H945" s="1">
        <v>64</v>
      </c>
      <c r="I945" s="1">
        <v>4</v>
      </c>
      <c r="J945" t="s">
        <v>315</v>
      </c>
      <c r="K945" t="str">
        <f>VLOOKUP(Table1[[#This Row],[Loser]],Ranking!C:D,2,FALSE)</f>
        <v>B10</v>
      </c>
      <c r="L945" s="1">
        <v>58</v>
      </c>
      <c r="N945" s="1">
        <f>Table1[[#This Row],[Winning Score]]-Table1[[#This Row],[Losing Score]]</f>
        <v>6</v>
      </c>
      <c r="O945" s="1">
        <f>Table1[[#This Row],[Losing Seed]]-Table1[[#This Row],[Winning Seed]]</f>
        <v>3</v>
      </c>
      <c r="P945" s="1" t="str">
        <f>IF(Table1[[#This Row],[SeD]]&lt;-2,Table1[[#This Row],[Winning Seed]]&amp; " over " &amp;Table1[[#This Row],[Losing Seed]],"")</f>
        <v/>
      </c>
      <c r="Q945">
        <f>VLOOKUP(Table1[[#This Row],[Losing Seed]],'Seed History'!$N$4:$O$19,2)</f>
        <v>1.5208333333333333</v>
      </c>
      <c r="R945" s="1">
        <f>IF(Table1[[#This Row],[Round]]="PI",0,Table1[[#This Row],[Round]]-1)</f>
        <v>4</v>
      </c>
      <c r="S945">
        <f>Table1[[#This Row],[LAW]]-Table1[[#This Row],[LEW]]</f>
        <v>2.479166666666667</v>
      </c>
    </row>
    <row r="946" spans="1:19" x14ac:dyDescent="0.25">
      <c r="A946" s="66">
        <v>36248</v>
      </c>
      <c r="B946" s="51">
        <f>YEAR(Table1[[#This Row],[Date]])</f>
        <v>1999</v>
      </c>
      <c r="C946" s="1">
        <v>6</v>
      </c>
      <c r="D946" t="s">
        <v>468</v>
      </c>
      <c r="E946" s="1">
        <v>1</v>
      </c>
      <c r="F946" t="s">
        <v>80</v>
      </c>
      <c r="G946" t="str">
        <f>VLOOKUP(Table1[[#This Row],[Winner]],Ranking!C:D,2,FALSE)</f>
        <v>BE</v>
      </c>
      <c r="H946" s="1">
        <v>77</v>
      </c>
      <c r="I946" s="1">
        <v>1</v>
      </c>
      <c r="J946" t="s">
        <v>64</v>
      </c>
      <c r="K946" t="str">
        <f>VLOOKUP(Table1[[#This Row],[Loser]],Ranking!C:D,2,FALSE)</f>
        <v>ACC</v>
      </c>
      <c r="L946" s="1">
        <v>74</v>
      </c>
      <c r="N946" s="1">
        <f>Table1[[#This Row],[Winning Score]]-Table1[[#This Row],[Losing Score]]</f>
        <v>3</v>
      </c>
      <c r="O946" s="1">
        <f>Table1[[#This Row],[Losing Seed]]-Table1[[#This Row],[Winning Seed]]</f>
        <v>0</v>
      </c>
      <c r="P946" s="1" t="str">
        <f>IF(Table1[[#This Row],[SeD]]&lt;-2,Table1[[#This Row],[Winning Seed]]&amp; " over " &amp;Table1[[#This Row],[Losing Seed]],"")</f>
        <v/>
      </c>
      <c r="Q946">
        <f>VLOOKUP(Table1[[#This Row],[Losing Seed]],'Seed History'!$N$4:$O$19,2)</f>
        <v>3.3263888888888888</v>
      </c>
      <c r="R946" s="1">
        <f>IF(Table1[[#This Row],[Round]]="PI",0,Table1[[#This Row],[Round]]-1)</f>
        <v>5</v>
      </c>
      <c r="S946">
        <f>Table1[[#This Row],[LAW]]-Table1[[#This Row],[LEW]]</f>
        <v>1.6736111111111112</v>
      </c>
    </row>
    <row r="947" spans="1:19" x14ac:dyDescent="0.25">
      <c r="A947" s="66">
        <v>36601</v>
      </c>
      <c r="B947" s="51">
        <f>YEAR(Table1[[#This Row],[Date]])</f>
        <v>2000</v>
      </c>
      <c r="C947" s="1">
        <v>1</v>
      </c>
      <c r="D947" t="s">
        <v>439</v>
      </c>
      <c r="E947" s="1">
        <v>1</v>
      </c>
      <c r="F947" t="s">
        <v>271</v>
      </c>
      <c r="G947" t="str">
        <f>VLOOKUP(Table1[[#This Row],[Winner]],Ranking!C:D,2,FALSE)</f>
        <v>B10</v>
      </c>
      <c r="H947" s="1">
        <v>65</v>
      </c>
      <c r="I947" s="1">
        <v>16</v>
      </c>
      <c r="J947" t="s">
        <v>32</v>
      </c>
      <c r="K947" t="str">
        <f>VLOOKUP(Table1[[#This Row],[Loser]],Ranking!C:D,2,FALSE)</f>
        <v>MVC</v>
      </c>
      <c r="L947" s="1">
        <v>38</v>
      </c>
      <c r="N947" s="1">
        <f>Table1[[#This Row],[Winning Score]]-Table1[[#This Row],[Losing Score]]</f>
        <v>27</v>
      </c>
      <c r="O947" s="1">
        <f>Table1[[#This Row],[Losing Seed]]-Table1[[#This Row],[Winning Seed]]</f>
        <v>15</v>
      </c>
      <c r="P947" s="1" t="str">
        <f>IF(Table1[[#This Row],[SeD]]&lt;-2,Table1[[#This Row],[Winning Seed]]&amp; " over " &amp;Table1[[#This Row],[Losing Seed]],"")</f>
        <v/>
      </c>
      <c r="Q947">
        <f>VLOOKUP(Table1[[#This Row],[Losing Seed]],'Seed History'!$N$4:$O$19,2)</f>
        <v>6.9444444444444441E-3</v>
      </c>
      <c r="R947" s="1">
        <f>IF(Table1[[#This Row],[Round]]="PI",0,Table1[[#This Row],[Round]]-1)</f>
        <v>0</v>
      </c>
      <c r="S947">
        <f>Table1[[#This Row],[LAW]]-Table1[[#This Row],[LEW]]</f>
        <v>-6.9444444444444441E-3</v>
      </c>
    </row>
    <row r="948" spans="1:19" x14ac:dyDescent="0.25">
      <c r="A948" s="66">
        <v>36601</v>
      </c>
      <c r="B948" s="51">
        <f>YEAR(Table1[[#This Row],[Date]])</f>
        <v>2000</v>
      </c>
      <c r="C948" s="1">
        <v>1</v>
      </c>
      <c r="D948" t="s">
        <v>439</v>
      </c>
      <c r="E948" s="1">
        <v>2</v>
      </c>
      <c r="F948" t="s">
        <v>237</v>
      </c>
      <c r="G948" t="str">
        <f>VLOOKUP(Table1[[#This Row],[Winner]],Ranking!C:D,2,FALSE)</f>
        <v>B12</v>
      </c>
      <c r="H948" s="1">
        <v>88</v>
      </c>
      <c r="I948" s="1">
        <v>15</v>
      </c>
      <c r="J948" t="s">
        <v>162</v>
      </c>
      <c r="K948" t="str">
        <f>VLOOKUP(Table1[[#This Row],[Loser]],Ranking!C:D,2,FALSE)</f>
        <v>NEC</v>
      </c>
      <c r="L948" s="1">
        <v>78</v>
      </c>
      <c r="N948" s="1">
        <f>Table1[[#This Row],[Winning Score]]-Table1[[#This Row],[Losing Score]]</f>
        <v>10</v>
      </c>
      <c r="O948" s="1">
        <f>Table1[[#This Row],[Losing Seed]]-Table1[[#This Row],[Winning Seed]]</f>
        <v>13</v>
      </c>
      <c r="P948" s="1" t="str">
        <f>IF(Table1[[#This Row],[SeD]]&lt;-2,Table1[[#This Row],[Winning Seed]]&amp; " over " &amp;Table1[[#This Row],[Losing Seed]],"")</f>
        <v/>
      </c>
      <c r="Q948">
        <f>VLOOKUP(Table1[[#This Row],[Losing Seed]],'Seed History'!$N$4:$O$19,2)</f>
        <v>7.6388888888888895E-2</v>
      </c>
      <c r="R948" s="1">
        <f>IF(Table1[[#This Row],[Round]]="PI",0,Table1[[#This Row],[Round]]-1)</f>
        <v>0</v>
      </c>
      <c r="S948">
        <f>Table1[[#This Row],[LAW]]-Table1[[#This Row],[LEW]]</f>
        <v>-7.6388888888888895E-2</v>
      </c>
    </row>
    <row r="949" spans="1:19" x14ac:dyDescent="0.25">
      <c r="A949" s="66">
        <v>36601</v>
      </c>
      <c r="B949" s="51">
        <f>YEAR(Table1[[#This Row],[Date]])</f>
        <v>2000</v>
      </c>
      <c r="C949" s="1">
        <v>1</v>
      </c>
      <c r="D949" t="s">
        <v>439</v>
      </c>
      <c r="E949" s="1">
        <v>3</v>
      </c>
      <c r="F949" t="s">
        <v>31</v>
      </c>
      <c r="G949" t="str">
        <f>VLOOKUP(Table1[[#This Row],[Winner]],Ranking!C:D,2,FALSE)</f>
        <v>B10</v>
      </c>
      <c r="H949" s="1">
        <v>74</v>
      </c>
      <c r="I949" s="1">
        <v>14</v>
      </c>
      <c r="J949" t="s">
        <v>236</v>
      </c>
      <c r="K949" t="str">
        <f>VLOOKUP(Table1[[#This Row],[Loser]],Ranking!C:D,2,FALSE)</f>
        <v>MAAC</v>
      </c>
      <c r="L949" s="1">
        <v>59</v>
      </c>
      <c r="N949" s="1">
        <f>Table1[[#This Row],[Winning Score]]-Table1[[#This Row],[Losing Score]]</f>
        <v>15</v>
      </c>
      <c r="O949" s="1">
        <f>Table1[[#This Row],[Losing Seed]]-Table1[[#This Row],[Winning Seed]]</f>
        <v>11</v>
      </c>
      <c r="P949" s="1" t="str">
        <f>IF(Table1[[#This Row],[SeD]]&lt;-2,Table1[[#This Row],[Winning Seed]]&amp; " over " &amp;Table1[[#This Row],[Losing Seed]],"")</f>
        <v/>
      </c>
      <c r="Q949">
        <f>VLOOKUP(Table1[[#This Row],[Losing Seed]],'Seed History'!$N$4:$O$19,2)</f>
        <v>0.16666666666666666</v>
      </c>
      <c r="R949" s="1">
        <f>IF(Table1[[#This Row],[Round]]="PI",0,Table1[[#This Row],[Round]]-1)</f>
        <v>0</v>
      </c>
      <c r="S949">
        <f>Table1[[#This Row],[LAW]]-Table1[[#This Row],[LEW]]</f>
        <v>-0.16666666666666666</v>
      </c>
    </row>
    <row r="950" spans="1:19" x14ac:dyDescent="0.25">
      <c r="A950" s="66">
        <v>36601</v>
      </c>
      <c r="B950" s="51">
        <f>YEAR(Table1[[#This Row],[Date]])</f>
        <v>2000</v>
      </c>
      <c r="C950" s="1">
        <v>1</v>
      </c>
      <c r="D950" t="s">
        <v>439</v>
      </c>
      <c r="E950" s="1">
        <v>4</v>
      </c>
      <c r="F950" t="s">
        <v>86</v>
      </c>
      <c r="G950" t="str">
        <f>VLOOKUP(Table1[[#This Row],[Winner]],Ranking!C:D,2,FALSE)</f>
        <v>ACC</v>
      </c>
      <c r="H950" s="1">
        <v>79</v>
      </c>
      <c r="I950" s="1">
        <v>13</v>
      </c>
      <c r="J950" t="s">
        <v>342</v>
      </c>
      <c r="K950" t="str">
        <f>VLOOKUP(Table1[[#This Row],[Loser]],Ranking!C:D,2,FALSE)</f>
        <v>SC</v>
      </c>
      <c r="L950" s="1">
        <v>65</v>
      </c>
      <c r="N950" s="1">
        <f>Table1[[#This Row],[Winning Score]]-Table1[[#This Row],[Losing Score]]</f>
        <v>14</v>
      </c>
      <c r="O950" s="1">
        <f>Table1[[#This Row],[Losing Seed]]-Table1[[#This Row],[Winning Seed]]</f>
        <v>9</v>
      </c>
      <c r="P950" s="1" t="str">
        <f>IF(Table1[[#This Row],[SeD]]&lt;-2,Table1[[#This Row],[Winning Seed]]&amp; " over " &amp;Table1[[#This Row],[Losing Seed]],"")</f>
        <v/>
      </c>
      <c r="Q950">
        <f>VLOOKUP(Table1[[#This Row],[Losing Seed]],'Seed History'!$N$4:$O$19,2)</f>
        <v>0.25694444444444442</v>
      </c>
      <c r="R950" s="1">
        <f>IF(Table1[[#This Row],[Round]]="PI",0,Table1[[#This Row],[Round]]-1)</f>
        <v>0</v>
      </c>
      <c r="S950">
        <f>Table1[[#This Row],[LAW]]-Table1[[#This Row],[LEW]]</f>
        <v>-0.25694444444444442</v>
      </c>
    </row>
    <row r="951" spans="1:19" x14ac:dyDescent="0.25">
      <c r="A951" s="66">
        <v>36601</v>
      </c>
      <c r="B951" s="51">
        <f>YEAR(Table1[[#This Row],[Date]])</f>
        <v>2000</v>
      </c>
      <c r="C951" s="1">
        <v>1</v>
      </c>
      <c r="D951" t="s">
        <v>439</v>
      </c>
      <c r="E951" s="1">
        <v>5</v>
      </c>
      <c r="F951" t="s">
        <v>26</v>
      </c>
      <c r="G951" t="str">
        <f>VLOOKUP(Table1[[#This Row],[Winner]],Ranking!C:D,2,FALSE)</f>
        <v>SEC</v>
      </c>
      <c r="H951" s="1">
        <v>85</v>
      </c>
      <c r="I951" s="1">
        <v>12</v>
      </c>
      <c r="J951" t="s">
        <v>365</v>
      </c>
      <c r="K951" t="str">
        <f>VLOOKUP(Table1[[#This Row],[Loser]],Ranking!C:D,2,FALSE)</f>
        <v>A10</v>
      </c>
      <c r="L951" s="1">
        <v>80</v>
      </c>
      <c r="M951" s="1" t="s">
        <v>463</v>
      </c>
      <c r="N951" s="1">
        <f>Table1[[#This Row],[Winning Score]]-Table1[[#This Row],[Losing Score]]</f>
        <v>5</v>
      </c>
      <c r="O951" s="1">
        <f>Table1[[#This Row],[Losing Seed]]-Table1[[#This Row],[Winning Seed]]</f>
        <v>7</v>
      </c>
      <c r="P951" s="1" t="str">
        <f>IF(Table1[[#This Row],[SeD]]&lt;-2,Table1[[#This Row],[Winning Seed]]&amp; " over " &amp;Table1[[#This Row],[Losing Seed]],"")</f>
        <v/>
      </c>
      <c r="Q951">
        <f>VLOOKUP(Table1[[#This Row],[Losing Seed]],'Seed History'!$N$4:$O$19,2)</f>
        <v>0.52083333333333337</v>
      </c>
      <c r="R951" s="1">
        <f>IF(Table1[[#This Row],[Round]]="PI",0,Table1[[#This Row],[Round]]-1)</f>
        <v>0</v>
      </c>
      <c r="S951">
        <f>Table1[[#This Row],[LAW]]-Table1[[#This Row],[LEW]]</f>
        <v>-0.52083333333333337</v>
      </c>
    </row>
    <row r="952" spans="1:19" x14ac:dyDescent="0.25">
      <c r="A952" s="66">
        <v>36601</v>
      </c>
      <c r="B952" s="51">
        <f>YEAR(Table1[[#This Row],[Date]])</f>
        <v>2000</v>
      </c>
      <c r="C952" s="1">
        <v>1</v>
      </c>
      <c r="D952" t="s">
        <v>439</v>
      </c>
      <c r="E952" s="1">
        <v>6</v>
      </c>
      <c r="F952" t="s">
        <v>67</v>
      </c>
      <c r="G952" t="str">
        <f>VLOOKUP(Table1[[#This Row],[Winner]],Ranking!C:D,2,FALSE)</f>
        <v>P12</v>
      </c>
      <c r="H952" s="1">
        <v>65</v>
      </c>
      <c r="I952" s="1">
        <v>11</v>
      </c>
      <c r="J952" t="s">
        <v>132</v>
      </c>
      <c r="K952" t="str">
        <f>VLOOKUP(Table1[[#This Row],[Loser]],Ranking!C:D,2,FALSE)</f>
        <v>MAC</v>
      </c>
      <c r="L952" s="1">
        <v>57</v>
      </c>
      <c r="N952" s="1">
        <f>Table1[[#This Row],[Winning Score]]-Table1[[#This Row],[Losing Score]]</f>
        <v>8</v>
      </c>
      <c r="O952" s="1">
        <f>Table1[[#This Row],[Losing Seed]]-Table1[[#This Row],[Winning Seed]]</f>
        <v>5</v>
      </c>
      <c r="P952" s="1" t="str">
        <f>IF(Table1[[#This Row],[SeD]]&lt;-2,Table1[[#This Row],[Winning Seed]]&amp; " over " &amp;Table1[[#This Row],[Losing Seed]],"")</f>
        <v/>
      </c>
      <c r="Q952">
        <f>VLOOKUP(Table1[[#This Row],[Losing Seed]],'Seed History'!$N$4:$O$19,2)</f>
        <v>0.63194444444444442</v>
      </c>
      <c r="R952" s="1">
        <f>IF(Table1[[#This Row],[Round]]="PI",0,Table1[[#This Row],[Round]]-1)</f>
        <v>0</v>
      </c>
      <c r="S952">
        <f>Table1[[#This Row],[LAW]]-Table1[[#This Row],[LEW]]</f>
        <v>-0.63194444444444442</v>
      </c>
    </row>
    <row r="953" spans="1:19" x14ac:dyDescent="0.25">
      <c r="A953" s="66">
        <v>36601</v>
      </c>
      <c r="B953" s="51">
        <f>YEAR(Table1[[#This Row],[Date]])</f>
        <v>2000</v>
      </c>
      <c r="C953" s="1">
        <v>1</v>
      </c>
      <c r="D953" t="s">
        <v>439</v>
      </c>
      <c r="E953" s="1">
        <v>7</v>
      </c>
      <c r="F953" t="s">
        <v>129</v>
      </c>
      <c r="G953" t="str">
        <f>VLOOKUP(Table1[[#This Row],[Winner]],Ranking!C:D,2,FALSE)</f>
        <v>SEC</v>
      </c>
      <c r="H953" s="1">
        <v>72</v>
      </c>
      <c r="I953" s="1">
        <v>10</v>
      </c>
      <c r="J953" t="s">
        <v>88</v>
      </c>
      <c r="K953" t="str">
        <f>VLOOKUP(Table1[[#This Row],[Loser]],Ranking!C:D,2,FALSE)</f>
        <v>BE</v>
      </c>
      <c r="L953" s="1">
        <v>69</v>
      </c>
      <c r="N953" s="1">
        <f>Table1[[#This Row],[Winning Score]]-Table1[[#This Row],[Losing Score]]</f>
        <v>3</v>
      </c>
      <c r="O953" s="1">
        <f>Table1[[#This Row],[Losing Seed]]-Table1[[#This Row],[Winning Seed]]</f>
        <v>3</v>
      </c>
      <c r="P953" s="1" t="str">
        <f>IF(Table1[[#This Row],[SeD]]&lt;-2,Table1[[#This Row],[Winning Seed]]&amp; " over " &amp;Table1[[#This Row],[Losing Seed]],"")</f>
        <v/>
      </c>
      <c r="Q953">
        <f>VLOOKUP(Table1[[#This Row],[Losing Seed]],'Seed History'!$N$4:$O$19,2)</f>
        <v>0.61805555555555558</v>
      </c>
      <c r="R953" s="1">
        <f>IF(Table1[[#This Row],[Round]]="PI",0,Table1[[#This Row],[Round]]-1)</f>
        <v>0</v>
      </c>
      <c r="S953">
        <f>Table1[[#This Row],[LAW]]-Table1[[#This Row],[LEW]]</f>
        <v>-0.61805555555555558</v>
      </c>
    </row>
    <row r="954" spans="1:19" x14ac:dyDescent="0.25">
      <c r="A954" s="66">
        <v>36601</v>
      </c>
      <c r="B954" s="51">
        <f>YEAR(Table1[[#This Row],[Date]])</f>
        <v>2000</v>
      </c>
      <c r="C954" s="1">
        <v>1</v>
      </c>
      <c r="D954" t="s">
        <v>439</v>
      </c>
      <c r="E954" s="1">
        <v>8</v>
      </c>
      <c r="F954" t="s">
        <v>65</v>
      </c>
      <c r="G954" t="str">
        <f>VLOOKUP(Table1[[#This Row],[Winner]],Ranking!C:D,2,FALSE)</f>
        <v>P12</v>
      </c>
      <c r="H954" s="1">
        <v>48</v>
      </c>
      <c r="I954" s="1">
        <v>9</v>
      </c>
      <c r="J954" t="s">
        <v>338</v>
      </c>
      <c r="K954" t="str">
        <f>VLOOKUP(Table1[[#This Row],[Loser]],Ranking!C:D,2,FALSE)</f>
        <v>A10</v>
      </c>
      <c r="L954" s="1">
        <v>45</v>
      </c>
      <c r="N954" s="1">
        <f>Table1[[#This Row],[Winning Score]]-Table1[[#This Row],[Losing Score]]</f>
        <v>3</v>
      </c>
      <c r="O954" s="1">
        <f>Table1[[#This Row],[Losing Seed]]-Table1[[#This Row],[Winning Seed]]</f>
        <v>1</v>
      </c>
      <c r="P954" s="1" t="str">
        <f>IF(Table1[[#This Row],[SeD]]&lt;-2,Table1[[#This Row],[Winning Seed]]&amp; " over " &amp;Table1[[#This Row],[Losing Seed]],"")</f>
        <v/>
      </c>
      <c r="Q954">
        <f>VLOOKUP(Table1[[#This Row],[Losing Seed]],'Seed History'!$N$4:$O$19,2)</f>
        <v>0.59027777777777779</v>
      </c>
      <c r="R954" s="1">
        <f>IF(Table1[[#This Row],[Round]]="PI",0,Table1[[#This Row],[Round]]-1)</f>
        <v>0</v>
      </c>
      <c r="S954">
        <f>Table1[[#This Row],[LAW]]-Table1[[#This Row],[LEW]]</f>
        <v>-0.59027777777777779</v>
      </c>
    </row>
    <row r="955" spans="1:19" x14ac:dyDescent="0.25">
      <c r="A955" s="66">
        <v>36601</v>
      </c>
      <c r="B955" s="51">
        <f>YEAR(Table1[[#This Row],[Date]])</f>
        <v>2000</v>
      </c>
      <c r="C955" s="1">
        <v>1</v>
      </c>
      <c r="D955" t="s">
        <v>38</v>
      </c>
      <c r="E955" s="1">
        <v>1</v>
      </c>
      <c r="F955" t="s">
        <v>48</v>
      </c>
      <c r="G955" t="str">
        <f>VLOOKUP(Table1[[#This Row],[Winner]],Ranking!C:D,2,FALSE)</f>
        <v>P12</v>
      </c>
      <c r="H955" s="1">
        <v>71</v>
      </c>
      <c r="I955" s="1">
        <v>16</v>
      </c>
      <c r="J955" t="s">
        <v>239</v>
      </c>
      <c r="K955" t="str">
        <f>VLOOKUP(Table1[[#This Row],[Loser]],Ranking!C:D,2,FALSE)</f>
        <v>SWAC</v>
      </c>
      <c r="L955" s="1">
        <v>47</v>
      </c>
      <c r="N955" s="1">
        <f>Table1[[#This Row],[Winning Score]]-Table1[[#This Row],[Losing Score]]</f>
        <v>24</v>
      </c>
      <c r="O955" s="1">
        <f>Table1[[#This Row],[Losing Seed]]-Table1[[#This Row],[Winning Seed]]</f>
        <v>15</v>
      </c>
      <c r="P955" s="1" t="str">
        <f>IF(Table1[[#This Row],[SeD]]&lt;-2,Table1[[#This Row],[Winning Seed]]&amp; " over " &amp;Table1[[#This Row],[Losing Seed]],"")</f>
        <v/>
      </c>
      <c r="Q955">
        <f>VLOOKUP(Table1[[#This Row],[Losing Seed]],'Seed History'!$N$4:$O$19,2)</f>
        <v>6.9444444444444441E-3</v>
      </c>
      <c r="R955" s="1">
        <f>IF(Table1[[#This Row],[Round]]="PI",0,Table1[[#This Row],[Round]]-1)</f>
        <v>0</v>
      </c>
      <c r="S955">
        <f>Table1[[#This Row],[LAW]]-Table1[[#This Row],[LEW]]</f>
        <v>-6.9444444444444441E-3</v>
      </c>
    </row>
    <row r="956" spans="1:19" x14ac:dyDescent="0.25">
      <c r="A956" s="66">
        <v>36601</v>
      </c>
      <c r="B956" s="51">
        <f>YEAR(Table1[[#This Row],[Date]])</f>
        <v>2000</v>
      </c>
      <c r="C956" s="1">
        <v>1</v>
      </c>
      <c r="D956" t="s">
        <v>38</v>
      </c>
      <c r="E956" s="1">
        <v>2</v>
      </c>
      <c r="F956" t="s">
        <v>368</v>
      </c>
      <c r="G956" t="str">
        <f>VLOOKUP(Table1[[#This Row],[Winner]],Ranking!C:D,2,FALSE)</f>
        <v>BE</v>
      </c>
      <c r="H956" s="1">
        <v>61</v>
      </c>
      <c r="I956" s="1">
        <v>15</v>
      </c>
      <c r="J956" t="s">
        <v>307</v>
      </c>
      <c r="K956" t="str">
        <f>VLOOKUP(Table1[[#This Row],[Loser]],Ranking!C:D,2,FALSE)</f>
        <v>BSky</v>
      </c>
      <c r="L956" s="1">
        <v>56</v>
      </c>
      <c r="N956" s="1">
        <f>Table1[[#This Row],[Winning Score]]-Table1[[#This Row],[Losing Score]]</f>
        <v>5</v>
      </c>
      <c r="O956" s="1">
        <f>Table1[[#This Row],[Losing Seed]]-Table1[[#This Row],[Winning Seed]]</f>
        <v>13</v>
      </c>
      <c r="P956" s="1" t="str">
        <f>IF(Table1[[#This Row],[SeD]]&lt;-2,Table1[[#This Row],[Winning Seed]]&amp; " over " &amp;Table1[[#This Row],[Losing Seed]],"")</f>
        <v/>
      </c>
      <c r="Q956">
        <f>VLOOKUP(Table1[[#This Row],[Losing Seed]],'Seed History'!$N$4:$O$19,2)</f>
        <v>7.6388888888888895E-2</v>
      </c>
      <c r="R956" s="1">
        <f>IF(Table1[[#This Row],[Round]]="PI",0,Table1[[#This Row],[Round]]-1)</f>
        <v>0</v>
      </c>
      <c r="S956">
        <f>Table1[[#This Row],[LAW]]-Table1[[#This Row],[LEW]]</f>
        <v>-7.6388888888888895E-2</v>
      </c>
    </row>
    <row r="957" spans="1:19" x14ac:dyDescent="0.25">
      <c r="A957" s="66">
        <v>36601</v>
      </c>
      <c r="B957" s="51">
        <f>YEAR(Table1[[#This Row],[Date]])</f>
        <v>2000</v>
      </c>
      <c r="C957" s="1">
        <v>1</v>
      </c>
      <c r="D957" t="s">
        <v>38</v>
      </c>
      <c r="E957" s="1">
        <v>3</v>
      </c>
      <c r="F957" t="s">
        <v>58</v>
      </c>
      <c r="G957" t="str">
        <f>VLOOKUP(Table1[[#This Row],[Winner]],Ranking!C:D,2,FALSE)</f>
        <v>B12</v>
      </c>
      <c r="H957" s="1">
        <v>74</v>
      </c>
      <c r="I957" s="1">
        <v>14</v>
      </c>
      <c r="J957" t="s">
        <v>419</v>
      </c>
      <c r="K957" t="str">
        <f>VLOOKUP(Table1[[#This Row],[Loser]],Ranking!C:D,2,FALSE)</f>
        <v>BSth</v>
      </c>
      <c r="L957" s="1">
        <v>60</v>
      </c>
      <c r="N957" s="1">
        <f>Table1[[#This Row],[Winning Score]]-Table1[[#This Row],[Losing Score]]</f>
        <v>14</v>
      </c>
      <c r="O957" s="1">
        <f>Table1[[#This Row],[Losing Seed]]-Table1[[#This Row],[Winning Seed]]</f>
        <v>11</v>
      </c>
      <c r="P957" s="1" t="str">
        <f>IF(Table1[[#This Row],[SeD]]&lt;-2,Table1[[#This Row],[Winning Seed]]&amp; " over " &amp;Table1[[#This Row],[Losing Seed]],"")</f>
        <v/>
      </c>
      <c r="Q957">
        <f>VLOOKUP(Table1[[#This Row],[Losing Seed]],'Seed History'!$N$4:$O$19,2)</f>
        <v>0.16666666666666666</v>
      </c>
      <c r="R957" s="1">
        <f>IF(Table1[[#This Row],[Round]]="PI",0,Table1[[#This Row],[Round]]-1)</f>
        <v>0</v>
      </c>
      <c r="S957">
        <f>Table1[[#This Row],[LAW]]-Table1[[#This Row],[LEW]]</f>
        <v>-0.16666666666666666</v>
      </c>
    </row>
    <row r="958" spans="1:19" x14ac:dyDescent="0.25">
      <c r="A958" s="66">
        <v>36601</v>
      </c>
      <c r="B958" s="51">
        <f>YEAR(Table1[[#This Row],[Date]])</f>
        <v>2000</v>
      </c>
      <c r="C958" s="1">
        <v>1</v>
      </c>
      <c r="D958" t="s">
        <v>38</v>
      </c>
      <c r="E958" s="1">
        <v>4</v>
      </c>
      <c r="F958" t="s">
        <v>52</v>
      </c>
      <c r="G958" t="str">
        <f>VLOOKUP(Table1[[#This Row],[Winner]],Ranking!C:D,2,FALSE)</f>
        <v>SEC</v>
      </c>
      <c r="H958" s="1">
        <v>64</v>
      </c>
      <c r="I958" s="1">
        <v>13</v>
      </c>
      <c r="J958" t="s">
        <v>359</v>
      </c>
      <c r="K958" t="str">
        <f>VLOOKUP(Table1[[#This Row],[Loser]],Ranking!C:D,2,FALSE)</f>
        <v>OVC</v>
      </c>
      <c r="L958" s="1">
        <v>61</v>
      </c>
      <c r="N958" s="1">
        <f>Table1[[#This Row],[Winning Score]]-Table1[[#This Row],[Losing Score]]</f>
        <v>3</v>
      </c>
      <c r="O958" s="1">
        <f>Table1[[#This Row],[Losing Seed]]-Table1[[#This Row],[Winning Seed]]</f>
        <v>9</v>
      </c>
      <c r="P958" s="1" t="str">
        <f>IF(Table1[[#This Row],[SeD]]&lt;-2,Table1[[#This Row],[Winning Seed]]&amp; " over " &amp;Table1[[#This Row],[Losing Seed]],"")</f>
        <v/>
      </c>
      <c r="Q958">
        <f>VLOOKUP(Table1[[#This Row],[Losing Seed]],'Seed History'!$N$4:$O$19,2)</f>
        <v>0.25694444444444442</v>
      </c>
      <c r="R958" s="1">
        <f>IF(Table1[[#This Row],[Round]]="PI",0,Table1[[#This Row],[Round]]-1)</f>
        <v>0</v>
      </c>
      <c r="S958">
        <f>Table1[[#This Row],[LAW]]-Table1[[#This Row],[LEW]]</f>
        <v>-0.25694444444444442</v>
      </c>
    </row>
    <row r="959" spans="1:19" x14ac:dyDescent="0.25">
      <c r="A959" s="66">
        <v>36601</v>
      </c>
      <c r="B959" s="51">
        <f>YEAR(Table1[[#This Row],[Date]])</f>
        <v>2000</v>
      </c>
      <c r="C959" s="1">
        <v>1</v>
      </c>
      <c r="D959" t="s">
        <v>38</v>
      </c>
      <c r="E959" s="1">
        <v>5</v>
      </c>
      <c r="F959" t="s">
        <v>34</v>
      </c>
      <c r="G959" t="str">
        <f>VLOOKUP(Table1[[#This Row],[Winner]],Ranking!C:D,2,FALSE)</f>
        <v>B12</v>
      </c>
      <c r="H959" s="1">
        <v>77</v>
      </c>
      <c r="I959" s="1">
        <v>12</v>
      </c>
      <c r="J959" t="s">
        <v>235</v>
      </c>
      <c r="K959" t="str">
        <f>VLOOKUP(Table1[[#This Row],[Loser]],Ranking!C:D,2,FALSE)</f>
        <v>MVC</v>
      </c>
      <c r="L959" s="1">
        <v>61</v>
      </c>
      <c r="N959" s="1">
        <f>Table1[[#This Row],[Winning Score]]-Table1[[#This Row],[Losing Score]]</f>
        <v>16</v>
      </c>
      <c r="O959" s="1">
        <f>Table1[[#This Row],[Losing Seed]]-Table1[[#This Row],[Winning Seed]]</f>
        <v>7</v>
      </c>
      <c r="P959" s="1" t="str">
        <f>IF(Table1[[#This Row],[SeD]]&lt;-2,Table1[[#This Row],[Winning Seed]]&amp; " over " &amp;Table1[[#This Row],[Losing Seed]],"")</f>
        <v/>
      </c>
      <c r="Q959">
        <f>VLOOKUP(Table1[[#This Row],[Losing Seed]],'Seed History'!$N$4:$O$19,2)</f>
        <v>0.52083333333333337</v>
      </c>
      <c r="R959" s="1">
        <f>IF(Table1[[#This Row],[Round]]="PI",0,Table1[[#This Row],[Round]]-1)</f>
        <v>0</v>
      </c>
      <c r="S959">
        <f>Table1[[#This Row],[LAW]]-Table1[[#This Row],[LEW]]</f>
        <v>-0.52083333333333337</v>
      </c>
    </row>
    <row r="960" spans="1:19" x14ac:dyDescent="0.25">
      <c r="A960" s="66">
        <v>36601</v>
      </c>
      <c r="B960" s="51">
        <f>YEAR(Table1[[#This Row],[Date]])</f>
        <v>2000</v>
      </c>
      <c r="C960" s="1">
        <v>1</v>
      </c>
      <c r="D960" t="s">
        <v>38</v>
      </c>
      <c r="E960" s="1">
        <v>6</v>
      </c>
      <c r="F960" t="s">
        <v>29</v>
      </c>
      <c r="G960" t="str">
        <f>VLOOKUP(Table1[[#This Row],[Winner]],Ranking!C:D,2,FALSE)</f>
        <v>B10</v>
      </c>
      <c r="H960" s="1">
        <v>62</v>
      </c>
      <c r="I960" s="1">
        <v>11</v>
      </c>
      <c r="J960" t="s">
        <v>57</v>
      </c>
      <c r="K960" t="str">
        <f>VLOOKUP(Table1[[#This Row],[Loser]],Ranking!C:D,2,FALSE)</f>
        <v>A10</v>
      </c>
      <c r="L960" s="1">
        <v>61</v>
      </c>
      <c r="N960" s="1">
        <f>Table1[[#This Row],[Winning Score]]-Table1[[#This Row],[Losing Score]]</f>
        <v>1</v>
      </c>
      <c r="O960" s="1">
        <f>Table1[[#This Row],[Losing Seed]]-Table1[[#This Row],[Winning Seed]]</f>
        <v>5</v>
      </c>
      <c r="P960" s="1" t="str">
        <f>IF(Table1[[#This Row],[SeD]]&lt;-2,Table1[[#This Row],[Winning Seed]]&amp; " over " &amp;Table1[[#This Row],[Losing Seed]],"")</f>
        <v/>
      </c>
      <c r="Q960">
        <f>VLOOKUP(Table1[[#This Row],[Losing Seed]],'Seed History'!$N$4:$O$19,2)</f>
        <v>0.63194444444444442</v>
      </c>
      <c r="R960" s="1">
        <f>IF(Table1[[#This Row],[Round]]="PI",0,Table1[[#This Row],[Round]]-1)</f>
        <v>0</v>
      </c>
      <c r="S960">
        <f>Table1[[#This Row],[LAW]]-Table1[[#This Row],[LEW]]</f>
        <v>-0.63194444444444442</v>
      </c>
    </row>
    <row r="961" spans="1:19" x14ac:dyDescent="0.25">
      <c r="A961" s="66">
        <v>36601</v>
      </c>
      <c r="B961" s="51">
        <f>YEAR(Table1[[#This Row],[Date]])</f>
        <v>2000</v>
      </c>
      <c r="C961" s="1">
        <v>1</v>
      </c>
      <c r="D961" t="s">
        <v>38</v>
      </c>
      <c r="E961" s="1">
        <v>8</v>
      </c>
      <c r="F961" t="s">
        <v>39</v>
      </c>
      <c r="G961" t="str">
        <f>VLOOKUP(Table1[[#This Row],[Winner]],Ranking!C:D,2,FALSE)</f>
        <v>B10</v>
      </c>
      <c r="H961" s="1">
        <v>66</v>
      </c>
      <c r="I961" s="1">
        <v>9</v>
      </c>
      <c r="J961" t="s">
        <v>209</v>
      </c>
      <c r="K961" t="str">
        <f>VLOOKUP(Table1[[#This Row],[Loser]],Ranking!C:D,2,FALSE)</f>
        <v>MWC</v>
      </c>
      <c r="L961" s="1">
        <v>56</v>
      </c>
      <c r="N961" s="1">
        <f>Table1[[#This Row],[Winning Score]]-Table1[[#This Row],[Losing Score]]</f>
        <v>10</v>
      </c>
      <c r="O961" s="1">
        <f>Table1[[#This Row],[Losing Seed]]-Table1[[#This Row],[Winning Seed]]</f>
        <v>1</v>
      </c>
      <c r="P961" s="1" t="str">
        <f>IF(Table1[[#This Row],[SeD]]&lt;-2,Table1[[#This Row],[Winning Seed]]&amp; " over " &amp;Table1[[#This Row],[Losing Seed]],"")</f>
        <v/>
      </c>
      <c r="Q961">
        <f>VLOOKUP(Table1[[#This Row],[Losing Seed]],'Seed History'!$N$4:$O$19,2)</f>
        <v>0.59027777777777779</v>
      </c>
      <c r="R961" s="1">
        <f>IF(Table1[[#This Row],[Round]]="PI",0,Table1[[#This Row],[Round]]-1)</f>
        <v>0</v>
      </c>
      <c r="S961">
        <f>Table1[[#This Row],[LAW]]-Table1[[#This Row],[LEW]]</f>
        <v>-0.59027777777777779</v>
      </c>
    </row>
    <row r="962" spans="1:19" x14ac:dyDescent="0.25">
      <c r="A962" s="66">
        <v>36601</v>
      </c>
      <c r="B962" s="51">
        <f>YEAR(Table1[[#This Row],[Date]])</f>
        <v>2000</v>
      </c>
      <c r="C962" s="1">
        <v>1</v>
      </c>
      <c r="D962" t="s">
        <v>38</v>
      </c>
      <c r="E962" s="1">
        <v>10</v>
      </c>
      <c r="F962" t="s">
        <v>71</v>
      </c>
      <c r="G962" t="str">
        <f>VLOOKUP(Table1[[#This Row],[Winner]],Ranking!C:D,2,FALSE)</f>
        <v>WCC</v>
      </c>
      <c r="H962" s="1">
        <v>77</v>
      </c>
      <c r="I962" s="1">
        <v>7</v>
      </c>
      <c r="J962" t="s">
        <v>54</v>
      </c>
      <c r="K962" t="str">
        <f>VLOOKUP(Table1[[#This Row],[Loser]],Ranking!C:D,2,FALSE)</f>
        <v>ACC</v>
      </c>
      <c r="L962" s="1">
        <v>66</v>
      </c>
      <c r="N962" s="1">
        <f>Table1[[#This Row],[Winning Score]]-Table1[[#This Row],[Losing Score]]</f>
        <v>11</v>
      </c>
      <c r="O962" s="1">
        <f>Table1[[#This Row],[Losing Seed]]-Table1[[#This Row],[Winning Seed]]</f>
        <v>-3</v>
      </c>
      <c r="P962" s="1" t="str">
        <f>IF(Table1[[#This Row],[SeD]]&lt;-2,Table1[[#This Row],[Winning Seed]]&amp; " over " &amp;Table1[[#This Row],[Losing Seed]],"")</f>
        <v>10 over 7</v>
      </c>
      <c r="Q962">
        <f>VLOOKUP(Table1[[#This Row],[Losing Seed]],'Seed History'!$N$4:$O$19,2)</f>
        <v>0.90277777777777779</v>
      </c>
      <c r="R962" s="1">
        <f>IF(Table1[[#This Row],[Round]]="PI",0,Table1[[#This Row],[Round]]-1)</f>
        <v>0</v>
      </c>
      <c r="S962">
        <f>Table1[[#This Row],[LAW]]-Table1[[#This Row],[LEW]]</f>
        <v>-0.90277777777777779</v>
      </c>
    </row>
    <row r="963" spans="1:19" x14ac:dyDescent="0.25">
      <c r="A963" s="66">
        <v>36602</v>
      </c>
      <c r="B963" s="51">
        <f>YEAR(Table1[[#This Row],[Date]])</f>
        <v>2000</v>
      </c>
      <c r="C963" s="1">
        <v>1</v>
      </c>
      <c r="D963" t="s">
        <v>49</v>
      </c>
      <c r="E963" s="1">
        <v>11</v>
      </c>
      <c r="F963" t="s">
        <v>323</v>
      </c>
      <c r="G963" t="str">
        <f>VLOOKUP(Table1[[#This Row],[Winner]],Ranking!C:D,2,FALSE)</f>
        <v>WCC</v>
      </c>
      <c r="H963" s="1">
        <v>77</v>
      </c>
      <c r="I963" s="1">
        <v>6</v>
      </c>
      <c r="J963" t="s">
        <v>36</v>
      </c>
      <c r="K963" t="str">
        <f>VLOOKUP(Table1[[#This Row],[Loser]],Ranking!C:D,2,FALSE)</f>
        <v>B10</v>
      </c>
      <c r="L963" s="1">
        <v>57</v>
      </c>
      <c r="N963" s="1">
        <f>Table1[[#This Row],[Winning Score]]-Table1[[#This Row],[Losing Score]]</f>
        <v>20</v>
      </c>
      <c r="O963" s="1">
        <f>Table1[[#This Row],[Losing Seed]]-Table1[[#This Row],[Winning Seed]]</f>
        <v>-5</v>
      </c>
      <c r="P963" s="1" t="str">
        <f>IF(Table1[[#This Row],[SeD]]&lt;-2,Table1[[#This Row],[Winning Seed]]&amp; " over " &amp;Table1[[#This Row],[Losing Seed]],"")</f>
        <v>11 over 6</v>
      </c>
      <c r="Q963">
        <f>VLOOKUP(Table1[[#This Row],[Losing Seed]],'Seed History'!$N$4:$O$19,2)</f>
        <v>1.0625</v>
      </c>
      <c r="R963" s="1">
        <f>IF(Table1[[#This Row],[Round]]="PI",0,Table1[[#This Row],[Round]]-1)</f>
        <v>0</v>
      </c>
      <c r="S963">
        <f>Table1[[#This Row],[LAW]]-Table1[[#This Row],[LEW]]</f>
        <v>-1.0625</v>
      </c>
    </row>
    <row r="964" spans="1:19" x14ac:dyDescent="0.25">
      <c r="A964" s="66">
        <v>36602</v>
      </c>
      <c r="B964" s="51">
        <f>YEAR(Table1[[#This Row],[Date]])</f>
        <v>2000</v>
      </c>
      <c r="C964" s="1">
        <v>1</v>
      </c>
      <c r="D964" t="s">
        <v>49</v>
      </c>
      <c r="E964" s="1">
        <v>1</v>
      </c>
      <c r="F964" t="s">
        <v>64</v>
      </c>
      <c r="G964" t="str">
        <f>VLOOKUP(Table1[[#This Row],[Winner]],Ranking!C:D,2,FALSE)</f>
        <v>ACC</v>
      </c>
      <c r="H964" s="1">
        <v>82</v>
      </c>
      <c r="I964" s="1">
        <v>16</v>
      </c>
      <c r="J964" t="s">
        <v>247</v>
      </c>
      <c r="K964" t="str">
        <f>VLOOKUP(Table1[[#This Row],[Loser]],Ranking!C:D,2,FALSE)</f>
        <v>Slnd</v>
      </c>
      <c r="L964" s="1">
        <v>55</v>
      </c>
      <c r="N964" s="1">
        <f>Table1[[#This Row],[Winning Score]]-Table1[[#This Row],[Losing Score]]</f>
        <v>27</v>
      </c>
      <c r="O964" s="1">
        <f>Table1[[#This Row],[Losing Seed]]-Table1[[#This Row],[Winning Seed]]</f>
        <v>15</v>
      </c>
      <c r="P964" s="1" t="str">
        <f>IF(Table1[[#This Row],[SeD]]&lt;-2,Table1[[#This Row],[Winning Seed]]&amp; " over " &amp;Table1[[#This Row],[Losing Seed]],"")</f>
        <v/>
      </c>
      <c r="Q964">
        <f>VLOOKUP(Table1[[#This Row],[Losing Seed]],'Seed History'!$N$4:$O$19,2)</f>
        <v>6.9444444444444441E-3</v>
      </c>
      <c r="R964" s="1">
        <f>IF(Table1[[#This Row],[Round]]="PI",0,Table1[[#This Row],[Round]]-1)</f>
        <v>0</v>
      </c>
      <c r="S964">
        <f>Table1[[#This Row],[LAW]]-Table1[[#This Row],[LEW]]</f>
        <v>-6.9444444444444441E-3</v>
      </c>
    </row>
    <row r="965" spans="1:19" x14ac:dyDescent="0.25">
      <c r="A965" s="66">
        <v>36602</v>
      </c>
      <c r="B965" s="51">
        <f>YEAR(Table1[[#This Row],[Date]])</f>
        <v>2000</v>
      </c>
      <c r="C965" s="1">
        <v>1</v>
      </c>
      <c r="D965" t="s">
        <v>49</v>
      </c>
      <c r="E965" s="1">
        <v>2</v>
      </c>
      <c r="F965" t="s">
        <v>373</v>
      </c>
      <c r="G965" t="str">
        <f>VLOOKUP(Table1[[#This Row],[Winner]],Ranking!C:D,2,FALSE)</f>
        <v>Amer</v>
      </c>
      <c r="H965" s="1">
        <v>73</v>
      </c>
      <c r="I965" s="1">
        <v>15</v>
      </c>
      <c r="J965" t="s">
        <v>51</v>
      </c>
      <c r="K965" t="str">
        <f>VLOOKUP(Table1[[#This Row],[Loser]],Ranking!C:D,2,FALSE)</f>
        <v>Pat</v>
      </c>
      <c r="L965" s="1">
        <v>47</v>
      </c>
      <c r="N965" s="1">
        <f>Table1[[#This Row],[Winning Score]]-Table1[[#This Row],[Losing Score]]</f>
        <v>26</v>
      </c>
      <c r="O965" s="1">
        <f>Table1[[#This Row],[Losing Seed]]-Table1[[#This Row],[Winning Seed]]</f>
        <v>13</v>
      </c>
      <c r="P965" s="1" t="str">
        <f>IF(Table1[[#This Row],[SeD]]&lt;-2,Table1[[#This Row],[Winning Seed]]&amp; " over " &amp;Table1[[#This Row],[Losing Seed]],"")</f>
        <v/>
      </c>
      <c r="Q965">
        <f>VLOOKUP(Table1[[#This Row],[Losing Seed]],'Seed History'!$N$4:$O$19,2)</f>
        <v>7.6388888888888895E-2</v>
      </c>
      <c r="R965" s="1">
        <f>IF(Table1[[#This Row],[Round]]="PI",0,Table1[[#This Row],[Round]]-1)</f>
        <v>0</v>
      </c>
      <c r="S965">
        <f>Table1[[#This Row],[LAW]]-Table1[[#This Row],[LEW]]</f>
        <v>-7.6388888888888895E-2</v>
      </c>
    </row>
    <row r="966" spans="1:19" x14ac:dyDescent="0.25">
      <c r="A966" s="66">
        <v>36602</v>
      </c>
      <c r="B966" s="51">
        <f>YEAR(Table1[[#This Row],[Date]])</f>
        <v>2000</v>
      </c>
      <c r="C966" s="1">
        <v>1</v>
      </c>
      <c r="D966" t="s">
        <v>49</v>
      </c>
      <c r="E966" s="1">
        <v>3</v>
      </c>
      <c r="F966" t="s">
        <v>316</v>
      </c>
      <c r="G966" t="str">
        <f>VLOOKUP(Table1[[#This Row],[Winner]],Ranking!C:D,2,FALSE)</f>
        <v>B12</v>
      </c>
      <c r="H966" s="1">
        <v>86</v>
      </c>
      <c r="I966" s="1">
        <v>14</v>
      </c>
      <c r="J966" t="s">
        <v>223</v>
      </c>
      <c r="K966" t="str">
        <f>VLOOKUP(Table1[[#This Row],[Loser]],Ranking!C:D,2,FALSE)</f>
        <v>CAA</v>
      </c>
      <c r="L966" s="1">
        <v>66</v>
      </c>
      <c r="N966" s="1">
        <f>Table1[[#This Row],[Winning Score]]-Table1[[#This Row],[Losing Score]]</f>
        <v>20</v>
      </c>
      <c r="O966" s="1">
        <f>Table1[[#This Row],[Losing Seed]]-Table1[[#This Row],[Winning Seed]]</f>
        <v>11</v>
      </c>
      <c r="P966" s="1" t="str">
        <f>IF(Table1[[#This Row],[SeD]]&lt;-2,Table1[[#This Row],[Winning Seed]]&amp; " over " &amp;Table1[[#This Row],[Losing Seed]],"")</f>
        <v/>
      </c>
      <c r="Q966">
        <f>VLOOKUP(Table1[[#This Row],[Losing Seed]],'Seed History'!$N$4:$O$19,2)</f>
        <v>0.16666666666666666</v>
      </c>
      <c r="R966" s="1">
        <f>IF(Table1[[#This Row],[Round]]="PI",0,Table1[[#This Row],[Round]]-1)</f>
        <v>0</v>
      </c>
      <c r="S966">
        <f>Table1[[#This Row],[LAW]]-Table1[[#This Row],[LEW]]</f>
        <v>-0.16666666666666666</v>
      </c>
    </row>
    <row r="967" spans="1:19" x14ac:dyDescent="0.25">
      <c r="A967" s="66">
        <v>36602</v>
      </c>
      <c r="B967" s="51">
        <f>YEAR(Table1[[#This Row],[Date]])</f>
        <v>2000</v>
      </c>
      <c r="C967" s="1">
        <v>1</v>
      </c>
      <c r="D967" t="s">
        <v>49</v>
      </c>
      <c r="E967" s="1">
        <v>4</v>
      </c>
      <c r="F967" t="s">
        <v>230</v>
      </c>
      <c r="G967" t="str">
        <f>VLOOKUP(Table1[[#This Row],[Winner]],Ranking!C:D,2,FALSE)</f>
        <v>B10</v>
      </c>
      <c r="H967" s="1">
        <v>68</v>
      </c>
      <c r="I967" s="1">
        <v>13</v>
      </c>
      <c r="J967" t="s">
        <v>321</v>
      </c>
      <c r="K967" t="str">
        <f>VLOOKUP(Table1[[#This Row],[Loser]],Ranking!C:D,2,FALSE)</f>
        <v>Ivy</v>
      </c>
      <c r="L967" s="1">
        <v>58</v>
      </c>
      <c r="N967" s="1">
        <f>Table1[[#This Row],[Winning Score]]-Table1[[#This Row],[Losing Score]]</f>
        <v>10</v>
      </c>
      <c r="O967" s="1">
        <f>Table1[[#This Row],[Losing Seed]]-Table1[[#This Row],[Winning Seed]]</f>
        <v>9</v>
      </c>
      <c r="P967" s="1" t="str">
        <f>IF(Table1[[#This Row],[SeD]]&lt;-2,Table1[[#This Row],[Winning Seed]]&amp; " over " &amp;Table1[[#This Row],[Losing Seed]],"")</f>
        <v/>
      </c>
      <c r="Q967">
        <f>VLOOKUP(Table1[[#This Row],[Losing Seed]],'Seed History'!$N$4:$O$19,2)</f>
        <v>0.25694444444444442</v>
      </c>
      <c r="R967" s="1">
        <f>IF(Table1[[#This Row],[Round]]="PI",0,Table1[[#This Row],[Round]]-1)</f>
        <v>0</v>
      </c>
      <c r="S967">
        <f>Table1[[#This Row],[LAW]]-Table1[[#This Row],[LEW]]</f>
        <v>-0.25694444444444442</v>
      </c>
    </row>
    <row r="968" spans="1:19" x14ac:dyDescent="0.25">
      <c r="A968" s="66">
        <v>36602</v>
      </c>
      <c r="B968" s="51">
        <f>YEAR(Table1[[#This Row],[Date]])</f>
        <v>2000</v>
      </c>
      <c r="C968" s="1">
        <v>1</v>
      </c>
      <c r="D968" t="s">
        <v>49</v>
      </c>
      <c r="E968" s="1">
        <v>5</v>
      </c>
      <c r="F968" t="s">
        <v>81</v>
      </c>
      <c r="G968" t="str">
        <f>VLOOKUP(Table1[[#This Row],[Winner]],Ranking!C:D,2,FALSE)</f>
        <v>SEC</v>
      </c>
      <c r="H968" s="1">
        <v>69</v>
      </c>
      <c r="I968" s="1">
        <v>12</v>
      </c>
      <c r="J968" t="s">
        <v>33</v>
      </c>
      <c r="K968" t="str">
        <f>VLOOKUP(Table1[[#This Row],[Loser]],Ranking!C:D,2,FALSE)</f>
        <v>BE</v>
      </c>
      <c r="L968" s="1">
        <v>68</v>
      </c>
      <c r="M968" s="1" t="s">
        <v>462</v>
      </c>
      <c r="N968" s="1">
        <f>Table1[[#This Row],[Winning Score]]-Table1[[#This Row],[Losing Score]]</f>
        <v>1</v>
      </c>
      <c r="O968" s="1">
        <f>Table1[[#This Row],[Losing Seed]]-Table1[[#This Row],[Winning Seed]]</f>
        <v>7</v>
      </c>
      <c r="P968" s="1" t="str">
        <f>IF(Table1[[#This Row],[SeD]]&lt;-2,Table1[[#This Row],[Winning Seed]]&amp; " over " &amp;Table1[[#This Row],[Losing Seed]],"")</f>
        <v/>
      </c>
      <c r="Q968">
        <f>VLOOKUP(Table1[[#This Row],[Losing Seed]],'Seed History'!$N$4:$O$19,2)</f>
        <v>0.52083333333333337</v>
      </c>
      <c r="R968" s="1">
        <f>IF(Table1[[#This Row],[Round]]="PI",0,Table1[[#This Row],[Round]]-1)</f>
        <v>0</v>
      </c>
      <c r="S968">
        <f>Table1[[#This Row],[LAW]]-Table1[[#This Row],[LEW]]</f>
        <v>-0.52083333333333337</v>
      </c>
    </row>
    <row r="969" spans="1:19" x14ac:dyDescent="0.25">
      <c r="A969" s="66">
        <v>36602</v>
      </c>
      <c r="B969" s="51">
        <f>YEAR(Table1[[#This Row],[Date]])</f>
        <v>2000</v>
      </c>
      <c r="C969" s="1">
        <v>1</v>
      </c>
      <c r="D969" t="s">
        <v>49</v>
      </c>
      <c r="E969" s="1">
        <v>8</v>
      </c>
      <c r="F969" t="s">
        <v>37</v>
      </c>
      <c r="G969" t="str">
        <f>VLOOKUP(Table1[[#This Row],[Winner]],Ranking!C:D,2,FALSE)</f>
        <v>B12</v>
      </c>
      <c r="H969" s="1">
        <v>81</v>
      </c>
      <c r="I969" s="1">
        <v>9</v>
      </c>
      <c r="J969" t="s">
        <v>186</v>
      </c>
      <c r="K969" t="str">
        <f>VLOOKUP(Table1[[#This Row],[Loser]],Ranking!C:D,2,FALSE)</f>
        <v>BE</v>
      </c>
      <c r="L969" s="1">
        <v>77</v>
      </c>
      <c r="M969" s="1" t="s">
        <v>462</v>
      </c>
      <c r="N969" s="1">
        <f>Table1[[#This Row],[Winning Score]]-Table1[[#This Row],[Losing Score]]</f>
        <v>4</v>
      </c>
      <c r="O969" s="1">
        <f>Table1[[#This Row],[Losing Seed]]-Table1[[#This Row],[Winning Seed]]</f>
        <v>1</v>
      </c>
      <c r="P969" s="1" t="str">
        <f>IF(Table1[[#This Row],[SeD]]&lt;-2,Table1[[#This Row],[Winning Seed]]&amp; " over " &amp;Table1[[#This Row],[Losing Seed]],"")</f>
        <v/>
      </c>
      <c r="Q969">
        <f>VLOOKUP(Table1[[#This Row],[Losing Seed]],'Seed History'!$N$4:$O$19,2)</f>
        <v>0.59027777777777779</v>
      </c>
      <c r="R969" s="1">
        <f>IF(Table1[[#This Row],[Round]]="PI",0,Table1[[#This Row],[Round]]-1)</f>
        <v>0</v>
      </c>
      <c r="S969">
        <f>Table1[[#This Row],[LAW]]-Table1[[#This Row],[LEW]]</f>
        <v>-0.59027777777777779</v>
      </c>
    </row>
    <row r="970" spans="1:19" x14ac:dyDescent="0.25">
      <c r="A970" s="66">
        <v>36602</v>
      </c>
      <c r="B970" s="51">
        <f>YEAR(Table1[[#This Row],[Date]])</f>
        <v>2000</v>
      </c>
      <c r="C970" s="1">
        <v>1</v>
      </c>
      <c r="D970" t="s">
        <v>63</v>
      </c>
      <c r="E970" s="1">
        <v>1</v>
      </c>
      <c r="F970" t="s">
        <v>369</v>
      </c>
      <c r="G970" t="str">
        <f>VLOOKUP(Table1[[#This Row],[Winner]],Ranking!C:D,2,FALSE)</f>
        <v>P12</v>
      </c>
      <c r="H970" s="1">
        <v>84</v>
      </c>
      <c r="I970" s="1">
        <v>16</v>
      </c>
      <c r="J970" t="s">
        <v>355</v>
      </c>
      <c r="K970" t="str">
        <f>VLOOKUP(Table1[[#This Row],[Loser]],Ranking!C:D,2,FALSE)</f>
        <v>MEAC</v>
      </c>
      <c r="L970" s="1">
        <v>65</v>
      </c>
      <c r="N970" s="1">
        <f>Table1[[#This Row],[Winning Score]]-Table1[[#This Row],[Losing Score]]</f>
        <v>19</v>
      </c>
      <c r="O970" s="1">
        <f>Table1[[#This Row],[Losing Seed]]-Table1[[#This Row],[Winning Seed]]</f>
        <v>15</v>
      </c>
      <c r="P970" s="1" t="str">
        <f>IF(Table1[[#This Row],[SeD]]&lt;-2,Table1[[#This Row],[Winning Seed]]&amp; " over " &amp;Table1[[#This Row],[Losing Seed]],"")</f>
        <v/>
      </c>
      <c r="Q970">
        <f>VLOOKUP(Table1[[#This Row],[Losing Seed]],'Seed History'!$N$4:$O$19,2)</f>
        <v>6.9444444444444441E-3</v>
      </c>
      <c r="R970" s="1">
        <f>IF(Table1[[#This Row],[Round]]="PI",0,Table1[[#This Row],[Round]]-1)</f>
        <v>0</v>
      </c>
      <c r="S970">
        <f>Table1[[#This Row],[LAW]]-Table1[[#This Row],[LEW]]</f>
        <v>-6.9444444444444441E-3</v>
      </c>
    </row>
    <row r="971" spans="1:19" x14ac:dyDescent="0.25">
      <c r="A971" s="66">
        <v>36602</v>
      </c>
      <c r="B971" s="51">
        <f>YEAR(Table1[[#This Row],[Date]])</f>
        <v>2000</v>
      </c>
      <c r="C971" s="1">
        <v>1</v>
      </c>
      <c r="D971" t="s">
        <v>63</v>
      </c>
      <c r="E971" s="1">
        <v>2</v>
      </c>
      <c r="F971" t="s">
        <v>28</v>
      </c>
      <c r="G971" t="str">
        <f>VLOOKUP(Table1[[#This Row],[Winner]],Ranking!C:D,2,FALSE)</f>
        <v>Amer</v>
      </c>
      <c r="H971" s="1">
        <v>64</v>
      </c>
      <c r="I971" s="1">
        <v>15</v>
      </c>
      <c r="J971" t="s">
        <v>395</v>
      </c>
      <c r="K971" t="str">
        <f>VLOOKUP(Table1[[#This Row],[Loser]],Ranking!C:D,2,FALSE)</f>
        <v>CAA</v>
      </c>
      <c r="L971" s="1">
        <v>47</v>
      </c>
      <c r="N971" s="1">
        <f>Table1[[#This Row],[Winning Score]]-Table1[[#This Row],[Losing Score]]</f>
        <v>17</v>
      </c>
      <c r="O971" s="1">
        <f>Table1[[#This Row],[Losing Seed]]-Table1[[#This Row],[Winning Seed]]</f>
        <v>13</v>
      </c>
      <c r="P971" s="1" t="str">
        <f>IF(Table1[[#This Row],[SeD]]&lt;-2,Table1[[#This Row],[Winning Seed]]&amp; " over " &amp;Table1[[#This Row],[Losing Seed]],"")</f>
        <v/>
      </c>
      <c r="Q971">
        <f>VLOOKUP(Table1[[#This Row],[Losing Seed]],'Seed History'!$N$4:$O$19,2)</f>
        <v>7.6388888888888895E-2</v>
      </c>
      <c r="R971" s="1">
        <f>IF(Table1[[#This Row],[Round]]="PI",0,Table1[[#This Row],[Round]]-1)</f>
        <v>0</v>
      </c>
      <c r="S971">
        <f>Table1[[#This Row],[LAW]]-Table1[[#This Row],[LEW]]</f>
        <v>-7.6388888888888895E-2</v>
      </c>
    </row>
    <row r="972" spans="1:19" x14ac:dyDescent="0.25">
      <c r="A972" s="66">
        <v>36602</v>
      </c>
      <c r="B972" s="51">
        <f>YEAR(Table1[[#This Row],[Date]])</f>
        <v>2000</v>
      </c>
      <c r="C972" s="1">
        <v>1</v>
      </c>
      <c r="D972" t="s">
        <v>63</v>
      </c>
      <c r="E972" s="1">
        <v>3</v>
      </c>
      <c r="F972" t="s">
        <v>315</v>
      </c>
      <c r="G972" t="str">
        <f>VLOOKUP(Table1[[#This Row],[Winner]],Ranking!C:D,2,FALSE)</f>
        <v>B10</v>
      </c>
      <c r="H972" s="1">
        <v>87</v>
      </c>
      <c r="I972" s="1">
        <v>14</v>
      </c>
      <c r="J972" t="s">
        <v>122</v>
      </c>
      <c r="K972" t="str">
        <f>VLOOKUP(Table1[[#This Row],[Loser]],Ranking!C:D,2,FALSE)</f>
        <v>SB</v>
      </c>
      <c r="L972" s="1">
        <v>61</v>
      </c>
      <c r="N972" s="1">
        <f>Table1[[#This Row],[Winning Score]]-Table1[[#This Row],[Losing Score]]</f>
        <v>26</v>
      </c>
      <c r="O972" s="1">
        <f>Table1[[#This Row],[Losing Seed]]-Table1[[#This Row],[Winning Seed]]</f>
        <v>11</v>
      </c>
      <c r="P972" s="1" t="str">
        <f>IF(Table1[[#This Row],[SeD]]&lt;-2,Table1[[#This Row],[Winning Seed]]&amp; " over " &amp;Table1[[#This Row],[Losing Seed]],"")</f>
        <v/>
      </c>
      <c r="Q972">
        <f>VLOOKUP(Table1[[#This Row],[Losing Seed]],'Seed History'!$N$4:$O$19,2)</f>
        <v>0.16666666666666666</v>
      </c>
      <c r="R972" s="1">
        <f>IF(Table1[[#This Row],[Round]]="PI",0,Table1[[#This Row],[Round]]-1)</f>
        <v>0</v>
      </c>
      <c r="S972">
        <f>Table1[[#This Row],[LAW]]-Table1[[#This Row],[LEW]]</f>
        <v>-0.16666666666666666</v>
      </c>
    </row>
    <row r="973" spans="1:19" x14ac:dyDescent="0.25">
      <c r="A973" s="66">
        <v>36602</v>
      </c>
      <c r="B973" s="51">
        <f>YEAR(Table1[[#This Row],[Date]])</f>
        <v>2000</v>
      </c>
      <c r="C973" s="1">
        <v>1</v>
      </c>
      <c r="D973" t="s">
        <v>63</v>
      </c>
      <c r="E973" s="1">
        <v>4</v>
      </c>
      <c r="F973" t="s">
        <v>374</v>
      </c>
      <c r="G973" t="str">
        <f>VLOOKUP(Table1[[#This Row],[Winner]],Ranking!C:D,2,FALSE)</f>
        <v>SEC</v>
      </c>
      <c r="H973" s="1">
        <v>63</v>
      </c>
      <c r="I973" s="1">
        <v>13</v>
      </c>
      <c r="J973" t="s">
        <v>254</v>
      </c>
      <c r="K973" t="e">
        <f>VLOOKUP(Table1[[#This Row],[Loser]],Ranking!C:D,2,FALSE)</f>
        <v>#N/A</v>
      </c>
      <c r="L973" s="1">
        <v>58</v>
      </c>
      <c r="N973" s="1">
        <f>Table1[[#This Row],[Winning Score]]-Table1[[#This Row],[Losing Score]]</f>
        <v>5</v>
      </c>
      <c r="O973" s="1">
        <f>Table1[[#This Row],[Losing Seed]]-Table1[[#This Row],[Winning Seed]]</f>
        <v>9</v>
      </c>
      <c r="P973" s="1" t="str">
        <f>IF(Table1[[#This Row],[SeD]]&lt;-2,Table1[[#This Row],[Winning Seed]]&amp; " over " &amp;Table1[[#This Row],[Losing Seed]],"")</f>
        <v/>
      </c>
      <c r="Q973">
        <f>VLOOKUP(Table1[[#This Row],[Losing Seed]],'Seed History'!$N$4:$O$19,2)</f>
        <v>0.25694444444444442</v>
      </c>
      <c r="R973" s="1">
        <f>IF(Table1[[#This Row],[Round]]="PI",0,Table1[[#This Row],[Round]]-1)</f>
        <v>0</v>
      </c>
      <c r="S973">
        <f>Table1[[#This Row],[LAW]]-Table1[[#This Row],[LEW]]</f>
        <v>-0.25694444444444442</v>
      </c>
    </row>
    <row r="974" spans="1:19" x14ac:dyDescent="0.25">
      <c r="A974" s="66">
        <v>36602</v>
      </c>
      <c r="B974" s="51">
        <f>YEAR(Table1[[#This Row],[Date]])</f>
        <v>2000</v>
      </c>
      <c r="C974" s="1">
        <v>1</v>
      </c>
      <c r="D974" t="s">
        <v>63</v>
      </c>
      <c r="E974" s="1">
        <v>5</v>
      </c>
      <c r="F974" t="s">
        <v>80</v>
      </c>
      <c r="G974" t="str">
        <f>VLOOKUP(Table1[[#This Row],[Winner]],Ranking!C:D,2,FALSE)</f>
        <v>BE</v>
      </c>
      <c r="H974" s="1">
        <v>75</v>
      </c>
      <c r="I974" s="1">
        <v>12</v>
      </c>
      <c r="J974" t="s">
        <v>400</v>
      </c>
      <c r="K974" t="str">
        <f>VLOOKUP(Table1[[#This Row],[Loser]],Ranking!C:D,2,FALSE)</f>
        <v>MWC</v>
      </c>
      <c r="L974" s="1">
        <v>67</v>
      </c>
      <c r="N974" s="1">
        <f>Table1[[#This Row],[Winning Score]]-Table1[[#This Row],[Losing Score]]</f>
        <v>8</v>
      </c>
      <c r="O974" s="1">
        <f>Table1[[#This Row],[Losing Seed]]-Table1[[#This Row],[Winning Seed]]</f>
        <v>7</v>
      </c>
      <c r="P974" s="1" t="str">
        <f>IF(Table1[[#This Row],[SeD]]&lt;-2,Table1[[#This Row],[Winning Seed]]&amp; " over " &amp;Table1[[#This Row],[Losing Seed]],"")</f>
        <v/>
      </c>
      <c r="Q974">
        <f>VLOOKUP(Table1[[#This Row],[Losing Seed]],'Seed History'!$N$4:$O$19,2)</f>
        <v>0.52083333333333337</v>
      </c>
      <c r="R974" s="1">
        <f>IF(Table1[[#This Row],[Round]]="PI",0,Table1[[#This Row],[Round]]-1)</f>
        <v>0</v>
      </c>
      <c r="S974">
        <f>Table1[[#This Row],[LAW]]-Table1[[#This Row],[LEW]]</f>
        <v>-0.52083333333333337</v>
      </c>
    </row>
    <row r="975" spans="1:19" x14ac:dyDescent="0.25">
      <c r="A975" s="66">
        <v>36602</v>
      </c>
      <c r="B975" s="51">
        <f>YEAR(Table1[[#This Row],[Date]])</f>
        <v>2000</v>
      </c>
      <c r="C975" s="1">
        <v>1</v>
      </c>
      <c r="D975" t="s">
        <v>63</v>
      </c>
      <c r="E975" s="1">
        <v>6</v>
      </c>
      <c r="F975" t="s">
        <v>269</v>
      </c>
      <c r="G975" t="str">
        <f>VLOOKUP(Table1[[#This Row],[Winner]],Ranking!C:D,2,FALSE)</f>
        <v>ACC</v>
      </c>
      <c r="H975" s="1">
        <v>75</v>
      </c>
      <c r="I975" s="1">
        <v>11</v>
      </c>
      <c r="J975" t="s">
        <v>41</v>
      </c>
      <c r="K975" t="str">
        <f>VLOOKUP(Table1[[#This Row],[Loser]],Ranking!C:D,2,FALSE)</f>
        <v>SEC</v>
      </c>
      <c r="L975" s="1">
        <v>71</v>
      </c>
      <c r="N975" s="1">
        <f>Table1[[#This Row],[Winning Score]]-Table1[[#This Row],[Losing Score]]</f>
        <v>4</v>
      </c>
      <c r="O975" s="1">
        <f>Table1[[#This Row],[Losing Seed]]-Table1[[#This Row],[Winning Seed]]</f>
        <v>5</v>
      </c>
      <c r="P975" s="1" t="str">
        <f>IF(Table1[[#This Row],[SeD]]&lt;-2,Table1[[#This Row],[Winning Seed]]&amp; " over " &amp;Table1[[#This Row],[Losing Seed]],"")</f>
        <v/>
      </c>
      <c r="Q975">
        <f>VLOOKUP(Table1[[#This Row],[Losing Seed]],'Seed History'!$N$4:$O$19,2)</f>
        <v>0.63194444444444442</v>
      </c>
      <c r="R975" s="1">
        <f>IF(Table1[[#This Row],[Round]]="PI",0,Table1[[#This Row],[Round]]-1)</f>
        <v>0</v>
      </c>
      <c r="S975">
        <f>Table1[[#This Row],[LAW]]-Table1[[#This Row],[LEW]]</f>
        <v>-0.63194444444444442</v>
      </c>
    </row>
    <row r="976" spans="1:19" x14ac:dyDescent="0.25">
      <c r="A976" s="66">
        <v>36602</v>
      </c>
      <c r="B976" s="51">
        <f>YEAR(Table1[[#This Row],[Date]])</f>
        <v>2000</v>
      </c>
      <c r="C976" s="1">
        <v>1</v>
      </c>
      <c r="D976" t="s">
        <v>63</v>
      </c>
      <c r="E976" s="1">
        <v>7</v>
      </c>
      <c r="F976" t="s">
        <v>94</v>
      </c>
      <c r="G976" t="str">
        <f>VLOOKUP(Table1[[#This Row],[Winner]],Ranking!C:D,2,FALSE)</f>
        <v>Amer</v>
      </c>
      <c r="H976" s="1">
        <v>89</v>
      </c>
      <c r="I976" s="1">
        <v>10</v>
      </c>
      <c r="J976" t="s">
        <v>396</v>
      </c>
      <c r="K976" t="str">
        <f>VLOOKUP(Table1[[#This Row],[Loser]],Ranking!C:D,2,FALSE)</f>
        <v>MWC</v>
      </c>
      <c r="L976" s="1">
        <v>62</v>
      </c>
      <c r="N976" s="1">
        <f>Table1[[#This Row],[Winning Score]]-Table1[[#This Row],[Losing Score]]</f>
        <v>27</v>
      </c>
      <c r="O976" s="1">
        <f>Table1[[#This Row],[Losing Seed]]-Table1[[#This Row],[Winning Seed]]</f>
        <v>3</v>
      </c>
      <c r="P976" s="1" t="str">
        <f>IF(Table1[[#This Row],[SeD]]&lt;-2,Table1[[#This Row],[Winning Seed]]&amp; " over " &amp;Table1[[#This Row],[Losing Seed]],"")</f>
        <v/>
      </c>
      <c r="Q976">
        <f>VLOOKUP(Table1[[#This Row],[Losing Seed]],'Seed History'!$N$4:$O$19,2)</f>
        <v>0.61805555555555558</v>
      </c>
      <c r="R976" s="1">
        <f>IF(Table1[[#This Row],[Round]]="PI",0,Table1[[#This Row],[Round]]-1)</f>
        <v>0</v>
      </c>
      <c r="S976">
        <f>Table1[[#This Row],[LAW]]-Table1[[#This Row],[LEW]]</f>
        <v>-0.61805555555555558</v>
      </c>
    </row>
    <row r="977" spans="1:19" x14ac:dyDescent="0.25">
      <c r="A977" s="66">
        <v>36602</v>
      </c>
      <c r="B977" s="51">
        <f>YEAR(Table1[[#This Row],[Date]])</f>
        <v>2000</v>
      </c>
      <c r="C977" s="1">
        <v>1</v>
      </c>
      <c r="D977" t="s">
        <v>63</v>
      </c>
      <c r="E977" s="1">
        <v>8</v>
      </c>
      <c r="F977" t="s">
        <v>298</v>
      </c>
      <c r="G977" t="str">
        <f>VLOOKUP(Table1[[#This Row],[Winner]],Ranking!C:D,2,FALSE)</f>
        <v>ACC</v>
      </c>
      <c r="H977" s="1">
        <v>84</v>
      </c>
      <c r="I977" s="1">
        <v>9</v>
      </c>
      <c r="J977" t="s">
        <v>277</v>
      </c>
      <c r="K977" t="str">
        <f>VLOOKUP(Table1[[#This Row],[Loser]],Ranking!C:D,2,FALSE)</f>
        <v>SEC</v>
      </c>
      <c r="L977" s="1">
        <v>70</v>
      </c>
      <c r="N977" s="1">
        <f>Table1[[#This Row],[Winning Score]]-Table1[[#This Row],[Losing Score]]</f>
        <v>14</v>
      </c>
      <c r="O977" s="1">
        <f>Table1[[#This Row],[Losing Seed]]-Table1[[#This Row],[Winning Seed]]</f>
        <v>1</v>
      </c>
      <c r="P977" s="1" t="str">
        <f>IF(Table1[[#This Row],[SeD]]&lt;-2,Table1[[#This Row],[Winning Seed]]&amp; " over " &amp;Table1[[#This Row],[Losing Seed]],"")</f>
        <v/>
      </c>
      <c r="Q977">
        <f>VLOOKUP(Table1[[#This Row],[Losing Seed]],'Seed History'!$N$4:$O$19,2)</f>
        <v>0.59027777777777779</v>
      </c>
      <c r="R977" s="1">
        <f>IF(Table1[[#This Row],[Round]]="PI",0,Table1[[#This Row],[Round]]-1)</f>
        <v>0</v>
      </c>
      <c r="S977">
        <f>Table1[[#This Row],[LAW]]-Table1[[#This Row],[LEW]]</f>
        <v>-0.59027777777777779</v>
      </c>
    </row>
    <row r="978" spans="1:19" x14ac:dyDescent="0.25">
      <c r="A978" s="66">
        <v>36602</v>
      </c>
      <c r="B978" s="51">
        <f>YEAR(Table1[[#This Row],[Date]])</f>
        <v>2000</v>
      </c>
      <c r="C978" s="1">
        <v>1</v>
      </c>
      <c r="D978" t="s">
        <v>49</v>
      </c>
      <c r="E978" s="1">
        <v>10</v>
      </c>
      <c r="F978" t="s">
        <v>87</v>
      </c>
      <c r="G978" t="str">
        <f>VLOOKUP(Table1[[#This Row],[Winner]],Ranking!C:D,2,FALSE)</f>
        <v>BE</v>
      </c>
      <c r="H978" s="1">
        <v>72</v>
      </c>
      <c r="I978" s="1">
        <v>7</v>
      </c>
      <c r="J978" t="s">
        <v>40</v>
      </c>
      <c r="K978" t="str">
        <f>VLOOKUP(Table1[[#This Row],[Loser]],Ranking!C:D,2,FALSE)</f>
        <v>P12</v>
      </c>
      <c r="L978" s="1">
        <v>71</v>
      </c>
      <c r="M978" s="1" t="s">
        <v>462</v>
      </c>
      <c r="N978" s="1">
        <f>Table1[[#This Row],[Winning Score]]-Table1[[#This Row],[Losing Score]]</f>
        <v>1</v>
      </c>
      <c r="O978" s="1">
        <f>Table1[[#This Row],[Losing Seed]]-Table1[[#This Row],[Winning Seed]]</f>
        <v>-3</v>
      </c>
      <c r="P978" s="1" t="str">
        <f>IF(Table1[[#This Row],[SeD]]&lt;-2,Table1[[#This Row],[Winning Seed]]&amp; " over " &amp;Table1[[#This Row],[Losing Seed]],"")</f>
        <v>10 over 7</v>
      </c>
      <c r="Q978">
        <f>VLOOKUP(Table1[[#This Row],[Losing Seed]],'Seed History'!$N$4:$O$19,2)</f>
        <v>0.90277777777777779</v>
      </c>
      <c r="R978" s="1">
        <f>IF(Table1[[#This Row],[Round]]="PI",0,Table1[[#This Row],[Round]]-1)</f>
        <v>0</v>
      </c>
      <c r="S978">
        <f>Table1[[#This Row],[LAW]]-Table1[[#This Row],[LEW]]</f>
        <v>-0.90277777777777779</v>
      </c>
    </row>
    <row r="979" spans="1:19" x14ac:dyDescent="0.25">
      <c r="A979" s="66">
        <v>36603</v>
      </c>
      <c r="B979" s="51">
        <f>YEAR(Table1[[#This Row],[Date]])</f>
        <v>2000</v>
      </c>
      <c r="C979" s="1">
        <v>2</v>
      </c>
      <c r="D979" t="s">
        <v>38</v>
      </c>
      <c r="E979" s="1">
        <v>10</v>
      </c>
      <c r="F979" t="s">
        <v>71</v>
      </c>
      <c r="G979" t="str">
        <f>VLOOKUP(Table1[[#This Row],[Winner]],Ranking!C:D,2,FALSE)</f>
        <v>WCC</v>
      </c>
      <c r="H979" s="1">
        <v>82</v>
      </c>
      <c r="I979" s="1">
        <v>2</v>
      </c>
      <c r="J979" t="s">
        <v>368</v>
      </c>
      <c r="K979" t="str">
        <f>VLOOKUP(Table1[[#This Row],[Loser]],Ranking!C:D,2,FALSE)</f>
        <v>BE</v>
      </c>
      <c r="L979" s="1">
        <v>76</v>
      </c>
      <c r="N979" s="1">
        <f>Table1[[#This Row],[Winning Score]]-Table1[[#This Row],[Losing Score]]</f>
        <v>6</v>
      </c>
      <c r="O979" s="1">
        <f>Table1[[#This Row],[Losing Seed]]-Table1[[#This Row],[Winning Seed]]</f>
        <v>-8</v>
      </c>
      <c r="P979" s="1" t="str">
        <f>IF(Table1[[#This Row],[SeD]]&lt;-2,Table1[[#This Row],[Winning Seed]]&amp; " over " &amp;Table1[[#This Row],[Losing Seed]],"")</f>
        <v>10 over 2</v>
      </c>
      <c r="Q979">
        <f>VLOOKUP(Table1[[#This Row],[Losing Seed]],'Seed History'!$N$4:$O$19,2)</f>
        <v>2.3472222222222223</v>
      </c>
      <c r="R979" s="1">
        <f>IF(Table1[[#This Row],[Round]]="PI",0,Table1[[#This Row],[Round]]-1)</f>
        <v>1</v>
      </c>
      <c r="S979">
        <f>Table1[[#This Row],[LAW]]-Table1[[#This Row],[LEW]]</f>
        <v>-1.3472222222222223</v>
      </c>
    </row>
    <row r="980" spans="1:19" x14ac:dyDescent="0.25">
      <c r="A980" s="66">
        <v>36603</v>
      </c>
      <c r="B980" s="51">
        <f>YEAR(Table1[[#This Row],[Date]])</f>
        <v>2000</v>
      </c>
      <c r="C980" s="1">
        <v>2</v>
      </c>
      <c r="D980" t="s">
        <v>38</v>
      </c>
      <c r="E980" s="1">
        <v>8</v>
      </c>
      <c r="F980" t="s">
        <v>39</v>
      </c>
      <c r="G980" t="str">
        <f>VLOOKUP(Table1[[#This Row],[Winner]],Ranking!C:D,2,FALSE)</f>
        <v>B10</v>
      </c>
      <c r="H980" s="1">
        <v>66</v>
      </c>
      <c r="I980" s="1">
        <v>1</v>
      </c>
      <c r="J980" t="s">
        <v>48</v>
      </c>
      <c r="K980" t="str">
        <f>VLOOKUP(Table1[[#This Row],[Loser]],Ranking!C:D,2,FALSE)</f>
        <v>P12</v>
      </c>
      <c r="L980" s="1">
        <v>59</v>
      </c>
      <c r="N980" s="1">
        <f>Table1[[#This Row],[Winning Score]]-Table1[[#This Row],[Losing Score]]</f>
        <v>7</v>
      </c>
      <c r="O980" s="1">
        <f>Table1[[#This Row],[Losing Seed]]-Table1[[#This Row],[Winning Seed]]</f>
        <v>-7</v>
      </c>
      <c r="P980" s="1" t="str">
        <f>IF(Table1[[#This Row],[SeD]]&lt;-2,Table1[[#This Row],[Winning Seed]]&amp; " over " &amp;Table1[[#This Row],[Losing Seed]],"")</f>
        <v>8 over 1</v>
      </c>
      <c r="Q980">
        <f>VLOOKUP(Table1[[#This Row],[Losing Seed]],'Seed History'!$N$4:$O$19,2)</f>
        <v>3.3263888888888888</v>
      </c>
      <c r="R980" s="1">
        <f>IF(Table1[[#This Row],[Round]]="PI",0,Table1[[#This Row],[Round]]-1)</f>
        <v>1</v>
      </c>
      <c r="S980">
        <f>Table1[[#This Row],[LAW]]-Table1[[#This Row],[LEW]]</f>
        <v>-2.3263888888888888</v>
      </c>
    </row>
    <row r="981" spans="1:19" x14ac:dyDescent="0.25">
      <c r="A981" s="66">
        <v>36603</v>
      </c>
      <c r="B981" s="51">
        <f>YEAR(Table1[[#This Row],[Date]])</f>
        <v>2000</v>
      </c>
      <c r="C981" s="1">
        <v>2</v>
      </c>
      <c r="D981" t="s">
        <v>439</v>
      </c>
      <c r="E981" s="1">
        <v>1</v>
      </c>
      <c r="F981" t="s">
        <v>271</v>
      </c>
      <c r="G981" t="str">
        <f>VLOOKUP(Table1[[#This Row],[Winner]],Ranking!C:D,2,FALSE)</f>
        <v>B10</v>
      </c>
      <c r="H981" s="1">
        <v>73</v>
      </c>
      <c r="I981" s="1">
        <v>8</v>
      </c>
      <c r="J981" t="s">
        <v>65</v>
      </c>
      <c r="K981" t="str">
        <f>VLOOKUP(Table1[[#This Row],[Loser]],Ranking!C:D,2,FALSE)</f>
        <v>P12</v>
      </c>
      <c r="L981" s="1">
        <v>61</v>
      </c>
      <c r="N981" s="1">
        <f>Table1[[#This Row],[Winning Score]]-Table1[[#This Row],[Losing Score]]</f>
        <v>12</v>
      </c>
      <c r="O981" s="1">
        <f>Table1[[#This Row],[Losing Seed]]-Table1[[#This Row],[Winning Seed]]</f>
        <v>7</v>
      </c>
      <c r="P981" s="1" t="str">
        <f>IF(Table1[[#This Row],[SeD]]&lt;-2,Table1[[#This Row],[Winning Seed]]&amp; " over " &amp;Table1[[#This Row],[Losing Seed]],"")</f>
        <v/>
      </c>
      <c r="Q981">
        <f>VLOOKUP(Table1[[#This Row],[Losing Seed]],'Seed History'!$N$4:$O$19,2)</f>
        <v>0.70833333333333337</v>
      </c>
      <c r="R981" s="1">
        <f>IF(Table1[[#This Row],[Round]]="PI",0,Table1[[#This Row],[Round]]-1)</f>
        <v>1</v>
      </c>
      <c r="S981">
        <f>Table1[[#This Row],[LAW]]-Table1[[#This Row],[LEW]]</f>
        <v>0.29166666666666663</v>
      </c>
    </row>
    <row r="982" spans="1:19" x14ac:dyDescent="0.25">
      <c r="A982" s="66">
        <v>36603</v>
      </c>
      <c r="B982" s="51">
        <f>YEAR(Table1[[#This Row],[Date]])</f>
        <v>2000</v>
      </c>
      <c r="C982" s="1">
        <v>2</v>
      </c>
      <c r="D982" t="s">
        <v>439</v>
      </c>
      <c r="E982" s="1">
        <v>2</v>
      </c>
      <c r="F982" t="s">
        <v>237</v>
      </c>
      <c r="G982" t="str">
        <f>VLOOKUP(Table1[[#This Row],[Winner]],Ranking!C:D,2,FALSE)</f>
        <v>B12</v>
      </c>
      <c r="H982" s="1">
        <v>79</v>
      </c>
      <c r="I982" s="1">
        <v>7</v>
      </c>
      <c r="J982" t="s">
        <v>129</v>
      </c>
      <c r="K982" t="str">
        <f>VLOOKUP(Table1[[#This Row],[Loser]],Ranking!C:D,2,FALSE)</f>
        <v>SEC</v>
      </c>
      <c r="L982" s="1">
        <v>60</v>
      </c>
      <c r="N982" s="1">
        <f>Table1[[#This Row],[Winning Score]]-Table1[[#This Row],[Losing Score]]</f>
        <v>19</v>
      </c>
      <c r="O982" s="1">
        <f>Table1[[#This Row],[Losing Seed]]-Table1[[#This Row],[Winning Seed]]</f>
        <v>5</v>
      </c>
      <c r="P982" s="1" t="str">
        <f>IF(Table1[[#This Row],[SeD]]&lt;-2,Table1[[#This Row],[Winning Seed]]&amp; " over " &amp;Table1[[#This Row],[Losing Seed]],"")</f>
        <v/>
      </c>
      <c r="Q982">
        <f>VLOOKUP(Table1[[#This Row],[Losing Seed]],'Seed History'!$N$4:$O$19,2)</f>
        <v>0.90277777777777779</v>
      </c>
      <c r="R982" s="1">
        <f>IF(Table1[[#This Row],[Round]]="PI",0,Table1[[#This Row],[Round]]-1)</f>
        <v>1</v>
      </c>
      <c r="S982">
        <f>Table1[[#This Row],[LAW]]-Table1[[#This Row],[LEW]]</f>
        <v>9.722222222222221E-2</v>
      </c>
    </row>
    <row r="983" spans="1:19" x14ac:dyDescent="0.25">
      <c r="A983" s="66">
        <v>36603</v>
      </c>
      <c r="B983" s="51">
        <f>YEAR(Table1[[#This Row],[Date]])</f>
        <v>2000</v>
      </c>
      <c r="C983" s="1">
        <v>2</v>
      </c>
      <c r="D983" t="s">
        <v>439</v>
      </c>
      <c r="E983" s="1">
        <v>4</v>
      </c>
      <c r="F983" t="s">
        <v>86</v>
      </c>
      <c r="G983" t="str">
        <f>VLOOKUP(Table1[[#This Row],[Winner]],Ranking!C:D,2,FALSE)</f>
        <v>ACC</v>
      </c>
      <c r="H983" s="1">
        <v>52</v>
      </c>
      <c r="I983" s="1">
        <v>5</v>
      </c>
      <c r="J983" t="s">
        <v>26</v>
      </c>
      <c r="K983" t="str">
        <f>VLOOKUP(Table1[[#This Row],[Loser]],Ranking!C:D,2,FALSE)</f>
        <v>SEC</v>
      </c>
      <c r="L983" s="1">
        <v>50</v>
      </c>
      <c r="N983" s="1">
        <f>Table1[[#This Row],[Winning Score]]-Table1[[#This Row],[Losing Score]]</f>
        <v>2</v>
      </c>
      <c r="O983" s="1">
        <f>Table1[[#This Row],[Losing Seed]]-Table1[[#This Row],[Winning Seed]]</f>
        <v>1</v>
      </c>
      <c r="P983" s="1" t="str">
        <f>IF(Table1[[#This Row],[SeD]]&lt;-2,Table1[[#This Row],[Winning Seed]]&amp; " over " &amp;Table1[[#This Row],[Losing Seed]],"")</f>
        <v/>
      </c>
      <c r="Q983">
        <f>VLOOKUP(Table1[[#This Row],[Losing Seed]],'Seed History'!$N$4:$O$19,2)</f>
        <v>1.1180555555555556</v>
      </c>
      <c r="R983" s="1">
        <f>IF(Table1[[#This Row],[Round]]="PI",0,Table1[[#This Row],[Round]]-1)</f>
        <v>1</v>
      </c>
      <c r="S983">
        <f>Table1[[#This Row],[LAW]]-Table1[[#This Row],[LEW]]</f>
        <v>-0.11805555555555558</v>
      </c>
    </row>
    <row r="984" spans="1:19" x14ac:dyDescent="0.25">
      <c r="A984" s="66">
        <v>36603</v>
      </c>
      <c r="B984" s="51">
        <f>YEAR(Table1[[#This Row],[Date]])</f>
        <v>2000</v>
      </c>
      <c r="C984" s="1">
        <v>2</v>
      </c>
      <c r="D984" t="s">
        <v>38</v>
      </c>
      <c r="E984" s="1">
        <v>4</v>
      </c>
      <c r="F984" t="s">
        <v>52</v>
      </c>
      <c r="G984" t="str">
        <f>VLOOKUP(Table1[[#This Row],[Winner]],Ranking!C:D,2,FALSE)</f>
        <v>SEC</v>
      </c>
      <c r="H984" s="1">
        <v>72</v>
      </c>
      <c r="I984" s="1">
        <v>5</v>
      </c>
      <c r="J984" t="s">
        <v>34</v>
      </c>
      <c r="K984" t="str">
        <f>VLOOKUP(Table1[[#This Row],[Loser]],Ranking!C:D,2,FALSE)</f>
        <v>B12</v>
      </c>
      <c r="L984" s="1">
        <v>67</v>
      </c>
      <c r="N984" s="1">
        <f>Table1[[#This Row],[Winning Score]]-Table1[[#This Row],[Losing Score]]</f>
        <v>5</v>
      </c>
      <c r="O984" s="1">
        <f>Table1[[#This Row],[Losing Seed]]-Table1[[#This Row],[Winning Seed]]</f>
        <v>1</v>
      </c>
      <c r="P984" s="1" t="str">
        <f>IF(Table1[[#This Row],[SeD]]&lt;-2,Table1[[#This Row],[Winning Seed]]&amp; " over " &amp;Table1[[#This Row],[Losing Seed]],"")</f>
        <v/>
      </c>
      <c r="Q984">
        <f>VLOOKUP(Table1[[#This Row],[Losing Seed]],'Seed History'!$N$4:$O$19,2)</f>
        <v>1.1180555555555556</v>
      </c>
      <c r="R984" s="1">
        <f>IF(Table1[[#This Row],[Round]]="PI",0,Table1[[#This Row],[Round]]-1)</f>
        <v>1</v>
      </c>
      <c r="S984">
        <f>Table1[[#This Row],[LAW]]-Table1[[#This Row],[LEW]]</f>
        <v>-0.11805555555555558</v>
      </c>
    </row>
    <row r="985" spans="1:19" x14ac:dyDescent="0.25">
      <c r="A985" s="66">
        <v>36603</v>
      </c>
      <c r="B985" s="51">
        <f>YEAR(Table1[[#This Row],[Date]])</f>
        <v>2000</v>
      </c>
      <c r="C985" s="1">
        <v>2</v>
      </c>
      <c r="D985" t="s">
        <v>439</v>
      </c>
      <c r="E985" s="1">
        <v>6</v>
      </c>
      <c r="F985" t="s">
        <v>67</v>
      </c>
      <c r="G985" t="str">
        <f>VLOOKUP(Table1[[#This Row],[Winner]],Ranking!C:D,2,FALSE)</f>
        <v>P12</v>
      </c>
      <c r="H985" s="1">
        <v>105</v>
      </c>
      <c r="I985" s="1">
        <v>3</v>
      </c>
      <c r="J985" t="s">
        <v>31</v>
      </c>
      <c r="K985" t="str">
        <f>VLOOKUP(Table1[[#This Row],[Loser]],Ranking!C:D,2,FALSE)</f>
        <v>B10</v>
      </c>
      <c r="L985" s="1">
        <v>70</v>
      </c>
      <c r="N985" s="1">
        <f>Table1[[#This Row],[Winning Score]]-Table1[[#This Row],[Losing Score]]</f>
        <v>35</v>
      </c>
      <c r="O985" s="1">
        <f>Table1[[#This Row],[Losing Seed]]-Table1[[#This Row],[Winning Seed]]</f>
        <v>-3</v>
      </c>
      <c r="P985" s="1" t="str">
        <f>IF(Table1[[#This Row],[SeD]]&lt;-2,Table1[[#This Row],[Winning Seed]]&amp; " over " &amp;Table1[[#This Row],[Losing Seed]],"")</f>
        <v>6 over 3</v>
      </c>
      <c r="Q985">
        <f>VLOOKUP(Table1[[#This Row],[Losing Seed]],'Seed History'!$N$4:$O$19,2)</f>
        <v>1.8472222222222223</v>
      </c>
      <c r="R985" s="1">
        <f>IF(Table1[[#This Row],[Round]]="PI",0,Table1[[#This Row],[Round]]-1)</f>
        <v>1</v>
      </c>
      <c r="S985">
        <f>Table1[[#This Row],[LAW]]-Table1[[#This Row],[LEW]]</f>
        <v>-0.84722222222222232</v>
      </c>
    </row>
    <row r="986" spans="1:19" x14ac:dyDescent="0.25">
      <c r="A986" s="66">
        <v>36603</v>
      </c>
      <c r="B986" s="51">
        <f>YEAR(Table1[[#This Row],[Date]])</f>
        <v>2000</v>
      </c>
      <c r="C986" s="1">
        <v>2</v>
      </c>
      <c r="D986" t="s">
        <v>38</v>
      </c>
      <c r="E986" s="1">
        <v>6</v>
      </c>
      <c r="F986" t="s">
        <v>29</v>
      </c>
      <c r="G986" t="str">
        <f>VLOOKUP(Table1[[#This Row],[Winner]],Ranking!C:D,2,FALSE)</f>
        <v>B10</v>
      </c>
      <c r="H986" s="1">
        <v>66</v>
      </c>
      <c r="I986" s="1">
        <v>3</v>
      </c>
      <c r="J986" t="s">
        <v>58</v>
      </c>
      <c r="K986" t="str">
        <f>VLOOKUP(Table1[[#This Row],[Loser]],Ranking!C:D,2,FALSE)</f>
        <v>B12</v>
      </c>
      <c r="L986" s="1">
        <v>62</v>
      </c>
      <c r="N986" s="1">
        <f>Table1[[#This Row],[Winning Score]]-Table1[[#This Row],[Losing Score]]</f>
        <v>4</v>
      </c>
      <c r="O986" s="1">
        <f>Table1[[#This Row],[Losing Seed]]-Table1[[#This Row],[Winning Seed]]</f>
        <v>-3</v>
      </c>
      <c r="P986" s="1" t="str">
        <f>IF(Table1[[#This Row],[SeD]]&lt;-2,Table1[[#This Row],[Winning Seed]]&amp; " over " &amp;Table1[[#This Row],[Losing Seed]],"")</f>
        <v>6 over 3</v>
      </c>
      <c r="Q986">
        <f>VLOOKUP(Table1[[#This Row],[Losing Seed]],'Seed History'!$N$4:$O$19,2)</f>
        <v>1.8472222222222223</v>
      </c>
      <c r="R986" s="1">
        <f>IF(Table1[[#This Row],[Round]]="PI",0,Table1[[#This Row],[Round]]-1)</f>
        <v>1</v>
      </c>
      <c r="S986">
        <f>Table1[[#This Row],[LAW]]-Table1[[#This Row],[LEW]]</f>
        <v>-0.84722222222222232</v>
      </c>
    </row>
    <row r="987" spans="1:19" x14ac:dyDescent="0.25">
      <c r="A987" s="66">
        <v>36604</v>
      </c>
      <c r="B987" s="51">
        <f>YEAR(Table1[[#This Row],[Date]])</f>
        <v>2000</v>
      </c>
      <c r="C987" s="1">
        <v>2</v>
      </c>
      <c r="D987" t="s">
        <v>49</v>
      </c>
      <c r="E987" s="1">
        <v>10</v>
      </c>
      <c r="F987" t="s">
        <v>87</v>
      </c>
      <c r="G987" t="str">
        <f>VLOOKUP(Table1[[#This Row],[Winner]],Ranking!C:D,2,FALSE)</f>
        <v>BE</v>
      </c>
      <c r="H987" s="1">
        <v>67</v>
      </c>
      <c r="I987" s="1">
        <v>2</v>
      </c>
      <c r="J987" t="s">
        <v>373</v>
      </c>
      <c r="K987" t="str">
        <f>VLOOKUP(Table1[[#This Row],[Loser]],Ranking!C:D,2,FALSE)</f>
        <v>Amer</v>
      </c>
      <c r="L987" s="1">
        <v>65</v>
      </c>
      <c r="M987" s="1" t="s">
        <v>462</v>
      </c>
      <c r="N987" s="1">
        <f>Table1[[#This Row],[Winning Score]]-Table1[[#This Row],[Losing Score]]</f>
        <v>2</v>
      </c>
      <c r="O987" s="1">
        <f>Table1[[#This Row],[Losing Seed]]-Table1[[#This Row],[Winning Seed]]</f>
        <v>-8</v>
      </c>
      <c r="P987" s="1" t="str">
        <f>IF(Table1[[#This Row],[SeD]]&lt;-2,Table1[[#This Row],[Winning Seed]]&amp; " over " &amp;Table1[[#This Row],[Losing Seed]],"")</f>
        <v>10 over 2</v>
      </c>
      <c r="Q987">
        <f>VLOOKUP(Table1[[#This Row],[Losing Seed]],'Seed History'!$N$4:$O$19,2)</f>
        <v>2.3472222222222223</v>
      </c>
      <c r="R987" s="1">
        <f>IF(Table1[[#This Row],[Round]]="PI",0,Table1[[#This Row],[Round]]-1)</f>
        <v>1</v>
      </c>
      <c r="S987">
        <f>Table1[[#This Row],[LAW]]-Table1[[#This Row],[LEW]]</f>
        <v>-1.3472222222222223</v>
      </c>
    </row>
    <row r="988" spans="1:19" x14ac:dyDescent="0.25">
      <c r="A988" s="66">
        <v>36604</v>
      </c>
      <c r="B988" s="51">
        <f>YEAR(Table1[[#This Row],[Date]])</f>
        <v>2000</v>
      </c>
      <c r="C988" s="1">
        <v>2</v>
      </c>
      <c r="D988" t="s">
        <v>63</v>
      </c>
      <c r="E988" s="1">
        <v>8</v>
      </c>
      <c r="F988" t="s">
        <v>298</v>
      </c>
      <c r="G988" t="str">
        <f>VLOOKUP(Table1[[#This Row],[Winner]],Ranking!C:D,2,FALSE)</f>
        <v>ACC</v>
      </c>
      <c r="H988" s="1">
        <v>60</v>
      </c>
      <c r="I988" s="1">
        <v>1</v>
      </c>
      <c r="J988" t="s">
        <v>369</v>
      </c>
      <c r="K988" t="str">
        <f>VLOOKUP(Table1[[#This Row],[Loser]],Ranking!C:D,2,FALSE)</f>
        <v>P12</v>
      </c>
      <c r="L988" s="1">
        <v>53</v>
      </c>
      <c r="N988" s="1">
        <f>Table1[[#This Row],[Winning Score]]-Table1[[#This Row],[Losing Score]]</f>
        <v>7</v>
      </c>
      <c r="O988" s="1">
        <f>Table1[[#This Row],[Losing Seed]]-Table1[[#This Row],[Winning Seed]]</f>
        <v>-7</v>
      </c>
      <c r="P988" s="1" t="str">
        <f>IF(Table1[[#This Row],[SeD]]&lt;-2,Table1[[#This Row],[Winning Seed]]&amp; " over " &amp;Table1[[#This Row],[Losing Seed]],"")</f>
        <v>8 over 1</v>
      </c>
      <c r="Q988">
        <f>VLOOKUP(Table1[[#This Row],[Losing Seed]],'Seed History'!$N$4:$O$19,2)</f>
        <v>3.3263888888888888</v>
      </c>
      <c r="R988" s="1">
        <f>IF(Table1[[#This Row],[Round]]="PI",0,Table1[[#This Row],[Round]]-1)</f>
        <v>1</v>
      </c>
      <c r="S988">
        <f>Table1[[#This Row],[LAW]]-Table1[[#This Row],[LEW]]</f>
        <v>-2.3263888888888888</v>
      </c>
    </row>
    <row r="989" spans="1:19" x14ac:dyDescent="0.25">
      <c r="A989" s="66">
        <v>36604</v>
      </c>
      <c r="B989" s="51">
        <f>YEAR(Table1[[#This Row],[Date]])</f>
        <v>2000</v>
      </c>
      <c r="C989" s="1">
        <v>2</v>
      </c>
      <c r="D989" t="s">
        <v>63</v>
      </c>
      <c r="E989" s="1">
        <v>7</v>
      </c>
      <c r="F989" t="s">
        <v>94</v>
      </c>
      <c r="G989" t="str">
        <f>VLOOKUP(Table1[[#This Row],[Winner]],Ranking!C:D,2,FALSE)</f>
        <v>Amer</v>
      </c>
      <c r="H989" s="1">
        <v>69</v>
      </c>
      <c r="I989" s="1">
        <v>2</v>
      </c>
      <c r="J989" t="s">
        <v>28</v>
      </c>
      <c r="K989" t="str">
        <f>VLOOKUP(Table1[[#This Row],[Loser]],Ranking!C:D,2,FALSE)</f>
        <v>Amer</v>
      </c>
      <c r="L989" s="1">
        <v>61</v>
      </c>
      <c r="N989" s="1">
        <f>Table1[[#This Row],[Winning Score]]-Table1[[#This Row],[Losing Score]]</f>
        <v>8</v>
      </c>
      <c r="O989" s="1">
        <f>Table1[[#This Row],[Losing Seed]]-Table1[[#This Row],[Winning Seed]]</f>
        <v>-5</v>
      </c>
      <c r="P989" s="1" t="str">
        <f>IF(Table1[[#This Row],[SeD]]&lt;-2,Table1[[#This Row],[Winning Seed]]&amp; " over " &amp;Table1[[#This Row],[Losing Seed]],"")</f>
        <v>7 over 2</v>
      </c>
      <c r="Q989">
        <f>VLOOKUP(Table1[[#This Row],[Losing Seed]],'Seed History'!$N$4:$O$19,2)</f>
        <v>2.3472222222222223</v>
      </c>
      <c r="R989" s="1">
        <f>IF(Table1[[#This Row],[Round]]="PI",0,Table1[[#This Row],[Round]]-1)</f>
        <v>1</v>
      </c>
      <c r="S989">
        <f>Table1[[#This Row],[LAW]]-Table1[[#This Row],[LEW]]</f>
        <v>-1.3472222222222223</v>
      </c>
    </row>
    <row r="990" spans="1:19" x14ac:dyDescent="0.25">
      <c r="A990" s="66">
        <v>36604</v>
      </c>
      <c r="B990" s="51">
        <f>YEAR(Table1[[#This Row],[Date]])</f>
        <v>2000</v>
      </c>
      <c r="C990" s="1">
        <v>2</v>
      </c>
      <c r="D990" t="s">
        <v>49</v>
      </c>
      <c r="E990" s="1">
        <v>1</v>
      </c>
      <c r="F990" t="s">
        <v>64</v>
      </c>
      <c r="G990" t="str">
        <f>VLOOKUP(Table1[[#This Row],[Winner]],Ranking!C:D,2,FALSE)</f>
        <v>ACC</v>
      </c>
      <c r="H990" s="1">
        <v>69</v>
      </c>
      <c r="I990" s="1">
        <v>8</v>
      </c>
      <c r="J990" t="s">
        <v>37</v>
      </c>
      <c r="K990" t="str">
        <f>VLOOKUP(Table1[[#This Row],[Loser]],Ranking!C:D,2,FALSE)</f>
        <v>B12</v>
      </c>
      <c r="L990" s="1">
        <v>64</v>
      </c>
      <c r="N990" s="1">
        <f>Table1[[#This Row],[Winning Score]]-Table1[[#This Row],[Losing Score]]</f>
        <v>5</v>
      </c>
      <c r="O990" s="1">
        <f>Table1[[#This Row],[Losing Seed]]-Table1[[#This Row],[Winning Seed]]</f>
        <v>7</v>
      </c>
      <c r="P990" s="1" t="str">
        <f>IF(Table1[[#This Row],[SeD]]&lt;-2,Table1[[#This Row],[Winning Seed]]&amp; " over " &amp;Table1[[#This Row],[Losing Seed]],"")</f>
        <v/>
      </c>
      <c r="Q990">
        <f>VLOOKUP(Table1[[#This Row],[Losing Seed]],'Seed History'!$N$4:$O$19,2)</f>
        <v>0.70833333333333337</v>
      </c>
      <c r="R990" s="1">
        <f>IF(Table1[[#This Row],[Round]]="PI",0,Table1[[#This Row],[Round]]-1)</f>
        <v>1</v>
      </c>
      <c r="S990">
        <f>Table1[[#This Row],[LAW]]-Table1[[#This Row],[LEW]]</f>
        <v>0.29166666666666663</v>
      </c>
    </row>
    <row r="991" spans="1:19" x14ac:dyDescent="0.25">
      <c r="A991" s="66">
        <v>36604</v>
      </c>
      <c r="B991" s="51">
        <f>YEAR(Table1[[#This Row],[Date]])</f>
        <v>2000</v>
      </c>
      <c r="C991" s="1">
        <v>2</v>
      </c>
      <c r="D991" t="s">
        <v>49</v>
      </c>
      <c r="E991" s="1">
        <v>3</v>
      </c>
      <c r="F991" t="s">
        <v>316</v>
      </c>
      <c r="G991" t="str">
        <f>VLOOKUP(Table1[[#This Row],[Winner]],Ranking!C:D,2,FALSE)</f>
        <v>B12</v>
      </c>
      <c r="H991" s="1">
        <v>75</v>
      </c>
      <c r="I991" s="1">
        <v>11</v>
      </c>
      <c r="J991" t="s">
        <v>323</v>
      </c>
      <c r="K991" t="str">
        <f>VLOOKUP(Table1[[#This Row],[Loser]],Ranking!C:D,2,FALSE)</f>
        <v>WCC</v>
      </c>
      <c r="L991" s="1">
        <v>67</v>
      </c>
      <c r="N991" s="1">
        <f>Table1[[#This Row],[Winning Score]]-Table1[[#This Row],[Losing Score]]</f>
        <v>8</v>
      </c>
      <c r="O991" s="1">
        <f>Table1[[#This Row],[Losing Seed]]-Table1[[#This Row],[Winning Seed]]</f>
        <v>8</v>
      </c>
      <c r="P991" s="1" t="str">
        <f>IF(Table1[[#This Row],[SeD]]&lt;-2,Table1[[#This Row],[Winning Seed]]&amp; " over " &amp;Table1[[#This Row],[Losing Seed]],"")</f>
        <v/>
      </c>
      <c r="Q991">
        <f>VLOOKUP(Table1[[#This Row],[Losing Seed]],'Seed History'!$N$4:$O$19,2)</f>
        <v>0.63194444444444442</v>
      </c>
      <c r="R991" s="1">
        <f>IF(Table1[[#This Row],[Round]]="PI",0,Table1[[#This Row],[Round]]-1)</f>
        <v>1</v>
      </c>
      <c r="S991">
        <f>Table1[[#This Row],[LAW]]-Table1[[#This Row],[LEW]]</f>
        <v>0.36805555555555558</v>
      </c>
    </row>
    <row r="992" spans="1:19" x14ac:dyDescent="0.25">
      <c r="A992" s="66">
        <v>36604</v>
      </c>
      <c r="B992" s="51">
        <f>YEAR(Table1[[#This Row],[Date]])</f>
        <v>2000</v>
      </c>
      <c r="C992" s="1">
        <v>2</v>
      </c>
      <c r="D992" t="s">
        <v>63</v>
      </c>
      <c r="E992" s="1">
        <v>4</v>
      </c>
      <c r="F992" t="s">
        <v>374</v>
      </c>
      <c r="G992" t="str">
        <f>VLOOKUP(Table1[[#This Row],[Winner]],Ranking!C:D,2,FALSE)</f>
        <v>SEC</v>
      </c>
      <c r="H992" s="1">
        <v>65</v>
      </c>
      <c r="I992" s="1">
        <v>5</v>
      </c>
      <c r="J992" t="s">
        <v>80</v>
      </c>
      <c r="K992" t="str">
        <f>VLOOKUP(Table1[[#This Row],[Loser]],Ranking!C:D,2,FALSE)</f>
        <v>BE</v>
      </c>
      <c r="L992" s="1">
        <v>51</v>
      </c>
      <c r="N992" s="1">
        <f>Table1[[#This Row],[Winning Score]]-Table1[[#This Row],[Losing Score]]</f>
        <v>14</v>
      </c>
      <c r="O992" s="1">
        <f>Table1[[#This Row],[Losing Seed]]-Table1[[#This Row],[Winning Seed]]</f>
        <v>1</v>
      </c>
      <c r="P992" s="1" t="str">
        <f>IF(Table1[[#This Row],[SeD]]&lt;-2,Table1[[#This Row],[Winning Seed]]&amp; " over " &amp;Table1[[#This Row],[Losing Seed]],"")</f>
        <v/>
      </c>
      <c r="Q992">
        <f>VLOOKUP(Table1[[#This Row],[Losing Seed]],'Seed History'!$N$4:$O$19,2)</f>
        <v>1.1180555555555556</v>
      </c>
      <c r="R992" s="1">
        <f>IF(Table1[[#This Row],[Round]]="PI",0,Table1[[#This Row],[Round]]-1)</f>
        <v>1</v>
      </c>
      <c r="S992">
        <f>Table1[[#This Row],[LAW]]-Table1[[#This Row],[LEW]]</f>
        <v>-0.11805555555555558</v>
      </c>
    </row>
    <row r="993" spans="1:19" x14ac:dyDescent="0.25">
      <c r="A993" s="66">
        <v>36604</v>
      </c>
      <c r="B993" s="51">
        <f>YEAR(Table1[[#This Row],[Date]])</f>
        <v>2000</v>
      </c>
      <c r="C993" s="1">
        <v>2</v>
      </c>
      <c r="D993" t="s">
        <v>63</v>
      </c>
      <c r="E993" s="1">
        <v>6</v>
      </c>
      <c r="F993" t="s">
        <v>269</v>
      </c>
      <c r="G993" t="str">
        <f>VLOOKUP(Table1[[#This Row],[Winner]],Ranking!C:D,2,FALSE)</f>
        <v>ACC</v>
      </c>
      <c r="H993" s="1">
        <v>75</v>
      </c>
      <c r="I993" s="1">
        <v>3</v>
      </c>
      <c r="J993" t="s">
        <v>315</v>
      </c>
      <c r="K993" t="str">
        <f>VLOOKUP(Table1[[#This Row],[Loser]],Ranking!C:D,2,FALSE)</f>
        <v>B10</v>
      </c>
      <c r="L993" s="1">
        <v>62</v>
      </c>
      <c r="N993" s="1">
        <f>Table1[[#This Row],[Winning Score]]-Table1[[#This Row],[Losing Score]]</f>
        <v>13</v>
      </c>
      <c r="O993" s="1">
        <f>Table1[[#This Row],[Losing Seed]]-Table1[[#This Row],[Winning Seed]]</f>
        <v>-3</v>
      </c>
      <c r="P993" s="1" t="str">
        <f>IF(Table1[[#This Row],[SeD]]&lt;-2,Table1[[#This Row],[Winning Seed]]&amp; " over " &amp;Table1[[#This Row],[Losing Seed]],"")</f>
        <v>6 over 3</v>
      </c>
      <c r="Q993">
        <f>VLOOKUP(Table1[[#This Row],[Losing Seed]],'Seed History'!$N$4:$O$19,2)</f>
        <v>1.8472222222222223</v>
      </c>
      <c r="R993" s="1">
        <f>IF(Table1[[#This Row],[Round]]="PI",0,Table1[[#This Row],[Round]]-1)</f>
        <v>1</v>
      </c>
      <c r="S993">
        <f>Table1[[#This Row],[LAW]]-Table1[[#This Row],[LEW]]</f>
        <v>-0.84722222222222232</v>
      </c>
    </row>
    <row r="994" spans="1:19" x14ac:dyDescent="0.25">
      <c r="A994" s="66">
        <v>36604</v>
      </c>
      <c r="B994" s="51">
        <f>YEAR(Table1[[#This Row],[Date]])</f>
        <v>2000</v>
      </c>
      <c r="C994" s="1">
        <v>2</v>
      </c>
      <c r="D994" t="s">
        <v>49</v>
      </c>
      <c r="E994" s="1">
        <v>5</v>
      </c>
      <c r="F994" t="s">
        <v>81</v>
      </c>
      <c r="G994" t="str">
        <f>VLOOKUP(Table1[[#This Row],[Winner]],Ranking!C:D,2,FALSE)</f>
        <v>SEC</v>
      </c>
      <c r="H994" s="1">
        <v>93</v>
      </c>
      <c r="I994" s="1">
        <v>4</v>
      </c>
      <c r="J994" t="s">
        <v>230</v>
      </c>
      <c r="K994" t="str">
        <f>VLOOKUP(Table1[[#This Row],[Loser]],Ranking!C:D,2,FALSE)</f>
        <v>B10</v>
      </c>
      <c r="L994" s="1">
        <v>76</v>
      </c>
      <c r="N994" s="1">
        <f>Table1[[#This Row],[Winning Score]]-Table1[[#This Row],[Losing Score]]</f>
        <v>17</v>
      </c>
      <c r="O994" s="1">
        <f>Table1[[#This Row],[Losing Seed]]-Table1[[#This Row],[Winning Seed]]</f>
        <v>-1</v>
      </c>
      <c r="P994" s="1" t="str">
        <f>IF(Table1[[#This Row],[SeD]]&lt;-2,Table1[[#This Row],[Winning Seed]]&amp; " over " &amp;Table1[[#This Row],[Losing Seed]],"")</f>
        <v/>
      </c>
      <c r="Q994">
        <f>VLOOKUP(Table1[[#This Row],[Losing Seed]],'Seed History'!$N$4:$O$19,2)</f>
        <v>1.5208333333333333</v>
      </c>
      <c r="R994" s="1">
        <f>IF(Table1[[#This Row],[Round]]="PI",0,Table1[[#This Row],[Round]]-1)</f>
        <v>1</v>
      </c>
      <c r="S994">
        <f>Table1[[#This Row],[LAW]]-Table1[[#This Row],[LEW]]</f>
        <v>-0.52083333333333326</v>
      </c>
    </row>
    <row r="995" spans="1:19" x14ac:dyDescent="0.25">
      <c r="A995" s="66">
        <v>36608</v>
      </c>
      <c r="B995" s="51">
        <f>YEAR(Table1[[#This Row],[Date]])</f>
        <v>2000</v>
      </c>
      <c r="C995" s="1">
        <v>3</v>
      </c>
      <c r="D995" t="s">
        <v>439</v>
      </c>
      <c r="E995" s="1">
        <v>1</v>
      </c>
      <c r="F995" t="s">
        <v>271</v>
      </c>
      <c r="G995" t="str">
        <f>VLOOKUP(Table1[[#This Row],[Winner]],Ranking!C:D,2,FALSE)</f>
        <v>B10</v>
      </c>
      <c r="H995" s="1">
        <v>75</v>
      </c>
      <c r="I995" s="1">
        <v>4</v>
      </c>
      <c r="J995" t="s">
        <v>86</v>
      </c>
      <c r="K995" t="str">
        <f>VLOOKUP(Table1[[#This Row],[Loser]],Ranking!C:D,2,FALSE)</f>
        <v>ACC</v>
      </c>
      <c r="L995" s="1">
        <v>58</v>
      </c>
      <c r="N995" s="1">
        <f>Table1[[#This Row],[Winning Score]]-Table1[[#This Row],[Losing Score]]</f>
        <v>17</v>
      </c>
      <c r="O995" s="1">
        <f>Table1[[#This Row],[Losing Seed]]-Table1[[#This Row],[Winning Seed]]</f>
        <v>3</v>
      </c>
      <c r="P995" s="1" t="str">
        <f>IF(Table1[[#This Row],[SeD]]&lt;-2,Table1[[#This Row],[Winning Seed]]&amp; " over " &amp;Table1[[#This Row],[Losing Seed]],"")</f>
        <v/>
      </c>
      <c r="Q995">
        <f>VLOOKUP(Table1[[#This Row],[Losing Seed]],'Seed History'!$N$4:$O$19,2)</f>
        <v>1.5208333333333333</v>
      </c>
      <c r="R995" s="1">
        <f>IF(Table1[[#This Row],[Round]]="PI",0,Table1[[#This Row],[Round]]-1)</f>
        <v>2</v>
      </c>
      <c r="S995">
        <f>Table1[[#This Row],[LAW]]-Table1[[#This Row],[LEW]]</f>
        <v>0.47916666666666674</v>
      </c>
    </row>
    <row r="996" spans="1:19" x14ac:dyDescent="0.25">
      <c r="A996" s="66">
        <v>36608</v>
      </c>
      <c r="B996" s="51">
        <f>YEAR(Table1[[#This Row],[Date]])</f>
        <v>2000</v>
      </c>
      <c r="C996" s="1">
        <v>3</v>
      </c>
      <c r="D996" t="s">
        <v>439</v>
      </c>
      <c r="E996" s="1">
        <v>2</v>
      </c>
      <c r="F996" t="s">
        <v>237</v>
      </c>
      <c r="G996" t="str">
        <f>VLOOKUP(Table1[[#This Row],[Winner]],Ranking!C:D,2,FALSE)</f>
        <v>B12</v>
      </c>
      <c r="H996" s="1">
        <v>80</v>
      </c>
      <c r="I996" s="1">
        <v>6</v>
      </c>
      <c r="J996" t="s">
        <v>67</v>
      </c>
      <c r="K996" t="str">
        <f>VLOOKUP(Table1[[#This Row],[Loser]],Ranking!C:D,2,FALSE)</f>
        <v>P12</v>
      </c>
      <c r="L996" s="1">
        <v>56</v>
      </c>
      <c r="N996" s="1">
        <f>Table1[[#This Row],[Winning Score]]-Table1[[#This Row],[Losing Score]]</f>
        <v>24</v>
      </c>
      <c r="O996" s="1">
        <f>Table1[[#This Row],[Losing Seed]]-Table1[[#This Row],[Winning Seed]]</f>
        <v>4</v>
      </c>
      <c r="P996" s="1" t="str">
        <f>IF(Table1[[#This Row],[SeD]]&lt;-2,Table1[[#This Row],[Winning Seed]]&amp; " over " &amp;Table1[[#This Row],[Losing Seed]],"")</f>
        <v/>
      </c>
      <c r="Q996">
        <f>VLOOKUP(Table1[[#This Row],[Losing Seed]],'Seed History'!$N$4:$O$19,2)</f>
        <v>1.0625</v>
      </c>
      <c r="R996" s="1">
        <f>IF(Table1[[#This Row],[Round]]="PI",0,Table1[[#This Row],[Round]]-1)</f>
        <v>2</v>
      </c>
      <c r="S996">
        <f>Table1[[#This Row],[LAW]]-Table1[[#This Row],[LEW]]</f>
        <v>0.9375</v>
      </c>
    </row>
    <row r="997" spans="1:19" x14ac:dyDescent="0.25">
      <c r="A997" s="66">
        <v>36608</v>
      </c>
      <c r="B997" s="51">
        <f>YEAR(Table1[[#This Row],[Date]])</f>
        <v>2000</v>
      </c>
      <c r="C997" s="1">
        <v>3</v>
      </c>
      <c r="D997" t="s">
        <v>38</v>
      </c>
      <c r="E997" s="1">
        <v>6</v>
      </c>
      <c r="F997" t="s">
        <v>29</v>
      </c>
      <c r="G997" t="str">
        <f>VLOOKUP(Table1[[#This Row],[Winner]],Ranking!C:D,2,FALSE)</f>
        <v>B10</v>
      </c>
      <c r="H997" s="1">
        <v>75</v>
      </c>
      <c r="I997" s="1">
        <v>10</v>
      </c>
      <c r="J997" t="s">
        <v>71</v>
      </c>
      <c r="K997" t="str">
        <f>VLOOKUP(Table1[[#This Row],[Loser]],Ranking!C:D,2,FALSE)</f>
        <v>WCC</v>
      </c>
      <c r="L997" s="1">
        <v>66</v>
      </c>
      <c r="N997" s="1">
        <f>Table1[[#This Row],[Winning Score]]-Table1[[#This Row],[Losing Score]]</f>
        <v>9</v>
      </c>
      <c r="O997" s="1">
        <f>Table1[[#This Row],[Losing Seed]]-Table1[[#This Row],[Winning Seed]]</f>
        <v>4</v>
      </c>
      <c r="P997" s="1" t="str">
        <f>IF(Table1[[#This Row],[SeD]]&lt;-2,Table1[[#This Row],[Winning Seed]]&amp; " over " &amp;Table1[[#This Row],[Losing Seed]],"")</f>
        <v/>
      </c>
      <c r="Q997">
        <f>VLOOKUP(Table1[[#This Row],[Losing Seed]],'Seed History'!$N$4:$O$19,2)</f>
        <v>0.61805555555555558</v>
      </c>
      <c r="R997" s="1">
        <f>IF(Table1[[#This Row],[Round]]="PI",0,Table1[[#This Row],[Round]]-1)</f>
        <v>2</v>
      </c>
      <c r="S997">
        <f>Table1[[#This Row],[LAW]]-Table1[[#This Row],[LEW]]</f>
        <v>1.3819444444444444</v>
      </c>
    </row>
    <row r="998" spans="1:19" x14ac:dyDescent="0.25">
      <c r="A998" s="66">
        <v>36608</v>
      </c>
      <c r="B998" s="51">
        <f>YEAR(Table1[[#This Row],[Date]])</f>
        <v>2000</v>
      </c>
      <c r="C998" s="1">
        <v>3</v>
      </c>
      <c r="D998" t="s">
        <v>38</v>
      </c>
      <c r="E998" s="1">
        <v>8</v>
      </c>
      <c r="F998" t="s">
        <v>39</v>
      </c>
      <c r="G998" t="str">
        <f>VLOOKUP(Table1[[#This Row],[Winner]],Ranking!C:D,2,FALSE)</f>
        <v>B10</v>
      </c>
      <c r="H998" s="1">
        <v>61</v>
      </c>
      <c r="I998" s="1">
        <v>4</v>
      </c>
      <c r="J998" t="s">
        <v>52</v>
      </c>
      <c r="K998" t="str">
        <f>VLOOKUP(Table1[[#This Row],[Loser]],Ranking!C:D,2,FALSE)</f>
        <v>SEC</v>
      </c>
      <c r="L998" s="1">
        <v>48</v>
      </c>
      <c r="N998" s="1">
        <f>Table1[[#This Row],[Winning Score]]-Table1[[#This Row],[Losing Score]]</f>
        <v>13</v>
      </c>
      <c r="O998" s="1">
        <f>Table1[[#This Row],[Losing Seed]]-Table1[[#This Row],[Winning Seed]]</f>
        <v>-4</v>
      </c>
      <c r="P998" s="1" t="str">
        <f>IF(Table1[[#This Row],[SeD]]&lt;-2,Table1[[#This Row],[Winning Seed]]&amp; " over " &amp;Table1[[#This Row],[Losing Seed]],"")</f>
        <v>8 over 4</v>
      </c>
      <c r="Q998">
        <f>VLOOKUP(Table1[[#This Row],[Losing Seed]],'Seed History'!$N$4:$O$19,2)</f>
        <v>1.5208333333333333</v>
      </c>
      <c r="R998" s="1">
        <f>IF(Table1[[#This Row],[Round]]="PI",0,Table1[[#This Row],[Round]]-1)</f>
        <v>2</v>
      </c>
      <c r="S998">
        <f>Table1[[#This Row],[LAW]]-Table1[[#This Row],[LEW]]</f>
        <v>0.47916666666666674</v>
      </c>
    </row>
    <row r="999" spans="1:19" x14ac:dyDescent="0.25">
      <c r="A999" s="66">
        <v>36609</v>
      </c>
      <c r="B999" s="51">
        <f>YEAR(Table1[[#This Row],[Date]])</f>
        <v>2000</v>
      </c>
      <c r="C999" s="1">
        <v>3</v>
      </c>
      <c r="D999" t="s">
        <v>49</v>
      </c>
      <c r="E999" s="1">
        <v>3</v>
      </c>
      <c r="F999" t="s">
        <v>316</v>
      </c>
      <c r="G999" t="str">
        <f>VLOOKUP(Table1[[#This Row],[Winner]],Ranking!C:D,2,FALSE)</f>
        <v>B12</v>
      </c>
      <c r="H999" s="1">
        <v>68</v>
      </c>
      <c r="I999" s="1">
        <v>10</v>
      </c>
      <c r="J999" t="s">
        <v>87</v>
      </c>
      <c r="K999" t="str">
        <f>VLOOKUP(Table1[[#This Row],[Loser]],Ranking!C:D,2,FALSE)</f>
        <v>BE</v>
      </c>
      <c r="L999" s="1">
        <v>66</v>
      </c>
      <c r="N999" s="1">
        <f>Table1[[#This Row],[Winning Score]]-Table1[[#This Row],[Losing Score]]</f>
        <v>2</v>
      </c>
      <c r="O999" s="1">
        <f>Table1[[#This Row],[Losing Seed]]-Table1[[#This Row],[Winning Seed]]</f>
        <v>7</v>
      </c>
      <c r="P999" s="1" t="str">
        <f>IF(Table1[[#This Row],[SeD]]&lt;-2,Table1[[#This Row],[Winning Seed]]&amp; " over " &amp;Table1[[#This Row],[Losing Seed]],"")</f>
        <v/>
      </c>
      <c r="Q999">
        <f>VLOOKUP(Table1[[#This Row],[Losing Seed]],'Seed History'!$N$4:$O$19,2)</f>
        <v>0.61805555555555558</v>
      </c>
      <c r="R999" s="1">
        <f>IF(Table1[[#This Row],[Round]]="PI",0,Table1[[#This Row],[Round]]-1)</f>
        <v>2</v>
      </c>
      <c r="S999">
        <f>Table1[[#This Row],[LAW]]-Table1[[#This Row],[LEW]]</f>
        <v>1.3819444444444444</v>
      </c>
    </row>
    <row r="1000" spans="1:19" x14ac:dyDescent="0.25">
      <c r="A1000" s="66">
        <v>36609</v>
      </c>
      <c r="B1000" s="51">
        <f>YEAR(Table1[[#This Row],[Date]])</f>
        <v>2000</v>
      </c>
      <c r="C1000" s="1">
        <v>3</v>
      </c>
      <c r="D1000" t="s">
        <v>49</v>
      </c>
      <c r="E1000" s="1">
        <v>5</v>
      </c>
      <c r="F1000" t="s">
        <v>81</v>
      </c>
      <c r="G1000" t="str">
        <f>VLOOKUP(Table1[[#This Row],[Winner]],Ranking!C:D,2,FALSE)</f>
        <v>SEC</v>
      </c>
      <c r="H1000" s="1">
        <v>87</v>
      </c>
      <c r="I1000" s="1">
        <v>1</v>
      </c>
      <c r="J1000" t="s">
        <v>64</v>
      </c>
      <c r="K1000" t="str">
        <f>VLOOKUP(Table1[[#This Row],[Loser]],Ranking!C:D,2,FALSE)</f>
        <v>ACC</v>
      </c>
      <c r="L1000" s="1">
        <v>78</v>
      </c>
      <c r="N1000" s="1">
        <f>Table1[[#This Row],[Winning Score]]-Table1[[#This Row],[Losing Score]]</f>
        <v>9</v>
      </c>
      <c r="O1000" s="1">
        <f>Table1[[#This Row],[Losing Seed]]-Table1[[#This Row],[Winning Seed]]</f>
        <v>-4</v>
      </c>
      <c r="P1000" s="1" t="str">
        <f>IF(Table1[[#This Row],[SeD]]&lt;-2,Table1[[#This Row],[Winning Seed]]&amp; " over " &amp;Table1[[#This Row],[Losing Seed]],"")</f>
        <v>5 over 1</v>
      </c>
      <c r="Q1000">
        <f>VLOOKUP(Table1[[#This Row],[Losing Seed]],'Seed History'!$N$4:$O$19,2)</f>
        <v>3.3263888888888888</v>
      </c>
      <c r="R1000" s="1">
        <f>IF(Table1[[#This Row],[Round]]="PI",0,Table1[[#This Row],[Round]]-1)</f>
        <v>2</v>
      </c>
      <c r="S1000">
        <f>Table1[[#This Row],[LAW]]-Table1[[#This Row],[LEW]]</f>
        <v>-1.3263888888888888</v>
      </c>
    </row>
    <row r="1001" spans="1:19" x14ac:dyDescent="0.25">
      <c r="A1001" s="66">
        <v>36609</v>
      </c>
      <c r="B1001" s="51">
        <f>YEAR(Table1[[#This Row],[Date]])</f>
        <v>2000</v>
      </c>
      <c r="C1001" s="1">
        <v>3</v>
      </c>
      <c r="D1001" t="s">
        <v>63</v>
      </c>
      <c r="E1001" s="1">
        <v>8</v>
      </c>
      <c r="F1001" t="s">
        <v>298</v>
      </c>
      <c r="G1001" t="str">
        <f>VLOOKUP(Table1[[#This Row],[Winner]],Ranking!C:D,2,FALSE)</f>
        <v>ACC</v>
      </c>
      <c r="H1001" s="1">
        <v>74</v>
      </c>
      <c r="I1001" s="1">
        <v>4</v>
      </c>
      <c r="J1001" t="s">
        <v>374</v>
      </c>
      <c r="K1001" t="str">
        <f>VLOOKUP(Table1[[#This Row],[Loser]],Ranking!C:D,2,FALSE)</f>
        <v>SEC</v>
      </c>
      <c r="L1001" s="1">
        <v>69</v>
      </c>
      <c r="N1001" s="1">
        <f>Table1[[#This Row],[Winning Score]]-Table1[[#This Row],[Losing Score]]</f>
        <v>5</v>
      </c>
      <c r="O1001" s="1">
        <f>Table1[[#This Row],[Losing Seed]]-Table1[[#This Row],[Winning Seed]]</f>
        <v>-4</v>
      </c>
      <c r="P1001" s="1" t="str">
        <f>IF(Table1[[#This Row],[SeD]]&lt;-2,Table1[[#This Row],[Winning Seed]]&amp; " over " &amp;Table1[[#This Row],[Losing Seed]],"")</f>
        <v>8 over 4</v>
      </c>
      <c r="Q1001">
        <f>VLOOKUP(Table1[[#This Row],[Losing Seed]],'Seed History'!$N$4:$O$19,2)</f>
        <v>1.5208333333333333</v>
      </c>
      <c r="R1001" s="1">
        <f>IF(Table1[[#This Row],[Round]]="PI",0,Table1[[#This Row],[Round]]-1)</f>
        <v>2</v>
      </c>
      <c r="S1001">
        <f>Table1[[#This Row],[LAW]]-Table1[[#This Row],[LEW]]</f>
        <v>0.47916666666666674</v>
      </c>
    </row>
    <row r="1002" spans="1:19" x14ac:dyDescent="0.25">
      <c r="A1002" s="66">
        <v>36609</v>
      </c>
      <c r="B1002" s="51">
        <f>YEAR(Table1[[#This Row],[Date]])</f>
        <v>2000</v>
      </c>
      <c r="C1002" s="1">
        <v>3</v>
      </c>
      <c r="D1002" t="s">
        <v>63</v>
      </c>
      <c r="E1002" s="1">
        <v>7</v>
      </c>
      <c r="F1002" t="s">
        <v>94</v>
      </c>
      <c r="G1002" t="str">
        <f>VLOOKUP(Table1[[#This Row],[Winner]],Ranking!C:D,2,FALSE)</f>
        <v>Amer</v>
      </c>
      <c r="H1002" s="1">
        <v>80</v>
      </c>
      <c r="I1002" s="1">
        <v>6</v>
      </c>
      <c r="J1002" t="s">
        <v>269</v>
      </c>
      <c r="K1002" t="str">
        <f>VLOOKUP(Table1[[#This Row],[Loser]],Ranking!C:D,2,FALSE)</f>
        <v>ACC</v>
      </c>
      <c r="L1002" s="1">
        <v>71</v>
      </c>
      <c r="N1002" s="1">
        <f>Table1[[#This Row],[Winning Score]]-Table1[[#This Row],[Losing Score]]</f>
        <v>9</v>
      </c>
      <c r="O1002" s="1">
        <f>Table1[[#This Row],[Losing Seed]]-Table1[[#This Row],[Winning Seed]]</f>
        <v>-1</v>
      </c>
      <c r="P1002" s="1" t="str">
        <f>IF(Table1[[#This Row],[SeD]]&lt;-2,Table1[[#This Row],[Winning Seed]]&amp; " over " &amp;Table1[[#This Row],[Losing Seed]],"")</f>
        <v/>
      </c>
      <c r="Q1002">
        <f>VLOOKUP(Table1[[#This Row],[Losing Seed]],'Seed History'!$N$4:$O$19,2)</f>
        <v>1.0625</v>
      </c>
      <c r="R1002" s="1">
        <f>IF(Table1[[#This Row],[Round]]="PI",0,Table1[[#This Row],[Round]]-1)</f>
        <v>2</v>
      </c>
      <c r="S1002">
        <f>Table1[[#This Row],[LAW]]-Table1[[#This Row],[LEW]]</f>
        <v>0.9375</v>
      </c>
    </row>
    <row r="1003" spans="1:19" x14ac:dyDescent="0.25">
      <c r="A1003" s="66">
        <v>36610</v>
      </c>
      <c r="B1003" s="51">
        <f>YEAR(Table1[[#This Row],[Date]])</f>
        <v>2000</v>
      </c>
      <c r="C1003" s="1">
        <v>4</v>
      </c>
      <c r="D1003" t="s">
        <v>439</v>
      </c>
      <c r="E1003" s="1">
        <v>1</v>
      </c>
      <c r="F1003" t="s">
        <v>271</v>
      </c>
      <c r="G1003" t="str">
        <f>VLOOKUP(Table1[[#This Row],[Winner]],Ranking!C:D,2,FALSE)</f>
        <v>B10</v>
      </c>
      <c r="H1003" s="1">
        <v>75</v>
      </c>
      <c r="I1003" s="1">
        <v>2</v>
      </c>
      <c r="J1003" t="s">
        <v>237</v>
      </c>
      <c r="K1003" t="str">
        <f>VLOOKUP(Table1[[#This Row],[Loser]],Ranking!C:D,2,FALSE)</f>
        <v>B12</v>
      </c>
      <c r="L1003" s="1">
        <v>64</v>
      </c>
      <c r="N1003" s="1">
        <f>Table1[[#This Row],[Winning Score]]-Table1[[#This Row],[Losing Score]]</f>
        <v>11</v>
      </c>
      <c r="O1003" s="1">
        <f>Table1[[#This Row],[Losing Seed]]-Table1[[#This Row],[Winning Seed]]</f>
        <v>1</v>
      </c>
      <c r="P1003" s="1" t="str">
        <f>IF(Table1[[#This Row],[SeD]]&lt;-2,Table1[[#This Row],[Winning Seed]]&amp; " over " &amp;Table1[[#This Row],[Losing Seed]],"")</f>
        <v/>
      </c>
      <c r="Q1003">
        <f>VLOOKUP(Table1[[#This Row],[Losing Seed]],'Seed History'!$N$4:$O$19,2)</f>
        <v>2.3472222222222223</v>
      </c>
      <c r="R1003" s="1">
        <f>IF(Table1[[#This Row],[Round]]="PI",0,Table1[[#This Row],[Round]]-1)</f>
        <v>3</v>
      </c>
      <c r="S1003">
        <f>Table1[[#This Row],[LAW]]-Table1[[#This Row],[LEW]]</f>
        <v>0.65277777777777768</v>
      </c>
    </row>
    <row r="1004" spans="1:19" x14ac:dyDescent="0.25">
      <c r="A1004" s="66">
        <v>36610</v>
      </c>
      <c r="B1004" s="51">
        <f>YEAR(Table1[[#This Row],[Date]])</f>
        <v>2000</v>
      </c>
      <c r="C1004" s="1">
        <v>4</v>
      </c>
      <c r="D1004" t="s">
        <v>38</v>
      </c>
      <c r="E1004" s="1">
        <v>8</v>
      </c>
      <c r="F1004" t="s">
        <v>39</v>
      </c>
      <c r="G1004" t="str">
        <f>VLOOKUP(Table1[[#This Row],[Winner]],Ranking!C:D,2,FALSE)</f>
        <v>B10</v>
      </c>
      <c r="H1004" s="1">
        <v>64</v>
      </c>
      <c r="I1004" s="1">
        <v>6</v>
      </c>
      <c r="J1004" t="s">
        <v>29</v>
      </c>
      <c r="K1004" t="str">
        <f>VLOOKUP(Table1[[#This Row],[Loser]],Ranking!C:D,2,FALSE)</f>
        <v>B10</v>
      </c>
      <c r="L1004" s="1">
        <v>60</v>
      </c>
      <c r="N1004" s="1">
        <f>Table1[[#This Row],[Winning Score]]-Table1[[#This Row],[Losing Score]]</f>
        <v>4</v>
      </c>
      <c r="O1004" s="1">
        <f>Table1[[#This Row],[Losing Seed]]-Table1[[#This Row],[Winning Seed]]</f>
        <v>-2</v>
      </c>
      <c r="P1004" s="1" t="str">
        <f>IF(Table1[[#This Row],[SeD]]&lt;-2,Table1[[#This Row],[Winning Seed]]&amp; " over " &amp;Table1[[#This Row],[Losing Seed]],"")</f>
        <v/>
      </c>
      <c r="Q1004">
        <f>VLOOKUP(Table1[[#This Row],[Losing Seed]],'Seed History'!$N$4:$O$19,2)</f>
        <v>1.0625</v>
      </c>
      <c r="R1004" s="1">
        <f>IF(Table1[[#This Row],[Round]]="PI",0,Table1[[#This Row],[Round]]-1)</f>
        <v>3</v>
      </c>
      <c r="S1004">
        <f>Table1[[#This Row],[LAW]]-Table1[[#This Row],[LEW]]</f>
        <v>1.9375</v>
      </c>
    </row>
    <row r="1005" spans="1:19" x14ac:dyDescent="0.25">
      <c r="A1005" s="66">
        <v>36611</v>
      </c>
      <c r="B1005" s="51">
        <f>YEAR(Table1[[#This Row],[Date]])</f>
        <v>2000</v>
      </c>
      <c r="C1005" s="1">
        <v>4</v>
      </c>
      <c r="D1005" t="s">
        <v>49</v>
      </c>
      <c r="E1005" s="1">
        <v>5</v>
      </c>
      <c r="F1005" t="s">
        <v>81</v>
      </c>
      <c r="G1005" t="str">
        <f>VLOOKUP(Table1[[#This Row],[Winner]],Ranking!C:D,2,FALSE)</f>
        <v>SEC</v>
      </c>
      <c r="H1005" s="1">
        <v>77</v>
      </c>
      <c r="I1005" s="1">
        <v>3</v>
      </c>
      <c r="J1005" t="s">
        <v>316</v>
      </c>
      <c r="K1005" t="str">
        <f>VLOOKUP(Table1[[#This Row],[Loser]],Ranking!C:D,2,FALSE)</f>
        <v>B12</v>
      </c>
      <c r="L1005" s="1">
        <v>65</v>
      </c>
      <c r="N1005" s="1">
        <f>Table1[[#This Row],[Winning Score]]-Table1[[#This Row],[Losing Score]]</f>
        <v>12</v>
      </c>
      <c r="O1005" s="1">
        <f>Table1[[#This Row],[Losing Seed]]-Table1[[#This Row],[Winning Seed]]</f>
        <v>-2</v>
      </c>
      <c r="P1005" s="1" t="str">
        <f>IF(Table1[[#This Row],[SeD]]&lt;-2,Table1[[#This Row],[Winning Seed]]&amp; " over " &amp;Table1[[#This Row],[Losing Seed]],"")</f>
        <v/>
      </c>
      <c r="Q1005">
        <f>VLOOKUP(Table1[[#This Row],[Losing Seed]],'Seed History'!$N$4:$O$19,2)</f>
        <v>1.8472222222222223</v>
      </c>
      <c r="R1005" s="1">
        <f>IF(Table1[[#This Row],[Round]]="PI",0,Table1[[#This Row],[Round]]-1)</f>
        <v>3</v>
      </c>
      <c r="S1005">
        <f>Table1[[#This Row],[LAW]]-Table1[[#This Row],[LEW]]</f>
        <v>1.1527777777777777</v>
      </c>
    </row>
    <row r="1006" spans="1:19" x14ac:dyDescent="0.25">
      <c r="A1006" s="66">
        <v>36611</v>
      </c>
      <c r="B1006" s="51">
        <f>YEAR(Table1[[#This Row],[Date]])</f>
        <v>2000</v>
      </c>
      <c r="C1006" s="1">
        <v>4</v>
      </c>
      <c r="D1006" t="s">
        <v>63</v>
      </c>
      <c r="E1006" s="1">
        <v>8</v>
      </c>
      <c r="F1006" t="s">
        <v>298</v>
      </c>
      <c r="G1006" t="str">
        <f>VLOOKUP(Table1[[#This Row],[Winner]],Ranking!C:D,2,FALSE)</f>
        <v>ACC</v>
      </c>
      <c r="H1006" s="1">
        <v>59</v>
      </c>
      <c r="I1006" s="1">
        <v>7</v>
      </c>
      <c r="J1006" t="s">
        <v>94</v>
      </c>
      <c r="K1006" t="str">
        <f>VLOOKUP(Table1[[#This Row],[Loser]],Ranking!C:D,2,FALSE)</f>
        <v>Amer</v>
      </c>
      <c r="L1006" s="1">
        <v>55</v>
      </c>
      <c r="N1006" s="1">
        <f>Table1[[#This Row],[Winning Score]]-Table1[[#This Row],[Losing Score]]</f>
        <v>4</v>
      </c>
      <c r="O1006" s="1">
        <f>Table1[[#This Row],[Losing Seed]]-Table1[[#This Row],[Winning Seed]]</f>
        <v>-1</v>
      </c>
      <c r="P1006" s="1" t="str">
        <f>IF(Table1[[#This Row],[SeD]]&lt;-2,Table1[[#This Row],[Winning Seed]]&amp; " over " &amp;Table1[[#This Row],[Losing Seed]],"")</f>
        <v/>
      </c>
      <c r="Q1006">
        <f>VLOOKUP(Table1[[#This Row],[Losing Seed]],'Seed History'!$N$4:$O$19,2)</f>
        <v>0.90277777777777779</v>
      </c>
      <c r="R1006" s="1">
        <f>IF(Table1[[#This Row],[Round]]="PI",0,Table1[[#This Row],[Round]]-1)</f>
        <v>3</v>
      </c>
      <c r="S1006">
        <f>Table1[[#This Row],[LAW]]-Table1[[#This Row],[LEW]]</f>
        <v>2.0972222222222223</v>
      </c>
    </row>
    <row r="1007" spans="1:19" x14ac:dyDescent="0.25">
      <c r="A1007" s="66">
        <v>36617</v>
      </c>
      <c r="B1007" s="51">
        <f>YEAR(Table1[[#This Row],[Date]])</f>
        <v>2000</v>
      </c>
      <c r="C1007" s="1">
        <v>5</v>
      </c>
      <c r="D1007" t="s">
        <v>467</v>
      </c>
      <c r="E1007" s="1">
        <v>1</v>
      </c>
      <c r="F1007" t="s">
        <v>271</v>
      </c>
      <c r="G1007" t="str">
        <f>VLOOKUP(Table1[[#This Row],[Winner]],Ranking!C:D,2,FALSE)</f>
        <v>B10</v>
      </c>
      <c r="H1007" s="1">
        <v>53</v>
      </c>
      <c r="I1007" s="1">
        <v>8</v>
      </c>
      <c r="J1007" t="s">
        <v>39</v>
      </c>
      <c r="K1007" t="str">
        <f>VLOOKUP(Table1[[#This Row],[Loser]],Ranking!C:D,2,FALSE)</f>
        <v>B10</v>
      </c>
      <c r="L1007" s="1">
        <v>41</v>
      </c>
      <c r="N1007" s="1">
        <f>Table1[[#This Row],[Winning Score]]-Table1[[#This Row],[Losing Score]]</f>
        <v>12</v>
      </c>
      <c r="O1007" s="1">
        <f>Table1[[#This Row],[Losing Seed]]-Table1[[#This Row],[Winning Seed]]</f>
        <v>7</v>
      </c>
      <c r="P1007" s="1" t="str">
        <f>IF(Table1[[#This Row],[SeD]]&lt;-2,Table1[[#This Row],[Winning Seed]]&amp; " over " &amp;Table1[[#This Row],[Losing Seed]],"")</f>
        <v/>
      </c>
      <c r="Q1007">
        <f>VLOOKUP(Table1[[#This Row],[Losing Seed]],'Seed History'!$N$4:$O$19,2)</f>
        <v>0.70833333333333337</v>
      </c>
      <c r="R1007" s="1">
        <f>IF(Table1[[#This Row],[Round]]="PI",0,Table1[[#This Row],[Round]]-1)</f>
        <v>4</v>
      </c>
      <c r="S1007">
        <f>Table1[[#This Row],[LAW]]-Table1[[#This Row],[LEW]]</f>
        <v>3.2916666666666665</v>
      </c>
    </row>
    <row r="1008" spans="1:19" x14ac:dyDescent="0.25">
      <c r="A1008" s="66">
        <v>36617</v>
      </c>
      <c r="B1008" s="51">
        <f>YEAR(Table1[[#This Row],[Date]])</f>
        <v>2000</v>
      </c>
      <c r="C1008" s="1">
        <v>5</v>
      </c>
      <c r="D1008" t="s">
        <v>467</v>
      </c>
      <c r="E1008" s="1">
        <v>5</v>
      </c>
      <c r="F1008" t="s">
        <v>81</v>
      </c>
      <c r="G1008" t="str">
        <f>VLOOKUP(Table1[[#This Row],[Winner]],Ranking!C:D,2,FALSE)</f>
        <v>SEC</v>
      </c>
      <c r="H1008" s="1">
        <v>71</v>
      </c>
      <c r="I1008" s="1">
        <v>8</v>
      </c>
      <c r="J1008" t="s">
        <v>298</v>
      </c>
      <c r="K1008" t="str">
        <f>VLOOKUP(Table1[[#This Row],[Loser]],Ranking!C:D,2,FALSE)</f>
        <v>ACC</v>
      </c>
      <c r="L1008" s="1">
        <v>59</v>
      </c>
      <c r="N1008" s="1">
        <f>Table1[[#This Row],[Winning Score]]-Table1[[#This Row],[Losing Score]]</f>
        <v>12</v>
      </c>
      <c r="O1008" s="1">
        <f>Table1[[#This Row],[Losing Seed]]-Table1[[#This Row],[Winning Seed]]</f>
        <v>3</v>
      </c>
      <c r="P1008" s="1" t="str">
        <f>IF(Table1[[#This Row],[SeD]]&lt;-2,Table1[[#This Row],[Winning Seed]]&amp; " over " &amp;Table1[[#This Row],[Losing Seed]],"")</f>
        <v/>
      </c>
      <c r="Q1008">
        <f>VLOOKUP(Table1[[#This Row],[Losing Seed]],'Seed History'!$N$4:$O$19,2)</f>
        <v>0.70833333333333337</v>
      </c>
      <c r="R1008" s="1">
        <f>IF(Table1[[#This Row],[Round]]="PI",0,Table1[[#This Row],[Round]]-1)</f>
        <v>4</v>
      </c>
      <c r="S1008">
        <f>Table1[[#This Row],[LAW]]-Table1[[#This Row],[LEW]]</f>
        <v>3.2916666666666665</v>
      </c>
    </row>
    <row r="1009" spans="1:19" x14ac:dyDescent="0.25">
      <c r="A1009" s="66">
        <v>36619</v>
      </c>
      <c r="B1009" s="51">
        <f>YEAR(Table1[[#This Row],[Date]])</f>
        <v>2000</v>
      </c>
      <c r="C1009" s="1">
        <v>6</v>
      </c>
      <c r="D1009" t="s">
        <v>468</v>
      </c>
      <c r="E1009" s="1">
        <v>1</v>
      </c>
      <c r="F1009" t="s">
        <v>271</v>
      </c>
      <c r="G1009" t="str">
        <f>VLOOKUP(Table1[[#This Row],[Winner]],Ranking!C:D,2,FALSE)</f>
        <v>B10</v>
      </c>
      <c r="H1009" s="1">
        <v>89</v>
      </c>
      <c r="I1009" s="1">
        <v>5</v>
      </c>
      <c r="J1009" t="s">
        <v>81</v>
      </c>
      <c r="K1009" t="str">
        <f>VLOOKUP(Table1[[#This Row],[Loser]],Ranking!C:D,2,FALSE)</f>
        <v>SEC</v>
      </c>
      <c r="L1009" s="1">
        <v>76</v>
      </c>
      <c r="N1009" s="1">
        <f>Table1[[#This Row],[Winning Score]]-Table1[[#This Row],[Losing Score]]</f>
        <v>13</v>
      </c>
      <c r="O1009" s="1">
        <f>Table1[[#This Row],[Losing Seed]]-Table1[[#This Row],[Winning Seed]]</f>
        <v>4</v>
      </c>
      <c r="P1009" s="1" t="str">
        <f>IF(Table1[[#This Row],[SeD]]&lt;-2,Table1[[#This Row],[Winning Seed]]&amp; " over " &amp;Table1[[#This Row],[Losing Seed]],"")</f>
        <v/>
      </c>
      <c r="Q1009">
        <f>VLOOKUP(Table1[[#This Row],[Losing Seed]],'Seed History'!$N$4:$O$19,2)</f>
        <v>1.1180555555555556</v>
      </c>
      <c r="R1009" s="1">
        <f>IF(Table1[[#This Row],[Round]]="PI",0,Table1[[#This Row],[Round]]-1)</f>
        <v>5</v>
      </c>
      <c r="S1009">
        <f>Table1[[#This Row],[LAW]]-Table1[[#This Row],[LEW]]</f>
        <v>3.8819444444444446</v>
      </c>
    </row>
    <row r="1010" spans="1:19" x14ac:dyDescent="0.25">
      <c r="A1010" s="66">
        <v>36963</v>
      </c>
      <c r="B1010" s="51">
        <f>YEAR(Table1[[#This Row],[Date]])</f>
        <v>2001</v>
      </c>
      <c r="C1010" s="1" t="s">
        <v>476</v>
      </c>
      <c r="D1010" t="s">
        <v>439</v>
      </c>
      <c r="E1010" s="1">
        <v>16</v>
      </c>
      <c r="F1010" t="s">
        <v>312</v>
      </c>
      <c r="G1010" t="str">
        <f>VLOOKUP(Table1[[#This Row],[Winner]],Ranking!C:D,2,FALSE)</f>
        <v>Slnd</v>
      </c>
      <c r="H1010" s="1">
        <v>71</v>
      </c>
      <c r="I1010" s="1">
        <v>16</v>
      </c>
      <c r="J1010" t="s">
        <v>419</v>
      </c>
      <c r="K1010" t="str">
        <f>VLOOKUP(Table1[[#This Row],[Loser]],Ranking!C:D,2,FALSE)</f>
        <v>BSth</v>
      </c>
      <c r="L1010" s="1">
        <v>67</v>
      </c>
      <c r="N1010" s="1">
        <f>Table1[[#This Row],[Winning Score]]-Table1[[#This Row],[Losing Score]]</f>
        <v>4</v>
      </c>
      <c r="O1010" s="1">
        <f>Table1[[#This Row],[Losing Seed]]-Table1[[#This Row],[Winning Seed]]</f>
        <v>0</v>
      </c>
      <c r="P1010" s="1" t="str">
        <f>IF(Table1[[#This Row],[SeD]]&lt;-2,Table1[[#This Row],[Winning Seed]]&amp; " over " &amp;Table1[[#This Row],[Losing Seed]],"")</f>
        <v/>
      </c>
      <c r="Q1010">
        <f>VLOOKUP(Table1[[#This Row],[Losing Seed]],'Seed History'!$N$4:$O$19,2)</f>
        <v>6.9444444444444441E-3</v>
      </c>
      <c r="R1010" s="1">
        <f>IF(Table1[[#This Row],[Round]]="PI",0,Table1[[#This Row],[Round]]-1)</f>
        <v>0</v>
      </c>
      <c r="S1010">
        <f>Table1[[#This Row],[LAW]]-Table1[[#This Row],[LEW]]</f>
        <v>-6.9444444444444441E-3</v>
      </c>
    </row>
    <row r="1011" spans="1:19" x14ac:dyDescent="0.25">
      <c r="A1011" s="66">
        <v>36965</v>
      </c>
      <c r="B1011" s="51">
        <f>YEAR(Table1[[#This Row],[Date]])</f>
        <v>2001</v>
      </c>
      <c r="C1011" s="1">
        <v>1</v>
      </c>
      <c r="D1011" t="s">
        <v>38</v>
      </c>
      <c r="E1011" s="1">
        <v>15</v>
      </c>
      <c r="F1011" t="s">
        <v>27</v>
      </c>
      <c r="G1011" t="str">
        <f>VLOOKUP(Table1[[#This Row],[Winner]],Ranking!C:D,2,FALSE)</f>
        <v>BSth</v>
      </c>
      <c r="H1011" s="1">
        <v>58</v>
      </c>
      <c r="I1011" s="1">
        <v>2</v>
      </c>
      <c r="J1011" t="s">
        <v>237</v>
      </c>
      <c r="K1011" t="str">
        <f>VLOOKUP(Table1[[#This Row],[Loser]],Ranking!C:D,2,FALSE)</f>
        <v>B12</v>
      </c>
      <c r="L1011" s="1">
        <v>57</v>
      </c>
      <c r="N1011" s="1">
        <f>Table1[[#This Row],[Winning Score]]-Table1[[#This Row],[Losing Score]]</f>
        <v>1</v>
      </c>
      <c r="O1011" s="1">
        <f>Table1[[#This Row],[Losing Seed]]-Table1[[#This Row],[Winning Seed]]</f>
        <v>-13</v>
      </c>
      <c r="P1011" s="1" t="str">
        <f>IF(Table1[[#This Row],[SeD]]&lt;-2,Table1[[#This Row],[Winning Seed]]&amp; " over " &amp;Table1[[#This Row],[Losing Seed]],"")</f>
        <v>15 over 2</v>
      </c>
      <c r="Q1011">
        <f>VLOOKUP(Table1[[#This Row],[Losing Seed]],'Seed History'!$N$4:$O$19,2)</f>
        <v>2.3472222222222223</v>
      </c>
      <c r="R1011" s="1">
        <f>IF(Table1[[#This Row],[Round]]="PI",0,Table1[[#This Row],[Round]]-1)</f>
        <v>0</v>
      </c>
      <c r="S1011">
        <f>Table1[[#This Row],[LAW]]-Table1[[#This Row],[LEW]]</f>
        <v>-2.3472222222222223</v>
      </c>
    </row>
    <row r="1012" spans="1:19" x14ac:dyDescent="0.25">
      <c r="A1012" s="66">
        <v>36965</v>
      </c>
      <c r="B1012" s="51">
        <f>YEAR(Table1[[#This Row],[Date]])</f>
        <v>2001</v>
      </c>
      <c r="C1012" s="1">
        <v>1</v>
      </c>
      <c r="D1012" t="s">
        <v>38</v>
      </c>
      <c r="E1012" s="1">
        <v>13</v>
      </c>
      <c r="F1012" t="s">
        <v>245</v>
      </c>
      <c r="G1012" t="str">
        <f>VLOOKUP(Table1[[#This Row],[Winner]],Ranking!C:D,2,FALSE)</f>
        <v>MAC</v>
      </c>
      <c r="H1012" s="1">
        <v>77</v>
      </c>
      <c r="I1012" s="1">
        <v>4</v>
      </c>
      <c r="J1012" t="s">
        <v>36</v>
      </c>
      <c r="K1012" t="str">
        <f>VLOOKUP(Table1[[#This Row],[Loser]],Ranking!C:D,2,FALSE)</f>
        <v>B10</v>
      </c>
      <c r="L1012" s="1">
        <v>73</v>
      </c>
      <c r="N1012" s="1">
        <f>Table1[[#This Row],[Winning Score]]-Table1[[#This Row],[Losing Score]]</f>
        <v>4</v>
      </c>
      <c r="O1012" s="1">
        <f>Table1[[#This Row],[Losing Seed]]-Table1[[#This Row],[Winning Seed]]</f>
        <v>-9</v>
      </c>
      <c r="P1012" s="1" t="str">
        <f>IF(Table1[[#This Row],[SeD]]&lt;-2,Table1[[#This Row],[Winning Seed]]&amp; " over " &amp;Table1[[#This Row],[Losing Seed]],"")</f>
        <v>13 over 4</v>
      </c>
      <c r="Q1012">
        <f>VLOOKUP(Table1[[#This Row],[Losing Seed]],'Seed History'!$N$4:$O$19,2)</f>
        <v>1.5208333333333333</v>
      </c>
      <c r="R1012" s="1">
        <f>IF(Table1[[#This Row],[Round]]="PI",0,Table1[[#This Row],[Round]]-1)</f>
        <v>0</v>
      </c>
      <c r="S1012">
        <f>Table1[[#This Row],[LAW]]-Table1[[#This Row],[LEW]]</f>
        <v>-1.5208333333333333</v>
      </c>
    </row>
    <row r="1013" spans="1:19" x14ac:dyDescent="0.25">
      <c r="A1013" s="66">
        <v>36965</v>
      </c>
      <c r="B1013" s="51">
        <f>YEAR(Table1[[#This Row],[Date]])</f>
        <v>2001</v>
      </c>
      <c r="C1013" s="1">
        <v>1</v>
      </c>
      <c r="D1013" t="s">
        <v>49</v>
      </c>
      <c r="E1013" s="1">
        <v>12</v>
      </c>
      <c r="F1013" t="s">
        <v>400</v>
      </c>
      <c r="G1013" t="str">
        <f>VLOOKUP(Table1[[#This Row],[Winner]],Ranking!C:D,2,FALSE)</f>
        <v>MWC</v>
      </c>
      <c r="H1013" s="1">
        <v>77</v>
      </c>
      <c r="I1013" s="1">
        <v>5</v>
      </c>
      <c r="J1013" t="s">
        <v>315</v>
      </c>
      <c r="K1013" t="str">
        <f>VLOOKUP(Table1[[#This Row],[Loser]],Ranking!C:D,2,FALSE)</f>
        <v>B10</v>
      </c>
      <c r="L1013" s="1">
        <v>68</v>
      </c>
      <c r="M1013" s="1" t="s">
        <v>462</v>
      </c>
      <c r="N1013" s="1">
        <f>Table1[[#This Row],[Winning Score]]-Table1[[#This Row],[Losing Score]]</f>
        <v>9</v>
      </c>
      <c r="O1013" s="1">
        <f>Table1[[#This Row],[Losing Seed]]-Table1[[#This Row],[Winning Seed]]</f>
        <v>-7</v>
      </c>
      <c r="P1013" s="1" t="str">
        <f>IF(Table1[[#This Row],[SeD]]&lt;-2,Table1[[#This Row],[Winning Seed]]&amp; " over " &amp;Table1[[#This Row],[Losing Seed]],"")</f>
        <v>12 over 5</v>
      </c>
      <c r="Q1013">
        <f>VLOOKUP(Table1[[#This Row],[Losing Seed]],'Seed History'!$N$4:$O$19,2)</f>
        <v>1.1180555555555556</v>
      </c>
      <c r="R1013" s="1">
        <f>IF(Table1[[#This Row],[Round]]="PI",0,Table1[[#This Row],[Round]]-1)</f>
        <v>0</v>
      </c>
      <c r="S1013">
        <f>Table1[[#This Row],[LAW]]-Table1[[#This Row],[LEW]]</f>
        <v>-1.1180555555555556</v>
      </c>
    </row>
    <row r="1014" spans="1:19" x14ac:dyDescent="0.25">
      <c r="A1014" s="66">
        <v>36965</v>
      </c>
      <c r="B1014" s="51">
        <f>YEAR(Table1[[#This Row],[Date]])</f>
        <v>2001</v>
      </c>
      <c r="C1014" s="1">
        <v>1</v>
      </c>
      <c r="D1014" t="s">
        <v>38</v>
      </c>
      <c r="E1014" s="1">
        <v>11</v>
      </c>
      <c r="F1014" t="s">
        <v>215</v>
      </c>
      <c r="G1014" t="str">
        <f>VLOOKUP(Table1[[#This Row],[Winner]],Ranking!C:D,2,FALSE)</f>
        <v>SB</v>
      </c>
      <c r="H1014" s="1">
        <v>50</v>
      </c>
      <c r="I1014" s="1">
        <v>6</v>
      </c>
      <c r="J1014" t="s">
        <v>39</v>
      </c>
      <c r="K1014" t="str">
        <f>VLOOKUP(Table1[[#This Row],[Loser]],Ranking!C:D,2,FALSE)</f>
        <v>B10</v>
      </c>
      <c r="L1014" s="1">
        <v>49</v>
      </c>
      <c r="M1014" s="1" t="s">
        <v>462</v>
      </c>
      <c r="N1014" s="1">
        <f>Table1[[#This Row],[Winning Score]]-Table1[[#This Row],[Losing Score]]</f>
        <v>1</v>
      </c>
      <c r="O1014" s="1">
        <f>Table1[[#This Row],[Losing Seed]]-Table1[[#This Row],[Winning Seed]]</f>
        <v>-5</v>
      </c>
      <c r="P1014" s="1" t="str">
        <f>IF(Table1[[#This Row],[SeD]]&lt;-2,Table1[[#This Row],[Winning Seed]]&amp; " over " &amp;Table1[[#This Row],[Losing Seed]],"")</f>
        <v>11 over 6</v>
      </c>
      <c r="Q1014">
        <f>VLOOKUP(Table1[[#This Row],[Losing Seed]],'Seed History'!$N$4:$O$19,2)</f>
        <v>1.0625</v>
      </c>
      <c r="R1014" s="1">
        <f>IF(Table1[[#This Row],[Round]]="PI",0,Table1[[#This Row],[Round]]-1)</f>
        <v>0</v>
      </c>
      <c r="S1014">
        <f>Table1[[#This Row],[LAW]]-Table1[[#This Row],[LEW]]</f>
        <v>-1.0625</v>
      </c>
    </row>
    <row r="1015" spans="1:19" x14ac:dyDescent="0.25">
      <c r="A1015" s="66">
        <v>36965</v>
      </c>
      <c r="B1015" s="51">
        <f>YEAR(Table1[[#This Row],[Date]])</f>
        <v>2001</v>
      </c>
      <c r="C1015" s="1">
        <v>1</v>
      </c>
      <c r="D1015" t="s">
        <v>49</v>
      </c>
      <c r="E1015" s="1">
        <v>1</v>
      </c>
      <c r="F1015" t="s">
        <v>64</v>
      </c>
      <c r="G1015" t="str">
        <f>VLOOKUP(Table1[[#This Row],[Winner]],Ranking!C:D,2,FALSE)</f>
        <v>ACC</v>
      </c>
      <c r="H1015" s="1">
        <v>95</v>
      </c>
      <c r="I1015" s="1">
        <v>16</v>
      </c>
      <c r="J1015" t="s">
        <v>279</v>
      </c>
      <c r="K1015" t="str">
        <f>VLOOKUP(Table1[[#This Row],[Loser]],Ranking!C:D,2,FALSE)</f>
        <v>MAAC</v>
      </c>
      <c r="L1015" s="1">
        <v>52</v>
      </c>
      <c r="N1015" s="1">
        <f>Table1[[#This Row],[Winning Score]]-Table1[[#This Row],[Losing Score]]</f>
        <v>43</v>
      </c>
      <c r="O1015" s="1">
        <f>Table1[[#This Row],[Losing Seed]]-Table1[[#This Row],[Winning Seed]]</f>
        <v>15</v>
      </c>
      <c r="P1015" s="1" t="str">
        <f>IF(Table1[[#This Row],[SeD]]&lt;-2,Table1[[#This Row],[Winning Seed]]&amp; " over " &amp;Table1[[#This Row],[Losing Seed]],"")</f>
        <v/>
      </c>
      <c r="Q1015">
        <f>VLOOKUP(Table1[[#This Row],[Losing Seed]],'Seed History'!$N$4:$O$19,2)</f>
        <v>6.9444444444444441E-3</v>
      </c>
      <c r="R1015" s="1">
        <f>IF(Table1[[#This Row],[Round]]="PI",0,Table1[[#This Row],[Round]]-1)</f>
        <v>0</v>
      </c>
      <c r="S1015">
        <f>Table1[[#This Row],[LAW]]-Table1[[#This Row],[LEW]]</f>
        <v>-6.9444444444444441E-3</v>
      </c>
    </row>
    <row r="1016" spans="1:19" x14ac:dyDescent="0.25">
      <c r="A1016" s="66">
        <v>36965</v>
      </c>
      <c r="B1016" s="51">
        <f>YEAR(Table1[[#This Row],[Date]])</f>
        <v>2001</v>
      </c>
      <c r="C1016" s="1">
        <v>1</v>
      </c>
      <c r="D1016" t="s">
        <v>49</v>
      </c>
      <c r="E1016" s="1">
        <v>2</v>
      </c>
      <c r="F1016" t="s">
        <v>26</v>
      </c>
      <c r="G1016" t="str">
        <f>VLOOKUP(Table1[[#This Row],[Winner]],Ranking!C:D,2,FALSE)</f>
        <v>SEC</v>
      </c>
      <c r="H1016" s="1">
        <v>72</v>
      </c>
      <c r="I1016" s="1">
        <v>15</v>
      </c>
      <c r="J1016" t="s">
        <v>224</v>
      </c>
      <c r="K1016" t="str">
        <f>VLOOKUP(Table1[[#This Row],[Loser]],Ranking!C:D,2,FALSE)</f>
        <v>Pat</v>
      </c>
      <c r="L1016" s="1">
        <v>68</v>
      </c>
      <c r="N1016" s="1">
        <f>Table1[[#This Row],[Winning Score]]-Table1[[#This Row],[Losing Score]]</f>
        <v>4</v>
      </c>
      <c r="O1016" s="1">
        <f>Table1[[#This Row],[Losing Seed]]-Table1[[#This Row],[Winning Seed]]</f>
        <v>13</v>
      </c>
      <c r="P1016" s="1" t="str">
        <f>IF(Table1[[#This Row],[SeD]]&lt;-2,Table1[[#This Row],[Winning Seed]]&amp; " over " &amp;Table1[[#This Row],[Losing Seed]],"")</f>
        <v/>
      </c>
      <c r="Q1016">
        <f>VLOOKUP(Table1[[#This Row],[Losing Seed]],'Seed History'!$N$4:$O$19,2)</f>
        <v>7.6388888888888895E-2</v>
      </c>
      <c r="R1016" s="1">
        <f>IF(Table1[[#This Row],[Round]]="PI",0,Table1[[#This Row],[Round]]-1)</f>
        <v>0</v>
      </c>
      <c r="S1016">
        <f>Table1[[#This Row],[LAW]]-Table1[[#This Row],[LEW]]</f>
        <v>-7.6388888888888895E-2</v>
      </c>
    </row>
    <row r="1017" spans="1:19" x14ac:dyDescent="0.25">
      <c r="A1017" s="66">
        <v>36965</v>
      </c>
      <c r="B1017" s="51">
        <f>YEAR(Table1[[#This Row],[Date]])</f>
        <v>2001</v>
      </c>
      <c r="C1017" s="1">
        <v>1</v>
      </c>
      <c r="D1017" t="s">
        <v>49</v>
      </c>
      <c r="E1017" s="1">
        <v>3</v>
      </c>
      <c r="F1017" t="s">
        <v>138</v>
      </c>
      <c r="G1017" t="str">
        <f>VLOOKUP(Table1[[#This Row],[Winner]],Ranking!C:D,2,FALSE)</f>
        <v>ACC</v>
      </c>
      <c r="H1017" s="1">
        <v>68</v>
      </c>
      <c r="I1017" s="1">
        <v>14</v>
      </c>
      <c r="J1017" t="s">
        <v>364</v>
      </c>
      <c r="K1017" t="str">
        <f>VLOOKUP(Table1[[#This Row],[Loser]],Ranking!C:D,2,FALSE)</f>
        <v>BSky</v>
      </c>
      <c r="L1017" s="1">
        <v>65</v>
      </c>
      <c r="N1017" s="1">
        <f>Table1[[#This Row],[Winning Score]]-Table1[[#This Row],[Losing Score]]</f>
        <v>3</v>
      </c>
      <c r="O1017" s="1">
        <f>Table1[[#This Row],[Losing Seed]]-Table1[[#This Row],[Winning Seed]]</f>
        <v>11</v>
      </c>
      <c r="P1017" s="1" t="str">
        <f>IF(Table1[[#This Row],[SeD]]&lt;-2,Table1[[#This Row],[Winning Seed]]&amp; " over " &amp;Table1[[#This Row],[Losing Seed]],"")</f>
        <v/>
      </c>
      <c r="Q1017">
        <f>VLOOKUP(Table1[[#This Row],[Losing Seed]],'Seed History'!$N$4:$O$19,2)</f>
        <v>0.16666666666666666</v>
      </c>
      <c r="R1017" s="1">
        <f>IF(Table1[[#This Row],[Round]]="PI",0,Table1[[#This Row],[Round]]-1)</f>
        <v>0</v>
      </c>
      <c r="S1017">
        <f>Table1[[#This Row],[LAW]]-Table1[[#This Row],[LEW]]</f>
        <v>-0.16666666666666666</v>
      </c>
    </row>
    <row r="1018" spans="1:19" x14ac:dyDescent="0.25">
      <c r="A1018" s="66">
        <v>36965</v>
      </c>
      <c r="B1018" s="51">
        <f>YEAR(Table1[[#This Row],[Date]])</f>
        <v>2001</v>
      </c>
      <c r="C1018" s="1">
        <v>1</v>
      </c>
      <c r="D1018" t="s">
        <v>49</v>
      </c>
      <c r="E1018" s="1">
        <v>4</v>
      </c>
      <c r="F1018" t="s">
        <v>67</v>
      </c>
      <c r="G1018" t="str">
        <f>VLOOKUP(Table1[[#This Row],[Winner]],Ranking!C:D,2,FALSE)</f>
        <v>P12</v>
      </c>
      <c r="H1018" s="1">
        <v>61</v>
      </c>
      <c r="I1018" s="1">
        <v>13</v>
      </c>
      <c r="J1018" t="s">
        <v>223</v>
      </c>
      <c r="K1018" t="str">
        <f>VLOOKUP(Table1[[#This Row],[Loser]],Ranking!C:D,2,FALSE)</f>
        <v>CAA</v>
      </c>
      <c r="L1018" s="1">
        <v>48</v>
      </c>
      <c r="N1018" s="1">
        <f>Table1[[#This Row],[Winning Score]]-Table1[[#This Row],[Losing Score]]</f>
        <v>13</v>
      </c>
      <c r="O1018" s="1">
        <f>Table1[[#This Row],[Losing Seed]]-Table1[[#This Row],[Winning Seed]]</f>
        <v>9</v>
      </c>
      <c r="P1018" s="1" t="str">
        <f>IF(Table1[[#This Row],[SeD]]&lt;-2,Table1[[#This Row],[Winning Seed]]&amp; " over " &amp;Table1[[#This Row],[Losing Seed]],"")</f>
        <v/>
      </c>
      <c r="Q1018">
        <f>VLOOKUP(Table1[[#This Row],[Losing Seed]],'Seed History'!$N$4:$O$19,2)</f>
        <v>0.25694444444444442</v>
      </c>
      <c r="R1018" s="1">
        <f>IF(Table1[[#This Row],[Round]]="PI",0,Table1[[#This Row],[Round]]-1)</f>
        <v>0</v>
      </c>
      <c r="S1018">
        <f>Table1[[#This Row],[LAW]]-Table1[[#This Row],[LEW]]</f>
        <v>-0.25694444444444442</v>
      </c>
    </row>
    <row r="1019" spans="1:19" x14ac:dyDescent="0.25">
      <c r="A1019" s="66">
        <v>36965</v>
      </c>
      <c r="B1019" s="51">
        <f>YEAR(Table1[[#This Row],[Date]])</f>
        <v>2001</v>
      </c>
      <c r="C1019" s="1">
        <v>1</v>
      </c>
      <c r="D1019" t="s">
        <v>49</v>
      </c>
      <c r="E1019" s="1">
        <v>6</v>
      </c>
      <c r="F1019" t="s">
        <v>85</v>
      </c>
      <c r="G1019" t="str">
        <f>VLOOKUP(Table1[[#This Row],[Winner]],Ranking!C:D,2,FALSE)</f>
        <v>P12</v>
      </c>
      <c r="H1019" s="1">
        <v>69</v>
      </c>
      <c r="I1019" s="1">
        <v>11</v>
      </c>
      <c r="J1019" t="s">
        <v>316</v>
      </c>
      <c r="K1019" t="str">
        <f>VLOOKUP(Table1[[#This Row],[Loser]],Ranking!C:D,2,FALSE)</f>
        <v>B12</v>
      </c>
      <c r="L1019" s="1">
        <v>54</v>
      </c>
      <c r="N1019" s="1">
        <f>Table1[[#This Row],[Winning Score]]-Table1[[#This Row],[Losing Score]]</f>
        <v>15</v>
      </c>
      <c r="O1019" s="1">
        <f>Table1[[#This Row],[Losing Seed]]-Table1[[#This Row],[Winning Seed]]</f>
        <v>5</v>
      </c>
      <c r="P1019" s="1" t="str">
        <f>IF(Table1[[#This Row],[SeD]]&lt;-2,Table1[[#This Row],[Winning Seed]]&amp; " over " &amp;Table1[[#This Row],[Losing Seed]],"")</f>
        <v/>
      </c>
      <c r="Q1019">
        <f>VLOOKUP(Table1[[#This Row],[Losing Seed]],'Seed History'!$N$4:$O$19,2)</f>
        <v>0.63194444444444442</v>
      </c>
      <c r="R1019" s="1">
        <f>IF(Table1[[#This Row],[Round]]="PI",0,Table1[[#This Row],[Round]]-1)</f>
        <v>0</v>
      </c>
      <c r="S1019">
        <f>Table1[[#This Row],[LAW]]-Table1[[#This Row],[LEW]]</f>
        <v>-0.63194444444444442</v>
      </c>
    </row>
    <row r="1020" spans="1:19" x14ac:dyDescent="0.25">
      <c r="A1020" s="66">
        <v>36965</v>
      </c>
      <c r="B1020" s="51">
        <f>YEAR(Table1[[#This Row],[Date]])</f>
        <v>2001</v>
      </c>
      <c r="C1020" s="1">
        <v>1</v>
      </c>
      <c r="D1020" t="s">
        <v>49</v>
      </c>
      <c r="E1020" s="1">
        <v>7</v>
      </c>
      <c r="F1020" t="s">
        <v>69</v>
      </c>
      <c r="G1020" t="str">
        <f>VLOOKUP(Table1[[#This Row],[Winner]],Ranking!C:D,2,FALSE)</f>
        <v>B10</v>
      </c>
      <c r="H1020" s="1">
        <v>69</v>
      </c>
      <c r="I1020" s="1">
        <v>10</v>
      </c>
      <c r="J1020" t="s">
        <v>88</v>
      </c>
      <c r="K1020" t="str">
        <f>VLOOKUP(Table1[[#This Row],[Loser]],Ranking!C:D,2,FALSE)</f>
        <v>BE</v>
      </c>
      <c r="L1020" s="1">
        <v>56</v>
      </c>
      <c r="N1020" s="1">
        <f>Table1[[#This Row],[Winning Score]]-Table1[[#This Row],[Losing Score]]</f>
        <v>13</v>
      </c>
      <c r="O1020" s="1">
        <f>Table1[[#This Row],[Losing Seed]]-Table1[[#This Row],[Winning Seed]]</f>
        <v>3</v>
      </c>
      <c r="P1020" s="1" t="str">
        <f>IF(Table1[[#This Row],[SeD]]&lt;-2,Table1[[#This Row],[Winning Seed]]&amp; " over " &amp;Table1[[#This Row],[Losing Seed]],"")</f>
        <v/>
      </c>
      <c r="Q1020">
        <f>VLOOKUP(Table1[[#This Row],[Losing Seed]],'Seed History'!$N$4:$O$19,2)</f>
        <v>0.61805555555555558</v>
      </c>
      <c r="R1020" s="1">
        <f>IF(Table1[[#This Row],[Round]]="PI",0,Table1[[#This Row],[Round]]-1)</f>
        <v>0</v>
      </c>
      <c r="S1020">
        <f>Table1[[#This Row],[LAW]]-Table1[[#This Row],[LEW]]</f>
        <v>-0.61805555555555558</v>
      </c>
    </row>
    <row r="1021" spans="1:19" x14ac:dyDescent="0.25">
      <c r="A1021" s="66">
        <v>36965</v>
      </c>
      <c r="B1021" s="51">
        <f>YEAR(Table1[[#This Row],[Date]])</f>
        <v>2001</v>
      </c>
      <c r="C1021" s="1">
        <v>1</v>
      </c>
      <c r="D1021" t="s">
        <v>38</v>
      </c>
      <c r="E1021" s="1">
        <v>1</v>
      </c>
      <c r="F1021" t="s">
        <v>369</v>
      </c>
      <c r="G1021" t="str">
        <f>VLOOKUP(Table1[[#This Row],[Winner]],Ranking!C:D,2,FALSE)</f>
        <v>P12</v>
      </c>
      <c r="H1021" s="1">
        <v>89</v>
      </c>
      <c r="I1021" s="1">
        <v>16</v>
      </c>
      <c r="J1021" t="s">
        <v>394</v>
      </c>
      <c r="K1021" t="str">
        <f>VLOOKUP(Table1[[#This Row],[Loser]],Ranking!C:D,2,FALSE)</f>
        <v>SC</v>
      </c>
      <c r="L1021" s="1">
        <v>60</v>
      </c>
      <c r="N1021" s="1">
        <f>Table1[[#This Row],[Winning Score]]-Table1[[#This Row],[Losing Score]]</f>
        <v>29</v>
      </c>
      <c r="O1021" s="1">
        <f>Table1[[#This Row],[Losing Seed]]-Table1[[#This Row],[Winning Seed]]</f>
        <v>15</v>
      </c>
      <c r="P1021" s="1" t="str">
        <f>IF(Table1[[#This Row],[SeD]]&lt;-2,Table1[[#This Row],[Winning Seed]]&amp; " over " &amp;Table1[[#This Row],[Losing Seed]],"")</f>
        <v/>
      </c>
      <c r="Q1021">
        <f>VLOOKUP(Table1[[#This Row],[Losing Seed]],'Seed History'!$N$4:$O$19,2)</f>
        <v>6.9444444444444441E-3</v>
      </c>
      <c r="R1021" s="1">
        <f>IF(Table1[[#This Row],[Round]]="PI",0,Table1[[#This Row],[Round]]-1)</f>
        <v>0</v>
      </c>
      <c r="S1021">
        <f>Table1[[#This Row],[LAW]]-Table1[[#This Row],[LEW]]</f>
        <v>-6.9444444444444441E-3</v>
      </c>
    </row>
    <row r="1022" spans="1:19" x14ac:dyDescent="0.25">
      <c r="A1022" s="66">
        <v>36965</v>
      </c>
      <c r="B1022" s="51">
        <f>YEAR(Table1[[#This Row],[Date]])</f>
        <v>2001</v>
      </c>
      <c r="C1022" s="1">
        <v>1</v>
      </c>
      <c r="D1022" t="s">
        <v>38</v>
      </c>
      <c r="E1022" s="1">
        <v>3</v>
      </c>
      <c r="F1022" t="s">
        <v>31</v>
      </c>
      <c r="G1022" t="str">
        <f>VLOOKUP(Table1[[#This Row],[Winner]],Ranking!C:D,2,FALSE)</f>
        <v>B10</v>
      </c>
      <c r="H1022" s="1">
        <v>83</v>
      </c>
      <c r="I1022" s="1">
        <v>14</v>
      </c>
      <c r="J1022" t="s">
        <v>212</v>
      </c>
      <c r="K1022" t="str">
        <f>VLOOKUP(Table1[[#This Row],[Loser]],Ranking!C:D,2,FALSE)</f>
        <v>A10</v>
      </c>
      <c r="L1022" s="1">
        <v>80</v>
      </c>
      <c r="N1022" s="1">
        <f>Table1[[#This Row],[Winning Score]]-Table1[[#This Row],[Losing Score]]</f>
        <v>3</v>
      </c>
      <c r="O1022" s="1">
        <f>Table1[[#This Row],[Losing Seed]]-Table1[[#This Row],[Winning Seed]]</f>
        <v>11</v>
      </c>
      <c r="P1022" s="1" t="str">
        <f>IF(Table1[[#This Row],[SeD]]&lt;-2,Table1[[#This Row],[Winning Seed]]&amp; " over " &amp;Table1[[#This Row],[Losing Seed]],"")</f>
        <v/>
      </c>
      <c r="Q1022">
        <f>VLOOKUP(Table1[[#This Row],[Losing Seed]],'Seed History'!$N$4:$O$19,2)</f>
        <v>0.16666666666666666</v>
      </c>
      <c r="R1022" s="1">
        <f>IF(Table1[[#This Row],[Round]]="PI",0,Table1[[#This Row],[Round]]-1)</f>
        <v>0</v>
      </c>
      <c r="S1022">
        <f>Table1[[#This Row],[LAW]]-Table1[[#This Row],[LEW]]</f>
        <v>-0.16666666666666666</v>
      </c>
    </row>
    <row r="1023" spans="1:19" x14ac:dyDescent="0.25">
      <c r="A1023" s="66">
        <v>36965</v>
      </c>
      <c r="B1023" s="51">
        <f>YEAR(Table1[[#This Row],[Date]])</f>
        <v>2001</v>
      </c>
      <c r="C1023" s="1">
        <v>1</v>
      </c>
      <c r="D1023" t="s">
        <v>38</v>
      </c>
      <c r="E1023" s="1">
        <v>5</v>
      </c>
      <c r="F1023" t="s">
        <v>28</v>
      </c>
      <c r="G1023" t="str">
        <f>VLOOKUP(Table1[[#This Row],[Winner]],Ranking!C:D,2,FALSE)</f>
        <v>Amer</v>
      </c>
      <c r="H1023" s="1">
        <v>84</v>
      </c>
      <c r="I1023" s="1">
        <v>12</v>
      </c>
      <c r="J1023" t="s">
        <v>72</v>
      </c>
      <c r="K1023" t="str">
        <f>VLOOKUP(Table1[[#This Row],[Loser]],Ranking!C:D,2,FALSE)</f>
        <v>WCC</v>
      </c>
      <c r="L1023" s="1">
        <v>59</v>
      </c>
      <c r="N1023" s="1">
        <f>Table1[[#This Row],[Winning Score]]-Table1[[#This Row],[Losing Score]]</f>
        <v>25</v>
      </c>
      <c r="O1023" s="1">
        <f>Table1[[#This Row],[Losing Seed]]-Table1[[#This Row],[Winning Seed]]</f>
        <v>7</v>
      </c>
      <c r="P1023" s="1" t="str">
        <f>IF(Table1[[#This Row],[SeD]]&lt;-2,Table1[[#This Row],[Winning Seed]]&amp; " over " &amp;Table1[[#This Row],[Losing Seed]],"")</f>
        <v/>
      </c>
      <c r="Q1023">
        <f>VLOOKUP(Table1[[#This Row],[Losing Seed]],'Seed History'!$N$4:$O$19,2)</f>
        <v>0.52083333333333337</v>
      </c>
      <c r="R1023" s="1">
        <f>IF(Table1[[#This Row],[Round]]="PI",0,Table1[[#This Row],[Round]]-1)</f>
        <v>0</v>
      </c>
      <c r="S1023">
        <f>Table1[[#This Row],[LAW]]-Table1[[#This Row],[LEW]]</f>
        <v>-0.52083333333333337</v>
      </c>
    </row>
    <row r="1024" spans="1:19" x14ac:dyDescent="0.25">
      <c r="A1024" s="66">
        <v>36965</v>
      </c>
      <c r="B1024" s="51">
        <f>YEAR(Table1[[#This Row],[Date]])</f>
        <v>2001</v>
      </c>
      <c r="C1024" s="1">
        <v>1</v>
      </c>
      <c r="D1024" t="s">
        <v>38</v>
      </c>
      <c r="E1024" s="1">
        <v>10</v>
      </c>
      <c r="F1024" t="s">
        <v>66</v>
      </c>
      <c r="G1024" t="str">
        <f>VLOOKUP(Table1[[#This Row],[Winner]],Ranking!C:D,2,FALSE)</f>
        <v>BE</v>
      </c>
      <c r="H1024" s="1">
        <v>63</v>
      </c>
      <c r="I1024" s="1">
        <v>7</v>
      </c>
      <c r="J1024" t="s">
        <v>41</v>
      </c>
      <c r="K1024" t="str">
        <f>VLOOKUP(Table1[[#This Row],[Loser]],Ranking!C:D,2,FALSE)</f>
        <v>SEC</v>
      </c>
      <c r="L1024" s="1">
        <v>61</v>
      </c>
      <c r="N1024" s="1">
        <f>Table1[[#This Row],[Winning Score]]-Table1[[#This Row],[Losing Score]]</f>
        <v>2</v>
      </c>
      <c r="O1024" s="1">
        <f>Table1[[#This Row],[Losing Seed]]-Table1[[#This Row],[Winning Seed]]</f>
        <v>-3</v>
      </c>
      <c r="P1024" s="1" t="str">
        <f>IF(Table1[[#This Row],[SeD]]&lt;-2,Table1[[#This Row],[Winning Seed]]&amp; " over " &amp;Table1[[#This Row],[Losing Seed]],"")</f>
        <v>10 over 7</v>
      </c>
      <c r="Q1024">
        <f>VLOOKUP(Table1[[#This Row],[Losing Seed]],'Seed History'!$N$4:$O$19,2)</f>
        <v>0.90277777777777779</v>
      </c>
      <c r="R1024" s="1">
        <f>IF(Table1[[#This Row],[Round]]="PI",0,Table1[[#This Row],[Round]]-1)</f>
        <v>0</v>
      </c>
      <c r="S1024">
        <f>Table1[[#This Row],[LAW]]-Table1[[#This Row],[LEW]]</f>
        <v>-0.90277777777777779</v>
      </c>
    </row>
    <row r="1025" spans="1:19" x14ac:dyDescent="0.25">
      <c r="A1025" s="66">
        <v>36965</v>
      </c>
      <c r="B1025" s="51">
        <f>YEAR(Table1[[#This Row],[Date]])</f>
        <v>2001</v>
      </c>
      <c r="C1025" s="1">
        <v>1</v>
      </c>
      <c r="D1025" t="s">
        <v>49</v>
      </c>
      <c r="E1025" s="1">
        <v>9</v>
      </c>
      <c r="F1025" t="s">
        <v>277</v>
      </c>
      <c r="G1025" t="str">
        <f>VLOOKUP(Table1[[#This Row],[Winner]],Ranking!C:D,2,FALSE)</f>
        <v>SEC</v>
      </c>
      <c r="H1025" s="1">
        <v>70</v>
      </c>
      <c r="I1025" s="1">
        <v>8</v>
      </c>
      <c r="J1025" t="s">
        <v>60</v>
      </c>
      <c r="K1025" t="str">
        <f>VLOOKUP(Table1[[#This Row],[Loser]],Ranking!C:D,2,FALSE)</f>
        <v>SEC</v>
      </c>
      <c r="L1025" s="1">
        <v>68</v>
      </c>
      <c r="N1025" s="1">
        <f>Table1[[#This Row],[Winning Score]]-Table1[[#This Row],[Losing Score]]</f>
        <v>2</v>
      </c>
      <c r="O1025" s="1">
        <f>Table1[[#This Row],[Losing Seed]]-Table1[[#This Row],[Winning Seed]]</f>
        <v>-1</v>
      </c>
      <c r="P1025" s="1" t="str">
        <f>IF(Table1[[#This Row],[SeD]]&lt;-2,Table1[[#This Row],[Winning Seed]]&amp; " over " &amp;Table1[[#This Row],[Losing Seed]],"")</f>
        <v/>
      </c>
      <c r="Q1025">
        <f>VLOOKUP(Table1[[#This Row],[Losing Seed]],'Seed History'!$N$4:$O$19,2)</f>
        <v>0.70833333333333337</v>
      </c>
      <c r="R1025" s="1">
        <f>IF(Table1[[#This Row],[Round]]="PI",0,Table1[[#This Row],[Round]]-1)</f>
        <v>0</v>
      </c>
      <c r="S1025">
        <f>Table1[[#This Row],[LAW]]-Table1[[#This Row],[LEW]]</f>
        <v>-0.70833333333333337</v>
      </c>
    </row>
    <row r="1026" spans="1:19" x14ac:dyDescent="0.25">
      <c r="A1026" s="66">
        <v>36965</v>
      </c>
      <c r="B1026" s="51">
        <f>YEAR(Table1[[#This Row],[Date]])</f>
        <v>2001</v>
      </c>
      <c r="C1026" s="1">
        <v>1</v>
      </c>
      <c r="D1026" t="s">
        <v>38</v>
      </c>
      <c r="E1026" s="1">
        <v>9</v>
      </c>
      <c r="F1026" t="s">
        <v>337</v>
      </c>
      <c r="G1026" t="str">
        <f>VLOOKUP(Table1[[#This Row],[Winner]],Ranking!C:D,2,FALSE)</f>
        <v>A10</v>
      </c>
      <c r="H1026" s="1">
        <v>66</v>
      </c>
      <c r="I1026" s="1">
        <v>8</v>
      </c>
      <c r="J1026" t="s">
        <v>216</v>
      </c>
      <c r="K1026" t="str">
        <f>VLOOKUP(Table1[[#This Row],[Loser]],Ranking!C:D,2,FALSE)</f>
        <v>ACC</v>
      </c>
      <c r="L1026" s="1">
        <v>62</v>
      </c>
      <c r="N1026" s="1">
        <f>Table1[[#This Row],[Winning Score]]-Table1[[#This Row],[Losing Score]]</f>
        <v>4</v>
      </c>
      <c r="O1026" s="1">
        <f>Table1[[#This Row],[Losing Seed]]-Table1[[#This Row],[Winning Seed]]</f>
        <v>-1</v>
      </c>
      <c r="P1026" s="1" t="str">
        <f>IF(Table1[[#This Row],[SeD]]&lt;-2,Table1[[#This Row],[Winning Seed]]&amp; " over " &amp;Table1[[#This Row],[Losing Seed]],"")</f>
        <v/>
      </c>
      <c r="Q1026">
        <f>VLOOKUP(Table1[[#This Row],[Losing Seed]],'Seed History'!$N$4:$O$19,2)</f>
        <v>0.70833333333333337</v>
      </c>
      <c r="R1026" s="1">
        <f>IF(Table1[[#This Row],[Round]]="PI",0,Table1[[#This Row],[Round]]-1)</f>
        <v>0</v>
      </c>
      <c r="S1026">
        <f>Table1[[#This Row],[LAW]]-Table1[[#This Row],[LEW]]</f>
        <v>-0.70833333333333337</v>
      </c>
    </row>
    <row r="1027" spans="1:19" x14ac:dyDescent="0.25">
      <c r="A1027" s="66">
        <v>36966</v>
      </c>
      <c r="B1027" s="51">
        <f>YEAR(Table1[[#This Row],[Date]])</f>
        <v>2001</v>
      </c>
      <c r="C1027" s="1">
        <v>1</v>
      </c>
      <c r="D1027" t="s">
        <v>63</v>
      </c>
      <c r="E1027" s="1">
        <v>13</v>
      </c>
      <c r="F1027" t="s">
        <v>235</v>
      </c>
      <c r="G1027" t="str">
        <f>VLOOKUP(Table1[[#This Row],[Winner]],Ranking!C:D,2,FALSE)</f>
        <v>MVC</v>
      </c>
      <c r="H1027" s="1">
        <v>70</v>
      </c>
      <c r="I1027" s="1">
        <v>4</v>
      </c>
      <c r="J1027" t="s">
        <v>58</v>
      </c>
      <c r="K1027" t="str">
        <f>VLOOKUP(Table1[[#This Row],[Loser]],Ranking!C:D,2,FALSE)</f>
        <v>B12</v>
      </c>
      <c r="L1027" s="1">
        <v>68</v>
      </c>
      <c r="M1027" s="1" t="s">
        <v>462</v>
      </c>
      <c r="N1027" s="1">
        <f>Table1[[#This Row],[Winning Score]]-Table1[[#This Row],[Losing Score]]</f>
        <v>2</v>
      </c>
      <c r="O1027" s="1">
        <f>Table1[[#This Row],[Losing Seed]]-Table1[[#This Row],[Winning Seed]]</f>
        <v>-9</v>
      </c>
      <c r="P1027" s="1" t="str">
        <f>IF(Table1[[#This Row],[SeD]]&lt;-2,Table1[[#This Row],[Winning Seed]]&amp; " over " &amp;Table1[[#This Row],[Losing Seed]],"")</f>
        <v>13 over 4</v>
      </c>
      <c r="Q1027">
        <f>VLOOKUP(Table1[[#This Row],[Losing Seed]],'Seed History'!$N$4:$O$19,2)</f>
        <v>1.5208333333333333</v>
      </c>
      <c r="R1027" s="1">
        <f>IF(Table1[[#This Row],[Round]]="PI",0,Table1[[#This Row],[Round]]-1)</f>
        <v>0</v>
      </c>
      <c r="S1027">
        <f>Table1[[#This Row],[LAW]]-Table1[[#This Row],[LEW]]</f>
        <v>-1.5208333333333333</v>
      </c>
    </row>
    <row r="1028" spans="1:19" x14ac:dyDescent="0.25">
      <c r="A1028" s="66">
        <v>36966</v>
      </c>
      <c r="B1028" s="51">
        <f>YEAR(Table1[[#This Row],[Date]])</f>
        <v>2001</v>
      </c>
      <c r="C1028" s="1">
        <v>1</v>
      </c>
      <c r="D1028" t="s">
        <v>63</v>
      </c>
      <c r="E1028" s="1">
        <v>12</v>
      </c>
      <c r="F1028" t="s">
        <v>71</v>
      </c>
      <c r="G1028" t="str">
        <f>VLOOKUP(Table1[[#This Row],[Winner]],Ranking!C:D,2,FALSE)</f>
        <v>WCC</v>
      </c>
      <c r="H1028" s="1">
        <v>86</v>
      </c>
      <c r="I1028" s="1">
        <v>5</v>
      </c>
      <c r="J1028" t="s">
        <v>61</v>
      </c>
      <c r="K1028" t="str">
        <f>VLOOKUP(Table1[[#This Row],[Loser]],Ranking!C:D,2,FALSE)</f>
        <v>ACC</v>
      </c>
      <c r="L1028" s="1">
        <v>85</v>
      </c>
      <c r="N1028" s="1">
        <f>Table1[[#This Row],[Winning Score]]-Table1[[#This Row],[Losing Score]]</f>
        <v>1</v>
      </c>
      <c r="O1028" s="1">
        <f>Table1[[#This Row],[Losing Seed]]-Table1[[#This Row],[Winning Seed]]</f>
        <v>-7</v>
      </c>
      <c r="P1028" s="1" t="str">
        <f>IF(Table1[[#This Row],[SeD]]&lt;-2,Table1[[#This Row],[Winning Seed]]&amp; " over " &amp;Table1[[#This Row],[Losing Seed]],"")</f>
        <v>12 over 5</v>
      </c>
      <c r="Q1028">
        <f>VLOOKUP(Table1[[#This Row],[Losing Seed]],'Seed History'!$N$4:$O$19,2)</f>
        <v>1.1180555555555556</v>
      </c>
      <c r="R1028" s="1">
        <f>IF(Table1[[#This Row],[Round]]="PI",0,Table1[[#This Row],[Round]]-1)</f>
        <v>0</v>
      </c>
      <c r="S1028">
        <f>Table1[[#This Row],[LAW]]-Table1[[#This Row],[LEW]]</f>
        <v>-1.1180555555555556</v>
      </c>
    </row>
    <row r="1029" spans="1:19" x14ac:dyDescent="0.25">
      <c r="A1029" s="66">
        <v>36966</v>
      </c>
      <c r="B1029" s="51">
        <f>YEAR(Table1[[#This Row],[Date]])</f>
        <v>2001</v>
      </c>
      <c r="C1029" s="1">
        <v>1</v>
      </c>
      <c r="D1029" t="s">
        <v>63</v>
      </c>
      <c r="E1029" s="1">
        <v>11</v>
      </c>
      <c r="F1029" t="s">
        <v>373</v>
      </c>
      <c r="G1029" t="str">
        <f>VLOOKUP(Table1[[#This Row],[Winner]],Ranking!C:D,2,FALSE)</f>
        <v>Amer</v>
      </c>
      <c r="H1029" s="1">
        <v>79</v>
      </c>
      <c r="I1029" s="1">
        <v>6</v>
      </c>
      <c r="J1029" t="s">
        <v>34</v>
      </c>
      <c r="K1029" t="str">
        <f>VLOOKUP(Table1[[#This Row],[Loser]],Ranking!C:D,2,FALSE)</f>
        <v>B12</v>
      </c>
      <c r="L1029" s="1">
        <v>65</v>
      </c>
      <c r="N1029" s="1">
        <f>Table1[[#This Row],[Winning Score]]-Table1[[#This Row],[Losing Score]]</f>
        <v>14</v>
      </c>
      <c r="O1029" s="1">
        <f>Table1[[#This Row],[Losing Seed]]-Table1[[#This Row],[Winning Seed]]</f>
        <v>-5</v>
      </c>
      <c r="P1029" s="1" t="str">
        <f>IF(Table1[[#This Row],[SeD]]&lt;-2,Table1[[#This Row],[Winning Seed]]&amp; " over " &amp;Table1[[#This Row],[Losing Seed]],"")</f>
        <v>11 over 6</v>
      </c>
      <c r="Q1029">
        <f>VLOOKUP(Table1[[#This Row],[Losing Seed]],'Seed History'!$N$4:$O$19,2)</f>
        <v>1.0625</v>
      </c>
      <c r="R1029" s="1">
        <f>IF(Table1[[#This Row],[Round]]="PI",0,Table1[[#This Row],[Round]]-1)</f>
        <v>0</v>
      </c>
      <c r="S1029">
        <f>Table1[[#This Row],[LAW]]-Table1[[#This Row],[LEW]]</f>
        <v>-1.0625</v>
      </c>
    </row>
    <row r="1030" spans="1:19" x14ac:dyDescent="0.25">
      <c r="A1030" s="66">
        <v>36966</v>
      </c>
      <c r="B1030" s="51">
        <f>YEAR(Table1[[#This Row],[Date]])</f>
        <v>2001</v>
      </c>
      <c r="C1030" s="1">
        <v>1</v>
      </c>
      <c r="D1030" t="s">
        <v>439</v>
      </c>
      <c r="E1030" s="1">
        <v>1</v>
      </c>
      <c r="F1030" t="s">
        <v>230</v>
      </c>
      <c r="G1030" t="str">
        <f>VLOOKUP(Table1[[#This Row],[Winner]],Ranking!C:D,2,FALSE)</f>
        <v>B10</v>
      </c>
      <c r="H1030" s="1">
        <v>96</v>
      </c>
      <c r="I1030" s="1">
        <v>16</v>
      </c>
      <c r="J1030" t="s">
        <v>312</v>
      </c>
      <c r="K1030" t="str">
        <f>VLOOKUP(Table1[[#This Row],[Loser]],Ranking!C:D,2,FALSE)</f>
        <v>Slnd</v>
      </c>
      <c r="L1030" s="1">
        <v>54</v>
      </c>
      <c r="N1030" s="1">
        <f>Table1[[#This Row],[Winning Score]]-Table1[[#This Row],[Losing Score]]</f>
        <v>42</v>
      </c>
      <c r="O1030" s="1">
        <f>Table1[[#This Row],[Losing Seed]]-Table1[[#This Row],[Winning Seed]]</f>
        <v>15</v>
      </c>
      <c r="P1030" s="1" t="str">
        <f>IF(Table1[[#This Row],[SeD]]&lt;-2,Table1[[#This Row],[Winning Seed]]&amp; " over " &amp;Table1[[#This Row],[Losing Seed]],"")</f>
        <v/>
      </c>
      <c r="Q1030">
        <f>VLOOKUP(Table1[[#This Row],[Losing Seed]],'Seed History'!$N$4:$O$19,2)</f>
        <v>6.9444444444444441E-3</v>
      </c>
      <c r="R1030" s="1">
        <f>IF(Table1[[#This Row],[Round]]="PI",0,Table1[[#This Row],[Round]]-1)</f>
        <v>0</v>
      </c>
      <c r="S1030">
        <f>Table1[[#This Row],[LAW]]-Table1[[#This Row],[LEW]]</f>
        <v>-6.9444444444444441E-3</v>
      </c>
    </row>
    <row r="1031" spans="1:19" x14ac:dyDescent="0.25">
      <c r="A1031" s="66">
        <v>36966</v>
      </c>
      <c r="B1031" s="51">
        <f>YEAR(Table1[[#This Row],[Date]])</f>
        <v>2001</v>
      </c>
      <c r="C1031" s="1">
        <v>1</v>
      </c>
      <c r="D1031" t="s">
        <v>439</v>
      </c>
      <c r="E1031" s="1">
        <v>2</v>
      </c>
      <c r="F1031" t="s">
        <v>48</v>
      </c>
      <c r="G1031" t="str">
        <f>VLOOKUP(Table1[[#This Row],[Winner]],Ranking!C:D,2,FALSE)</f>
        <v>P12</v>
      </c>
      <c r="H1031" s="1">
        <v>101</v>
      </c>
      <c r="I1031" s="1">
        <v>15</v>
      </c>
      <c r="J1031" t="s">
        <v>193</v>
      </c>
      <c r="K1031" t="str">
        <f>VLOOKUP(Table1[[#This Row],[Loser]],Ranking!C:D,2,FALSE)</f>
        <v>OVC</v>
      </c>
      <c r="L1031" s="1">
        <v>76</v>
      </c>
      <c r="N1031" s="1">
        <f>Table1[[#This Row],[Winning Score]]-Table1[[#This Row],[Losing Score]]</f>
        <v>25</v>
      </c>
      <c r="O1031" s="1">
        <f>Table1[[#This Row],[Losing Seed]]-Table1[[#This Row],[Winning Seed]]</f>
        <v>13</v>
      </c>
      <c r="P1031" s="1" t="str">
        <f>IF(Table1[[#This Row],[SeD]]&lt;-2,Table1[[#This Row],[Winning Seed]]&amp; " over " &amp;Table1[[#This Row],[Losing Seed]],"")</f>
        <v/>
      </c>
      <c r="Q1031">
        <f>VLOOKUP(Table1[[#This Row],[Losing Seed]],'Seed History'!$N$4:$O$19,2)</f>
        <v>7.6388888888888895E-2</v>
      </c>
      <c r="R1031" s="1">
        <f>IF(Table1[[#This Row],[Round]]="PI",0,Table1[[#This Row],[Round]]-1)</f>
        <v>0</v>
      </c>
      <c r="S1031">
        <f>Table1[[#This Row],[LAW]]-Table1[[#This Row],[LEW]]</f>
        <v>-7.6388888888888895E-2</v>
      </c>
    </row>
    <row r="1032" spans="1:19" x14ac:dyDescent="0.25">
      <c r="A1032" s="66">
        <v>36966</v>
      </c>
      <c r="B1032" s="51">
        <f>YEAR(Table1[[#This Row],[Date]])</f>
        <v>2001</v>
      </c>
      <c r="C1032" s="1">
        <v>1</v>
      </c>
      <c r="D1032" t="s">
        <v>439</v>
      </c>
      <c r="E1032" s="1">
        <v>3</v>
      </c>
      <c r="F1032" t="s">
        <v>45</v>
      </c>
      <c r="G1032" t="str">
        <f>VLOOKUP(Table1[[#This Row],[Winner]],Ranking!C:D,2,FALSE)</f>
        <v>SEC</v>
      </c>
      <c r="H1032" s="1">
        <v>72</v>
      </c>
      <c r="I1032" s="1">
        <v>14</v>
      </c>
      <c r="J1032" t="s">
        <v>236</v>
      </c>
      <c r="K1032" t="str">
        <f>VLOOKUP(Table1[[#This Row],[Loser]],Ranking!C:D,2,FALSE)</f>
        <v>MAAC</v>
      </c>
      <c r="L1032" s="1">
        <v>70</v>
      </c>
      <c r="N1032" s="1">
        <f>Table1[[#This Row],[Winning Score]]-Table1[[#This Row],[Losing Score]]</f>
        <v>2</v>
      </c>
      <c r="O1032" s="1">
        <f>Table1[[#This Row],[Losing Seed]]-Table1[[#This Row],[Winning Seed]]</f>
        <v>11</v>
      </c>
      <c r="P1032" s="1" t="str">
        <f>IF(Table1[[#This Row],[SeD]]&lt;-2,Table1[[#This Row],[Winning Seed]]&amp; " over " &amp;Table1[[#This Row],[Losing Seed]],"")</f>
        <v/>
      </c>
      <c r="Q1032">
        <f>VLOOKUP(Table1[[#This Row],[Losing Seed]],'Seed History'!$N$4:$O$19,2)</f>
        <v>0.16666666666666666</v>
      </c>
      <c r="R1032" s="1">
        <f>IF(Table1[[#This Row],[Round]]="PI",0,Table1[[#This Row],[Round]]-1)</f>
        <v>0</v>
      </c>
      <c r="S1032">
        <f>Table1[[#This Row],[LAW]]-Table1[[#This Row],[LEW]]</f>
        <v>-0.16666666666666666</v>
      </c>
    </row>
    <row r="1033" spans="1:19" x14ac:dyDescent="0.25">
      <c r="A1033" s="66">
        <v>36966</v>
      </c>
      <c r="B1033" s="51">
        <f>YEAR(Table1[[#This Row],[Date]])</f>
        <v>2001</v>
      </c>
      <c r="C1033" s="1">
        <v>1</v>
      </c>
      <c r="D1033" t="s">
        <v>439</v>
      </c>
      <c r="E1033" s="1">
        <v>4</v>
      </c>
      <c r="F1033" t="s">
        <v>37</v>
      </c>
      <c r="G1033" t="str">
        <f>VLOOKUP(Table1[[#This Row],[Winner]],Ranking!C:D,2,FALSE)</f>
        <v>B12</v>
      </c>
      <c r="H1033" s="1">
        <v>99</v>
      </c>
      <c r="I1033" s="1">
        <v>13</v>
      </c>
      <c r="J1033" t="s">
        <v>156</v>
      </c>
      <c r="K1033" t="str">
        <f>VLOOKUP(Table1[[#This Row],[Loser]],Ranking!C:D,2,FALSE)</f>
        <v>BW</v>
      </c>
      <c r="L1033" s="1">
        <v>75</v>
      </c>
      <c r="N1033" s="1">
        <f>Table1[[#This Row],[Winning Score]]-Table1[[#This Row],[Losing Score]]</f>
        <v>24</v>
      </c>
      <c r="O1033" s="1">
        <f>Table1[[#This Row],[Losing Seed]]-Table1[[#This Row],[Winning Seed]]</f>
        <v>9</v>
      </c>
      <c r="P1033" s="1" t="str">
        <f>IF(Table1[[#This Row],[SeD]]&lt;-2,Table1[[#This Row],[Winning Seed]]&amp; " over " &amp;Table1[[#This Row],[Losing Seed]],"")</f>
        <v/>
      </c>
      <c r="Q1033">
        <f>VLOOKUP(Table1[[#This Row],[Losing Seed]],'Seed History'!$N$4:$O$19,2)</f>
        <v>0.25694444444444442</v>
      </c>
      <c r="R1033" s="1">
        <f>IF(Table1[[#This Row],[Round]]="PI",0,Table1[[#This Row],[Round]]-1)</f>
        <v>0</v>
      </c>
      <c r="S1033">
        <f>Table1[[#This Row],[LAW]]-Table1[[#This Row],[LEW]]</f>
        <v>-0.25694444444444442</v>
      </c>
    </row>
    <row r="1034" spans="1:19" x14ac:dyDescent="0.25">
      <c r="A1034" s="66">
        <v>36966</v>
      </c>
      <c r="B1034" s="51">
        <f>YEAR(Table1[[#This Row],[Date]])</f>
        <v>2001</v>
      </c>
      <c r="C1034" s="1">
        <v>1</v>
      </c>
      <c r="D1034" t="s">
        <v>439</v>
      </c>
      <c r="E1034" s="1">
        <v>5</v>
      </c>
      <c r="F1034" t="s">
        <v>86</v>
      </c>
      <c r="G1034" t="str">
        <f>VLOOKUP(Table1[[#This Row],[Winner]],Ranking!C:D,2,FALSE)</f>
        <v>ACC</v>
      </c>
      <c r="H1034" s="1">
        <v>79</v>
      </c>
      <c r="I1034" s="1">
        <v>12</v>
      </c>
      <c r="J1034" t="s">
        <v>221</v>
      </c>
      <c r="K1034" t="str">
        <f>VLOOKUP(Table1[[#This Row],[Loser]],Ranking!C:D,2,FALSE)</f>
        <v>BW</v>
      </c>
      <c r="L1034" s="1">
        <v>69</v>
      </c>
      <c r="N1034" s="1">
        <f>Table1[[#This Row],[Winning Score]]-Table1[[#This Row],[Losing Score]]</f>
        <v>10</v>
      </c>
      <c r="O1034" s="1">
        <f>Table1[[#This Row],[Losing Seed]]-Table1[[#This Row],[Winning Seed]]</f>
        <v>7</v>
      </c>
      <c r="P1034" s="1" t="str">
        <f>IF(Table1[[#This Row],[SeD]]&lt;-2,Table1[[#This Row],[Winning Seed]]&amp; " over " &amp;Table1[[#This Row],[Losing Seed]],"")</f>
        <v/>
      </c>
      <c r="Q1034">
        <f>VLOOKUP(Table1[[#This Row],[Losing Seed]],'Seed History'!$N$4:$O$19,2)</f>
        <v>0.52083333333333337</v>
      </c>
      <c r="R1034" s="1">
        <f>IF(Table1[[#This Row],[Round]]="PI",0,Table1[[#This Row],[Round]]-1)</f>
        <v>0</v>
      </c>
      <c r="S1034">
        <f>Table1[[#This Row],[LAW]]-Table1[[#This Row],[LEW]]</f>
        <v>-0.52083333333333337</v>
      </c>
    </row>
    <row r="1035" spans="1:19" x14ac:dyDescent="0.25">
      <c r="A1035" s="66">
        <v>36966</v>
      </c>
      <c r="B1035" s="51">
        <f>YEAR(Table1[[#This Row],[Date]])</f>
        <v>2001</v>
      </c>
      <c r="C1035" s="1">
        <v>1</v>
      </c>
      <c r="D1035" t="s">
        <v>439</v>
      </c>
      <c r="E1035" s="1">
        <v>6</v>
      </c>
      <c r="F1035" t="s">
        <v>35</v>
      </c>
      <c r="G1035" t="str">
        <f>VLOOKUP(Table1[[#This Row],[Winner]],Ranking!C:D,2,FALSE)</f>
        <v>ACC</v>
      </c>
      <c r="H1035" s="1">
        <v>83</v>
      </c>
      <c r="I1035" s="1">
        <v>11</v>
      </c>
      <c r="J1035" t="s">
        <v>44</v>
      </c>
      <c r="K1035" t="str">
        <f>VLOOKUP(Table1[[#This Row],[Loser]],Ranking!C:D,2,FALSE)</f>
        <v>BE</v>
      </c>
      <c r="L1035" s="1">
        <v>71</v>
      </c>
      <c r="N1035" s="1">
        <f>Table1[[#This Row],[Winning Score]]-Table1[[#This Row],[Losing Score]]</f>
        <v>12</v>
      </c>
      <c r="O1035" s="1">
        <f>Table1[[#This Row],[Losing Seed]]-Table1[[#This Row],[Winning Seed]]</f>
        <v>5</v>
      </c>
      <c r="P1035" s="1" t="str">
        <f>IF(Table1[[#This Row],[SeD]]&lt;-2,Table1[[#This Row],[Winning Seed]]&amp; " over " &amp;Table1[[#This Row],[Losing Seed]],"")</f>
        <v/>
      </c>
      <c r="Q1035">
        <f>VLOOKUP(Table1[[#This Row],[Losing Seed]],'Seed History'!$N$4:$O$19,2)</f>
        <v>0.63194444444444442</v>
      </c>
      <c r="R1035" s="1">
        <f>IF(Table1[[#This Row],[Round]]="PI",0,Table1[[#This Row],[Round]]-1)</f>
        <v>0</v>
      </c>
      <c r="S1035">
        <f>Table1[[#This Row],[LAW]]-Table1[[#This Row],[LEW]]</f>
        <v>-0.63194444444444442</v>
      </c>
    </row>
    <row r="1036" spans="1:19" x14ac:dyDescent="0.25">
      <c r="A1036" s="66">
        <v>36966</v>
      </c>
      <c r="B1036" s="51">
        <f>YEAR(Table1[[#This Row],[Date]])</f>
        <v>2001</v>
      </c>
      <c r="C1036" s="1">
        <v>1</v>
      </c>
      <c r="D1036" t="s">
        <v>63</v>
      </c>
      <c r="E1036" s="1">
        <v>1</v>
      </c>
      <c r="F1036" t="s">
        <v>271</v>
      </c>
      <c r="G1036" t="str">
        <f>VLOOKUP(Table1[[#This Row],[Winner]],Ranking!C:D,2,FALSE)</f>
        <v>B10</v>
      </c>
      <c r="H1036" s="1">
        <v>69</v>
      </c>
      <c r="I1036" s="1">
        <v>16</v>
      </c>
      <c r="J1036" t="s">
        <v>117</v>
      </c>
      <c r="K1036" t="str">
        <f>VLOOKUP(Table1[[#This Row],[Loser]],Ranking!C:D,2,FALSE)</f>
        <v>SWAC</v>
      </c>
      <c r="L1036" s="1">
        <v>35</v>
      </c>
      <c r="N1036" s="1">
        <f>Table1[[#This Row],[Winning Score]]-Table1[[#This Row],[Losing Score]]</f>
        <v>34</v>
      </c>
      <c r="O1036" s="1">
        <f>Table1[[#This Row],[Losing Seed]]-Table1[[#This Row],[Winning Seed]]</f>
        <v>15</v>
      </c>
      <c r="P1036" s="1" t="str">
        <f>IF(Table1[[#This Row],[SeD]]&lt;-2,Table1[[#This Row],[Winning Seed]]&amp; " over " &amp;Table1[[#This Row],[Losing Seed]],"")</f>
        <v/>
      </c>
      <c r="Q1036">
        <f>VLOOKUP(Table1[[#This Row],[Losing Seed]],'Seed History'!$N$4:$O$19,2)</f>
        <v>6.9444444444444441E-3</v>
      </c>
      <c r="R1036" s="1">
        <f>IF(Table1[[#This Row],[Round]]="PI",0,Table1[[#This Row],[Round]]-1)</f>
        <v>0</v>
      </c>
      <c r="S1036">
        <f>Table1[[#This Row],[LAW]]-Table1[[#This Row],[LEW]]</f>
        <v>-6.9444444444444441E-3</v>
      </c>
    </row>
    <row r="1037" spans="1:19" x14ac:dyDescent="0.25">
      <c r="A1037" s="66">
        <v>36966</v>
      </c>
      <c r="B1037" s="51">
        <f>YEAR(Table1[[#This Row],[Date]])</f>
        <v>2001</v>
      </c>
      <c r="C1037" s="1">
        <v>1</v>
      </c>
      <c r="D1037" t="s">
        <v>63</v>
      </c>
      <c r="E1037" s="1">
        <v>2</v>
      </c>
      <c r="F1037" t="s">
        <v>298</v>
      </c>
      <c r="G1037" t="str">
        <f>VLOOKUP(Table1[[#This Row],[Winner]],Ranking!C:D,2,FALSE)</f>
        <v>ACC</v>
      </c>
      <c r="H1037" s="1">
        <v>70</v>
      </c>
      <c r="I1037" s="1">
        <v>15</v>
      </c>
      <c r="J1037" t="s">
        <v>91</v>
      </c>
      <c r="K1037" t="str">
        <f>VLOOKUP(Table1[[#This Row],[Loser]],Ranking!C:D,2,FALSE)</f>
        <v>Ivy</v>
      </c>
      <c r="L1037" s="1">
        <v>48</v>
      </c>
      <c r="N1037" s="1">
        <f>Table1[[#This Row],[Winning Score]]-Table1[[#This Row],[Losing Score]]</f>
        <v>22</v>
      </c>
      <c r="O1037" s="1">
        <f>Table1[[#This Row],[Losing Seed]]-Table1[[#This Row],[Winning Seed]]</f>
        <v>13</v>
      </c>
      <c r="P1037" s="1" t="str">
        <f>IF(Table1[[#This Row],[SeD]]&lt;-2,Table1[[#This Row],[Winning Seed]]&amp; " over " &amp;Table1[[#This Row],[Losing Seed]],"")</f>
        <v/>
      </c>
      <c r="Q1037">
        <f>VLOOKUP(Table1[[#This Row],[Losing Seed]],'Seed History'!$N$4:$O$19,2)</f>
        <v>7.6388888888888895E-2</v>
      </c>
      <c r="R1037" s="1">
        <f>IF(Table1[[#This Row],[Round]]="PI",0,Table1[[#This Row],[Round]]-1)</f>
        <v>0</v>
      </c>
      <c r="S1037">
        <f>Table1[[#This Row],[LAW]]-Table1[[#This Row],[LEW]]</f>
        <v>-7.6388888888888895E-2</v>
      </c>
    </row>
    <row r="1038" spans="1:19" x14ac:dyDescent="0.25">
      <c r="A1038" s="66">
        <v>36966</v>
      </c>
      <c r="B1038" s="51">
        <f>YEAR(Table1[[#This Row],[Date]])</f>
        <v>2001</v>
      </c>
      <c r="C1038" s="1">
        <v>1</v>
      </c>
      <c r="D1038" t="s">
        <v>63</v>
      </c>
      <c r="E1038" s="1">
        <v>3</v>
      </c>
      <c r="F1038" t="s">
        <v>81</v>
      </c>
      <c r="G1038" t="str">
        <f>VLOOKUP(Table1[[#This Row],[Winner]],Ranking!C:D,2,FALSE)</f>
        <v>SEC</v>
      </c>
      <c r="H1038" s="1">
        <v>69</v>
      </c>
      <c r="I1038" s="1">
        <v>14</v>
      </c>
      <c r="J1038" t="s">
        <v>415</v>
      </c>
      <c r="K1038" t="str">
        <f>VLOOKUP(Table1[[#This Row],[Loser]],Ranking!C:D,2,FALSE)</f>
        <v>CUSA</v>
      </c>
      <c r="L1038" s="1">
        <v>56</v>
      </c>
      <c r="N1038" s="1">
        <f>Table1[[#This Row],[Winning Score]]-Table1[[#This Row],[Losing Score]]</f>
        <v>13</v>
      </c>
      <c r="O1038" s="1">
        <f>Table1[[#This Row],[Losing Seed]]-Table1[[#This Row],[Winning Seed]]</f>
        <v>11</v>
      </c>
      <c r="P1038" s="1" t="str">
        <f>IF(Table1[[#This Row],[SeD]]&lt;-2,Table1[[#This Row],[Winning Seed]]&amp; " over " &amp;Table1[[#This Row],[Losing Seed]],"")</f>
        <v/>
      </c>
      <c r="Q1038">
        <f>VLOOKUP(Table1[[#This Row],[Losing Seed]],'Seed History'!$N$4:$O$19,2)</f>
        <v>0.16666666666666666</v>
      </c>
      <c r="R1038" s="1">
        <f>IF(Table1[[#This Row],[Round]]="PI",0,Table1[[#This Row],[Round]]-1)</f>
        <v>0</v>
      </c>
      <c r="S1038">
        <f>Table1[[#This Row],[LAW]]-Table1[[#This Row],[LEW]]</f>
        <v>-0.16666666666666666</v>
      </c>
    </row>
    <row r="1039" spans="1:19" x14ac:dyDescent="0.25">
      <c r="A1039" s="66">
        <v>36966</v>
      </c>
      <c r="B1039" s="51">
        <f>YEAR(Table1[[#This Row],[Date]])</f>
        <v>2001</v>
      </c>
      <c r="C1039" s="1">
        <v>1</v>
      </c>
      <c r="D1039" t="s">
        <v>63</v>
      </c>
      <c r="E1039" s="1">
        <v>7</v>
      </c>
      <c r="F1039" t="s">
        <v>322</v>
      </c>
      <c r="G1039" t="str">
        <f>VLOOKUP(Table1[[#This Row],[Winner]],Ranking!C:D,2,FALSE)</f>
        <v>B10</v>
      </c>
      <c r="H1039" s="1">
        <v>69</v>
      </c>
      <c r="I1039" s="1">
        <v>10</v>
      </c>
      <c r="J1039" t="s">
        <v>56</v>
      </c>
      <c r="K1039" t="str">
        <f>VLOOKUP(Table1[[#This Row],[Loser]],Ranking!C:D,2,FALSE)</f>
        <v>BE</v>
      </c>
      <c r="L1039" s="1">
        <v>59</v>
      </c>
      <c r="N1039" s="1">
        <f>Table1[[#This Row],[Winning Score]]-Table1[[#This Row],[Losing Score]]</f>
        <v>10</v>
      </c>
      <c r="O1039" s="1">
        <f>Table1[[#This Row],[Losing Seed]]-Table1[[#This Row],[Winning Seed]]</f>
        <v>3</v>
      </c>
      <c r="P1039" s="1" t="str">
        <f>IF(Table1[[#This Row],[SeD]]&lt;-2,Table1[[#This Row],[Winning Seed]]&amp; " over " &amp;Table1[[#This Row],[Losing Seed]],"")</f>
        <v/>
      </c>
      <c r="Q1039">
        <f>VLOOKUP(Table1[[#This Row],[Losing Seed]],'Seed History'!$N$4:$O$19,2)</f>
        <v>0.61805555555555558</v>
      </c>
      <c r="R1039" s="1">
        <f>IF(Table1[[#This Row],[Round]]="PI",0,Table1[[#This Row],[Round]]-1)</f>
        <v>0</v>
      </c>
      <c r="S1039">
        <f>Table1[[#This Row],[LAW]]-Table1[[#This Row],[LEW]]</f>
        <v>-0.61805555555555558</v>
      </c>
    </row>
    <row r="1040" spans="1:19" x14ac:dyDescent="0.25">
      <c r="A1040" s="66">
        <v>36966</v>
      </c>
      <c r="B1040" s="51">
        <f>YEAR(Table1[[#This Row],[Date]])</f>
        <v>2001</v>
      </c>
      <c r="C1040" s="1">
        <v>1</v>
      </c>
      <c r="D1040" t="s">
        <v>439</v>
      </c>
      <c r="E1040" s="1">
        <v>10</v>
      </c>
      <c r="F1040" t="s">
        <v>33</v>
      </c>
      <c r="G1040" t="str">
        <f>VLOOKUP(Table1[[#This Row],[Winner]],Ranking!C:D,2,FALSE)</f>
        <v>BE</v>
      </c>
      <c r="H1040" s="1">
        <v>79</v>
      </c>
      <c r="I1040" s="1">
        <v>7</v>
      </c>
      <c r="J1040" t="s">
        <v>408</v>
      </c>
      <c r="K1040" t="str">
        <f>VLOOKUP(Table1[[#This Row],[Loser]],Ranking!C:D,2,FALSE)</f>
        <v>ACC</v>
      </c>
      <c r="L1040" s="1">
        <v>63</v>
      </c>
      <c r="N1040" s="1">
        <f>Table1[[#This Row],[Winning Score]]-Table1[[#This Row],[Losing Score]]</f>
        <v>16</v>
      </c>
      <c r="O1040" s="1">
        <f>Table1[[#This Row],[Losing Seed]]-Table1[[#This Row],[Winning Seed]]</f>
        <v>-3</v>
      </c>
      <c r="P1040" s="1" t="str">
        <f>IF(Table1[[#This Row],[SeD]]&lt;-2,Table1[[#This Row],[Winning Seed]]&amp; " over " &amp;Table1[[#This Row],[Losing Seed]],"")</f>
        <v>10 over 7</v>
      </c>
      <c r="Q1040">
        <f>VLOOKUP(Table1[[#This Row],[Losing Seed]],'Seed History'!$N$4:$O$19,2)</f>
        <v>0.90277777777777779</v>
      </c>
      <c r="R1040" s="1">
        <f>IF(Table1[[#This Row],[Round]]="PI",0,Table1[[#This Row],[Round]]-1)</f>
        <v>0</v>
      </c>
      <c r="S1040">
        <f>Table1[[#This Row],[LAW]]-Table1[[#This Row],[LEW]]</f>
        <v>-0.90277777777777779</v>
      </c>
    </row>
    <row r="1041" spans="1:19" x14ac:dyDescent="0.25">
      <c r="A1041" s="66">
        <v>36966</v>
      </c>
      <c r="B1041" s="51">
        <f>YEAR(Table1[[#This Row],[Date]])</f>
        <v>2001</v>
      </c>
      <c r="C1041" s="1">
        <v>1</v>
      </c>
      <c r="D1041" t="s">
        <v>439</v>
      </c>
      <c r="E1041" s="1">
        <v>9</v>
      </c>
      <c r="F1041" t="s">
        <v>165</v>
      </c>
      <c r="G1041" t="str">
        <f>VLOOKUP(Table1[[#This Row],[Winner]],Ranking!C:D,2,FALSE)</f>
        <v>CUSA</v>
      </c>
      <c r="H1041" s="1">
        <v>70</v>
      </c>
      <c r="I1041" s="1">
        <v>8</v>
      </c>
      <c r="J1041" t="s">
        <v>374</v>
      </c>
      <c r="K1041" t="str">
        <f>VLOOKUP(Table1[[#This Row],[Loser]],Ranking!C:D,2,FALSE)</f>
        <v>SEC</v>
      </c>
      <c r="L1041" s="1">
        <v>63</v>
      </c>
      <c r="N1041" s="1">
        <f>Table1[[#This Row],[Winning Score]]-Table1[[#This Row],[Losing Score]]</f>
        <v>7</v>
      </c>
      <c r="O1041" s="1">
        <f>Table1[[#This Row],[Losing Seed]]-Table1[[#This Row],[Winning Seed]]</f>
        <v>-1</v>
      </c>
      <c r="P1041" s="1" t="str">
        <f>IF(Table1[[#This Row],[SeD]]&lt;-2,Table1[[#This Row],[Winning Seed]]&amp; " over " &amp;Table1[[#This Row],[Losing Seed]],"")</f>
        <v/>
      </c>
      <c r="Q1041">
        <f>VLOOKUP(Table1[[#This Row],[Losing Seed]],'Seed History'!$N$4:$O$19,2)</f>
        <v>0.70833333333333337</v>
      </c>
      <c r="R1041" s="1">
        <f>IF(Table1[[#This Row],[Round]]="PI",0,Table1[[#This Row],[Round]]-1)</f>
        <v>0</v>
      </c>
      <c r="S1041">
        <f>Table1[[#This Row],[LAW]]-Table1[[#This Row],[LEW]]</f>
        <v>-0.70833333333333337</v>
      </c>
    </row>
    <row r="1042" spans="1:19" x14ac:dyDescent="0.25">
      <c r="A1042" s="66">
        <v>36966</v>
      </c>
      <c r="B1042" s="51">
        <f>YEAR(Table1[[#This Row],[Date]])</f>
        <v>2001</v>
      </c>
      <c r="C1042" s="1">
        <v>1</v>
      </c>
      <c r="D1042" t="s">
        <v>63</v>
      </c>
      <c r="E1042" s="1">
        <v>9</v>
      </c>
      <c r="F1042" t="s">
        <v>209</v>
      </c>
      <c r="G1042" t="str">
        <f>VLOOKUP(Table1[[#This Row],[Winner]],Ranking!C:D,2,FALSE)</f>
        <v>MWC</v>
      </c>
      <c r="H1042" s="1">
        <v>82</v>
      </c>
      <c r="I1042" s="1">
        <v>8</v>
      </c>
      <c r="J1042" t="s">
        <v>84</v>
      </c>
      <c r="K1042" t="str">
        <f>VLOOKUP(Table1[[#This Row],[Loser]],Ranking!C:D,2,FALSE)</f>
        <v>P12</v>
      </c>
      <c r="L1042" s="1">
        <v>70</v>
      </c>
      <c r="N1042" s="1">
        <f>Table1[[#This Row],[Winning Score]]-Table1[[#This Row],[Losing Score]]</f>
        <v>12</v>
      </c>
      <c r="O1042" s="1">
        <f>Table1[[#This Row],[Losing Seed]]-Table1[[#This Row],[Winning Seed]]</f>
        <v>-1</v>
      </c>
      <c r="P1042" s="1" t="str">
        <f>IF(Table1[[#This Row],[SeD]]&lt;-2,Table1[[#This Row],[Winning Seed]]&amp; " over " &amp;Table1[[#This Row],[Losing Seed]],"")</f>
        <v/>
      </c>
      <c r="Q1042">
        <f>VLOOKUP(Table1[[#This Row],[Losing Seed]],'Seed History'!$N$4:$O$19,2)</f>
        <v>0.70833333333333337</v>
      </c>
      <c r="R1042" s="1">
        <f>IF(Table1[[#This Row],[Round]]="PI",0,Table1[[#This Row],[Round]]-1)</f>
        <v>0</v>
      </c>
      <c r="S1042">
        <f>Table1[[#This Row],[LAW]]-Table1[[#This Row],[LEW]]</f>
        <v>-0.70833333333333337</v>
      </c>
    </row>
    <row r="1043" spans="1:19" x14ac:dyDescent="0.25">
      <c r="A1043" s="66">
        <v>36967</v>
      </c>
      <c r="B1043" s="51">
        <f>YEAR(Table1[[#This Row],[Date]])</f>
        <v>2001</v>
      </c>
      <c r="C1043" s="1">
        <v>2</v>
      </c>
      <c r="D1043" t="s">
        <v>49</v>
      </c>
      <c r="E1043" s="1">
        <v>1</v>
      </c>
      <c r="F1043" t="s">
        <v>64</v>
      </c>
      <c r="G1043" t="str">
        <f>VLOOKUP(Table1[[#This Row],[Winner]],Ranking!C:D,2,FALSE)</f>
        <v>ACC</v>
      </c>
      <c r="H1043" s="1">
        <v>94</v>
      </c>
      <c r="I1043" s="1">
        <v>9</v>
      </c>
      <c r="J1043" t="s">
        <v>277</v>
      </c>
      <c r="K1043" t="str">
        <f>VLOOKUP(Table1[[#This Row],[Loser]],Ranking!C:D,2,FALSE)</f>
        <v>SEC</v>
      </c>
      <c r="L1043" s="1">
        <v>81</v>
      </c>
      <c r="N1043" s="1">
        <f>Table1[[#This Row],[Winning Score]]-Table1[[#This Row],[Losing Score]]</f>
        <v>13</v>
      </c>
      <c r="O1043" s="1">
        <f>Table1[[#This Row],[Losing Seed]]-Table1[[#This Row],[Winning Seed]]</f>
        <v>8</v>
      </c>
      <c r="P1043" s="1" t="str">
        <f>IF(Table1[[#This Row],[SeD]]&lt;-2,Table1[[#This Row],[Winning Seed]]&amp; " over " &amp;Table1[[#This Row],[Losing Seed]],"")</f>
        <v/>
      </c>
      <c r="Q1043">
        <f>VLOOKUP(Table1[[#This Row],[Losing Seed]],'Seed History'!$N$4:$O$19,2)</f>
        <v>0.59027777777777779</v>
      </c>
      <c r="R1043" s="1">
        <f>IF(Table1[[#This Row],[Round]]="PI",0,Table1[[#This Row],[Round]]-1)</f>
        <v>1</v>
      </c>
      <c r="S1043">
        <f>Table1[[#This Row],[LAW]]-Table1[[#This Row],[LEW]]</f>
        <v>0.40972222222222221</v>
      </c>
    </row>
    <row r="1044" spans="1:19" x14ac:dyDescent="0.25">
      <c r="A1044" s="66">
        <v>36967</v>
      </c>
      <c r="B1044" s="51">
        <f>YEAR(Table1[[#This Row],[Date]])</f>
        <v>2001</v>
      </c>
      <c r="C1044" s="1">
        <v>2</v>
      </c>
      <c r="D1044" t="s">
        <v>49</v>
      </c>
      <c r="E1044" s="1">
        <v>2</v>
      </c>
      <c r="F1044" t="s">
        <v>26</v>
      </c>
      <c r="G1044" t="str">
        <f>VLOOKUP(Table1[[#This Row],[Winner]],Ranking!C:D,2,FALSE)</f>
        <v>SEC</v>
      </c>
      <c r="H1044" s="1">
        <v>92</v>
      </c>
      <c r="I1044" s="1">
        <v>7</v>
      </c>
      <c r="J1044" t="s">
        <v>69</v>
      </c>
      <c r="K1044" t="str">
        <f>VLOOKUP(Table1[[#This Row],[Loser]],Ranking!C:D,2,FALSE)</f>
        <v>B10</v>
      </c>
      <c r="L1044" s="1">
        <v>79</v>
      </c>
      <c r="N1044" s="1">
        <f>Table1[[#This Row],[Winning Score]]-Table1[[#This Row],[Losing Score]]</f>
        <v>13</v>
      </c>
      <c r="O1044" s="1">
        <f>Table1[[#This Row],[Losing Seed]]-Table1[[#This Row],[Winning Seed]]</f>
        <v>5</v>
      </c>
      <c r="P1044" s="1" t="str">
        <f>IF(Table1[[#This Row],[SeD]]&lt;-2,Table1[[#This Row],[Winning Seed]]&amp; " over " &amp;Table1[[#This Row],[Losing Seed]],"")</f>
        <v/>
      </c>
      <c r="Q1044">
        <f>VLOOKUP(Table1[[#This Row],[Losing Seed]],'Seed History'!$N$4:$O$19,2)</f>
        <v>0.90277777777777779</v>
      </c>
      <c r="R1044" s="1">
        <f>IF(Table1[[#This Row],[Round]]="PI",0,Table1[[#This Row],[Round]]-1)</f>
        <v>1</v>
      </c>
      <c r="S1044">
        <f>Table1[[#This Row],[LAW]]-Table1[[#This Row],[LEW]]</f>
        <v>9.722222222222221E-2</v>
      </c>
    </row>
    <row r="1045" spans="1:19" x14ac:dyDescent="0.25">
      <c r="A1045" s="66">
        <v>36967</v>
      </c>
      <c r="B1045" s="51">
        <f>YEAR(Table1[[#This Row],[Date]])</f>
        <v>2001</v>
      </c>
      <c r="C1045" s="1">
        <v>2</v>
      </c>
      <c r="D1045" t="s">
        <v>49</v>
      </c>
      <c r="E1045" s="1">
        <v>4</v>
      </c>
      <c r="F1045" t="s">
        <v>67</v>
      </c>
      <c r="G1045" t="str">
        <f>VLOOKUP(Table1[[#This Row],[Winner]],Ranking!C:D,2,FALSE)</f>
        <v>P12</v>
      </c>
      <c r="H1045" s="1">
        <v>75</v>
      </c>
      <c r="I1045" s="1">
        <v>12</v>
      </c>
      <c r="J1045" t="s">
        <v>400</v>
      </c>
      <c r="K1045" t="str">
        <f>VLOOKUP(Table1[[#This Row],[Loser]],Ranking!C:D,2,FALSE)</f>
        <v>MWC</v>
      </c>
      <c r="L1045" s="1">
        <v>70</v>
      </c>
      <c r="N1045" s="1">
        <f>Table1[[#This Row],[Winning Score]]-Table1[[#This Row],[Losing Score]]</f>
        <v>5</v>
      </c>
      <c r="O1045" s="1">
        <f>Table1[[#This Row],[Losing Seed]]-Table1[[#This Row],[Winning Seed]]</f>
        <v>8</v>
      </c>
      <c r="P1045" s="1" t="str">
        <f>IF(Table1[[#This Row],[SeD]]&lt;-2,Table1[[#This Row],[Winning Seed]]&amp; " over " &amp;Table1[[#This Row],[Losing Seed]],"")</f>
        <v/>
      </c>
      <c r="Q1045">
        <f>VLOOKUP(Table1[[#This Row],[Losing Seed]],'Seed History'!$N$4:$O$19,2)</f>
        <v>0.52083333333333337</v>
      </c>
      <c r="R1045" s="1">
        <f>IF(Table1[[#This Row],[Round]]="PI",0,Table1[[#This Row],[Round]]-1)</f>
        <v>1</v>
      </c>
      <c r="S1045">
        <f>Table1[[#This Row],[LAW]]-Table1[[#This Row],[LEW]]</f>
        <v>0.47916666666666663</v>
      </c>
    </row>
    <row r="1046" spans="1:19" x14ac:dyDescent="0.25">
      <c r="A1046" s="66">
        <v>36967</v>
      </c>
      <c r="B1046" s="51">
        <f>YEAR(Table1[[#This Row],[Date]])</f>
        <v>2001</v>
      </c>
      <c r="C1046" s="1">
        <v>2</v>
      </c>
      <c r="D1046" t="s">
        <v>38</v>
      </c>
      <c r="E1046" s="1">
        <v>1</v>
      </c>
      <c r="F1046" t="s">
        <v>369</v>
      </c>
      <c r="G1046" t="str">
        <f>VLOOKUP(Table1[[#This Row],[Winner]],Ranking!C:D,2,FALSE)</f>
        <v>P12</v>
      </c>
      <c r="H1046" s="1">
        <v>90</v>
      </c>
      <c r="I1046" s="1">
        <v>9</v>
      </c>
      <c r="J1046" t="s">
        <v>337</v>
      </c>
      <c r="K1046" t="str">
        <f>VLOOKUP(Table1[[#This Row],[Loser]],Ranking!C:D,2,FALSE)</f>
        <v>A10</v>
      </c>
      <c r="L1046" s="1">
        <v>83</v>
      </c>
      <c r="N1046" s="1">
        <f>Table1[[#This Row],[Winning Score]]-Table1[[#This Row],[Losing Score]]</f>
        <v>7</v>
      </c>
      <c r="O1046" s="1">
        <f>Table1[[#This Row],[Losing Seed]]-Table1[[#This Row],[Winning Seed]]</f>
        <v>8</v>
      </c>
      <c r="P1046" s="1" t="str">
        <f>IF(Table1[[#This Row],[SeD]]&lt;-2,Table1[[#This Row],[Winning Seed]]&amp; " over " &amp;Table1[[#This Row],[Losing Seed]],"")</f>
        <v/>
      </c>
      <c r="Q1046">
        <f>VLOOKUP(Table1[[#This Row],[Losing Seed]],'Seed History'!$N$4:$O$19,2)</f>
        <v>0.59027777777777779</v>
      </c>
      <c r="R1046" s="1">
        <f>IF(Table1[[#This Row],[Round]]="PI",0,Table1[[#This Row],[Round]]-1)</f>
        <v>1</v>
      </c>
      <c r="S1046">
        <f>Table1[[#This Row],[LAW]]-Table1[[#This Row],[LEW]]</f>
        <v>0.40972222222222221</v>
      </c>
    </row>
    <row r="1047" spans="1:19" x14ac:dyDescent="0.25">
      <c r="A1047" s="66">
        <v>36967</v>
      </c>
      <c r="B1047" s="51">
        <f>YEAR(Table1[[#This Row],[Date]])</f>
        <v>2001</v>
      </c>
      <c r="C1047" s="1">
        <v>2</v>
      </c>
      <c r="D1047" t="s">
        <v>38</v>
      </c>
      <c r="E1047" s="1">
        <v>3</v>
      </c>
      <c r="F1047" t="s">
        <v>31</v>
      </c>
      <c r="G1047" t="str">
        <f>VLOOKUP(Table1[[#This Row],[Winner]],Ranking!C:D,2,FALSE)</f>
        <v>B10</v>
      </c>
      <c r="H1047" s="1">
        <v>79</v>
      </c>
      <c r="I1047" s="1">
        <v>11</v>
      </c>
      <c r="J1047" t="s">
        <v>215</v>
      </c>
      <c r="K1047" t="str">
        <f>VLOOKUP(Table1[[#This Row],[Loser]],Ranking!C:D,2,FALSE)</f>
        <v>SB</v>
      </c>
      <c r="L1047" s="1">
        <v>60</v>
      </c>
      <c r="N1047" s="1">
        <f>Table1[[#This Row],[Winning Score]]-Table1[[#This Row],[Losing Score]]</f>
        <v>19</v>
      </c>
      <c r="O1047" s="1">
        <f>Table1[[#This Row],[Losing Seed]]-Table1[[#This Row],[Winning Seed]]</f>
        <v>8</v>
      </c>
      <c r="P1047" s="1" t="str">
        <f>IF(Table1[[#This Row],[SeD]]&lt;-2,Table1[[#This Row],[Winning Seed]]&amp; " over " &amp;Table1[[#This Row],[Losing Seed]],"")</f>
        <v/>
      </c>
      <c r="Q1047">
        <f>VLOOKUP(Table1[[#This Row],[Losing Seed]],'Seed History'!$N$4:$O$19,2)</f>
        <v>0.63194444444444442</v>
      </c>
      <c r="R1047" s="1">
        <f>IF(Table1[[#This Row],[Round]]="PI",0,Table1[[#This Row],[Round]]-1)</f>
        <v>1</v>
      </c>
      <c r="S1047">
        <f>Table1[[#This Row],[LAW]]-Table1[[#This Row],[LEW]]</f>
        <v>0.36805555555555558</v>
      </c>
    </row>
    <row r="1048" spans="1:19" x14ac:dyDescent="0.25">
      <c r="A1048" s="66">
        <v>36967</v>
      </c>
      <c r="B1048" s="51">
        <f>YEAR(Table1[[#This Row],[Date]])</f>
        <v>2001</v>
      </c>
      <c r="C1048" s="1">
        <v>2</v>
      </c>
      <c r="D1048" t="s">
        <v>38</v>
      </c>
      <c r="E1048" s="1">
        <v>5</v>
      </c>
      <c r="F1048" t="s">
        <v>28</v>
      </c>
      <c r="G1048" t="str">
        <f>VLOOKUP(Table1[[#This Row],[Winner]],Ranking!C:D,2,FALSE)</f>
        <v>Amer</v>
      </c>
      <c r="H1048" s="1">
        <v>66</v>
      </c>
      <c r="I1048" s="1">
        <v>13</v>
      </c>
      <c r="J1048" t="s">
        <v>245</v>
      </c>
      <c r="K1048" t="str">
        <f>VLOOKUP(Table1[[#This Row],[Loser]],Ranking!C:D,2,FALSE)</f>
        <v>MAC</v>
      </c>
      <c r="L1048" s="1">
        <v>43</v>
      </c>
      <c r="N1048" s="1">
        <f>Table1[[#This Row],[Winning Score]]-Table1[[#This Row],[Losing Score]]</f>
        <v>23</v>
      </c>
      <c r="O1048" s="1">
        <f>Table1[[#This Row],[Losing Seed]]-Table1[[#This Row],[Winning Seed]]</f>
        <v>8</v>
      </c>
      <c r="P1048" s="1" t="str">
        <f>IF(Table1[[#This Row],[SeD]]&lt;-2,Table1[[#This Row],[Winning Seed]]&amp; " over " &amp;Table1[[#This Row],[Losing Seed]],"")</f>
        <v/>
      </c>
      <c r="Q1048">
        <f>VLOOKUP(Table1[[#This Row],[Losing Seed]],'Seed History'!$N$4:$O$19,2)</f>
        <v>0.25694444444444442</v>
      </c>
      <c r="R1048" s="1">
        <f>IF(Table1[[#This Row],[Round]]="PI",0,Table1[[#This Row],[Round]]-1)</f>
        <v>1</v>
      </c>
      <c r="S1048">
        <f>Table1[[#This Row],[LAW]]-Table1[[#This Row],[LEW]]</f>
        <v>0.74305555555555558</v>
      </c>
    </row>
    <row r="1049" spans="1:19" x14ac:dyDescent="0.25">
      <c r="A1049" s="66">
        <v>36967</v>
      </c>
      <c r="B1049" s="51">
        <f>YEAR(Table1[[#This Row],[Date]])</f>
        <v>2001</v>
      </c>
      <c r="C1049" s="1">
        <v>2</v>
      </c>
      <c r="D1049" t="s">
        <v>38</v>
      </c>
      <c r="E1049" s="1">
        <v>10</v>
      </c>
      <c r="F1049" t="s">
        <v>66</v>
      </c>
      <c r="G1049" t="str">
        <f>VLOOKUP(Table1[[#This Row],[Winner]],Ranking!C:D,2,FALSE)</f>
        <v>BE</v>
      </c>
      <c r="H1049" s="1">
        <v>76</v>
      </c>
      <c r="I1049" s="1">
        <v>15</v>
      </c>
      <c r="J1049" t="s">
        <v>27</v>
      </c>
      <c r="K1049" t="str">
        <f>VLOOKUP(Table1[[#This Row],[Loser]],Ranking!C:D,2,FALSE)</f>
        <v>BSth</v>
      </c>
      <c r="L1049" s="1">
        <v>57</v>
      </c>
      <c r="N1049" s="1">
        <f>Table1[[#This Row],[Winning Score]]-Table1[[#This Row],[Losing Score]]</f>
        <v>19</v>
      </c>
      <c r="O1049" s="1">
        <f>Table1[[#This Row],[Losing Seed]]-Table1[[#This Row],[Winning Seed]]</f>
        <v>5</v>
      </c>
      <c r="P1049" s="1" t="str">
        <f>IF(Table1[[#This Row],[SeD]]&lt;-2,Table1[[#This Row],[Winning Seed]]&amp; " over " &amp;Table1[[#This Row],[Losing Seed]],"")</f>
        <v/>
      </c>
      <c r="Q1049">
        <f>VLOOKUP(Table1[[#This Row],[Losing Seed]],'Seed History'!$N$4:$O$19,2)</f>
        <v>7.6388888888888895E-2</v>
      </c>
      <c r="R1049" s="1">
        <f>IF(Table1[[#This Row],[Round]]="PI",0,Table1[[#This Row],[Round]]-1)</f>
        <v>1</v>
      </c>
      <c r="S1049">
        <f>Table1[[#This Row],[LAW]]-Table1[[#This Row],[LEW]]</f>
        <v>0.92361111111111116</v>
      </c>
    </row>
    <row r="1050" spans="1:19" x14ac:dyDescent="0.25">
      <c r="A1050" s="66">
        <v>36967</v>
      </c>
      <c r="B1050" s="51">
        <f>YEAR(Table1[[#This Row],[Date]])</f>
        <v>2001</v>
      </c>
      <c r="C1050" s="1">
        <v>2</v>
      </c>
      <c r="D1050" t="s">
        <v>49</v>
      </c>
      <c r="E1050" s="1">
        <v>6</v>
      </c>
      <c r="F1050" t="s">
        <v>85</v>
      </c>
      <c r="G1050" t="str">
        <f>VLOOKUP(Table1[[#This Row],[Winner]],Ranking!C:D,2,FALSE)</f>
        <v>P12</v>
      </c>
      <c r="H1050" s="1">
        <v>74</v>
      </c>
      <c r="I1050" s="1">
        <v>3</v>
      </c>
      <c r="J1050" t="s">
        <v>138</v>
      </c>
      <c r="K1050" t="str">
        <f>VLOOKUP(Table1[[#This Row],[Loser]],Ranking!C:D,2,FALSE)</f>
        <v>ACC</v>
      </c>
      <c r="L1050" s="1">
        <v>71</v>
      </c>
      <c r="N1050" s="1">
        <f>Table1[[#This Row],[Winning Score]]-Table1[[#This Row],[Losing Score]]</f>
        <v>3</v>
      </c>
      <c r="O1050" s="1">
        <f>Table1[[#This Row],[Losing Seed]]-Table1[[#This Row],[Winning Seed]]</f>
        <v>-3</v>
      </c>
      <c r="P1050" s="1" t="str">
        <f>IF(Table1[[#This Row],[SeD]]&lt;-2,Table1[[#This Row],[Winning Seed]]&amp; " over " &amp;Table1[[#This Row],[Losing Seed]],"")</f>
        <v>6 over 3</v>
      </c>
      <c r="Q1050">
        <f>VLOOKUP(Table1[[#This Row],[Losing Seed]],'Seed History'!$N$4:$O$19,2)</f>
        <v>1.8472222222222223</v>
      </c>
      <c r="R1050" s="1">
        <f>IF(Table1[[#This Row],[Round]]="PI",0,Table1[[#This Row],[Round]]-1)</f>
        <v>1</v>
      </c>
      <c r="S1050">
        <f>Table1[[#This Row],[LAW]]-Table1[[#This Row],[LEW]]</f>
        <v>-0.84722222222222232</v>
      </c>
    </row>
    <row r="1051" spans="1:19" x14ac:dyDescent="0.25">
      <c r="A1051" s="66">
        <v>36968</v>
      </c>
      <c r="B1051" s="51">
        <f>YEAR(Table1[[#This Row],[Date]])</f>
        <v>2001</v>
      </c>
      <c r="C1051" s="1">
        <v>2</v>
      </c>
      <c r="D1051" t="s">
        <v>63</v>
      </c>
      <c r="E1051" s="1">
        <v>11</v>
      </c>
      <c r="F1051" t="s">
        <v>373</v>
      </c>
      <c r="G1051" t="str">
        <f>VLOOKUP(Table1[[#This Row],[Winner]],Ranking!C:D,2,FALSE)</f>
        <v>Amer</v>
      </c>
      <c r="H1051" s="1">
        <v>75</v>
      </c>
      <c r="I1051" s="1">
        <v>3</v>
      </c>
      <c r="J1051" t="s">
        <v>81</v>
      </c>
      <c r="K1051" t="str">
        <f>VLOOKUP(Table1[[#This Row],[Loser]],Ranking!C:D,2,FALSE)</f>
        <v>SEC</v>
      </c>
      <c r="L1051" s="1">
        <v>54</v>
      </c>
      <c r="N1051" s="1">
        <f>Table1[[#This Row],[Winning Score]]-Table1[[#This Row],[Losing Score]]</f>
        <v>21</v>
      </c>
      <c r="O1051" s="1">
        <f>Table1[[#This Row],[Losing Seed]]-Table1[[#This Row],[Winning Seed]]</f>
        <v>-8</v>
      </c>
      <c r="P1051" s="1" t="str">
        <f>IF(Table1[[#This Row],[SeD]]&lt;-2,Table1[[#This Row],[Winning Seed]]&amp; " over " &amp;Table1[[#This Row],[Losing Seed]],"")</f>
        <v>11 over 3</v>
      </c>
      <c r="Q1051">
        <f>VLOOKUP(Table1[[#This Row],[Losing Seed]],'Seed History'!$N$4:$O$19,2)</f>
        <v>1.8472222222222223</v>
      </c>
      <c r="R1051" s="1">
        <f>IF(Table1[[#This Row],[Round]]="PI",0,Table1[[#This Row],[Round]]-1)</f>
        <v>1</v>
      </c>
      <c r="S1051">
        <f>Table1[[#This Row],[LAW]]-Table1[[#This Row],[LEW]]</f>
        <v>-0.84722222222222232</v>
      </c>
    </row>
    <row r="1052" spans="1:19" x14ac:dyDescent="0.25">
      <c r="A1052" s="66">
        <v>36968</v>
      </c>
      <c r="B1052" s="51">
        <f>YEAR(Table1[[#This Row],[Date]])</f>
        <v>2001</v>
      </c>
      <c r="C1052" s="1">
        <v>2</v>
      </c>
      <c r="D1052" t="s">
        <v>63</v>
      </c>
      <c r="E1052" s="1">
        <v>7</v>
      </c>
      <c r="F1052" t="s">
        <v>322</v>
      </c>
      <c r="G1052" t="str">
        <f>VLOOKUP(Table1[[#This Row],[Winner]],Ranking!C:D,2,FALSE)</f>
        <v>B10</v>
      </c>
      <c r="H1052" s="1">
        <v>82</v>
      </c>
      <c r="I1052" s="1">
        <v>2</v>
      </c>
      <c r="J1052" t="s">
        <v>298</v>
      </c>
      <c r="K1052" t="str">
        <f>VLOOKUP(Table1[[#This Row],[Loser]],Ranking!C:D,2,FALSE)</f>
        <v>ACC</v>
      </c>
      <c r="L1052" s="1">
        <v>74</v>
      </c>
      <c r="N1052" s="1">
        <f>Table1[[#This Row],[Winning Score]]-Table1[[#This Row],[Losing Score]]</f>
        <v>8</v>
      </c>
      <c r="O1052" s="1">
        <f>Table1[[#This Row],[Losing Seed]]-Table1[[#This Row],[Winning Seed]]</f>
        <v>-5</v>
      </c>
      <c r="P1052" s="1" t="str">
        <f>IF(Table1[[#This Row],[SeD]]&lt;-2,Table1[[#This Row],[Winning Seed]]&amp; " over " &amp;Table1[[#This Row],[Losing Seed]],"")</f>
        <v>7 over 2</v>
      </c>
      <c r="Q1052">
        <f>VLOOKUP(Table1[[#This Row],[Losing Seed]],'Seed History'!$N$4:$O$19,2)</f>
        <v>2.3472222222222223</v>
      </c>
      <c r="R1052" s="1">
        <f>IF(Table1[[#This Row],[Round]]="PI",0,Table1[[#This Row],[Round]]-1)</f>
        <v>1</v>
      </c>
      <c r="S1052">
        <f>Table1[[#This Row],[LAW]]-Table1[[#This Row],[LEW]]</f>
        <v>-1.3472222222222223</v>
      </c>
    </row>
    <row r="1053" spans="1:19" x14ac:dyDescent="0.25">
      <c r="A1053" s="66">
        <v>36968</v>
      </c>
      <c r="B1053" s="51">
        <f>YEAR(Table1[[#This Row],[Date]])</f>
        <v>2001</v>
      </c>
      <c r="C1053" s="1">
        <v>2</v>
      </c>
      <c r="D1053" t="s">
        <v>439</v>
      </c>
      <c r="E1053" s="1">
        <v>1</v>
      </c>
      <c r="F1053" t="s">
        <v>230</v>
      </c>
      <c r="G1053" t="str">
        <f>VLOOKUP(Table1[[#This Row],[Winner]],Ranking!C:D,2,FALSE)</f>
        <v>B10</v>
      </c>
      <c r="H1053" s="1">
        <v>79</v>
      </c>
      <c r="I1053" s="1">
        <v>9</v>
      </c>
      <c r="J1053" t="s">
        <v>165</v>
      </c>
      <c r="K1053" t="str">
        <f>VLOOKUP(Table1[[#This Row],[Loser]],Ranking!C:D,2,FALSE)</f>
        <v>CUSA</v>
      </c>
      <c r="L1053" s="1">
        <v>61</v>
      </c>
      <c r="N1053" s="1">
        <f>Table1[[#This Row],[Winning Score]]-Table1[[#This Row],[Losing Score]]</f>
        <v>18</v>
      </c>
      <c r="O1053" s="1">
        <f>Table1[[#This Row],[Losing Seed]]-Table1[[#This Row],[Winning Seed]]</f>
        <v>8</v>
      </c>
      <c r="P1053" s="1" t="str">
        <f>IF(Table1[[#This Row],[SeD]]&lt;-2,Table1[[#This Row],[Winning Seed]]&amp; " over " &amp;Table1[[#This Row],[Losing Seed]],"")</f>
        <v/>
      </c>
      <c r="Q1053">
        <f>VLOOKUP(Table1[[#This Row],[Losing Seed]],'Seed History'!$N$4:$O$19,2)</f>
        <v>0.59027777777777779</v>
      </c>
      <c r="R1053" s="1">
        <f>IF(Table1[[#This Row],[Round]]="PI",0,Table1[[#This Row],[Round]]-1)</f>
        <v>1</v>
      </c>
      <c r="S1053">
        <f>Table1[[#This Row],[LAW]]-Table1[[#This Row],[LEW]]</f>
        <v>0.40972222222222221</v>
      </c>
    </row>
    <row r="1054" spans="1:19" x14ac:dyDescent="0.25">
      <c r="A1054" s="66">
        <v>36968</v>
      </c>
      <c r="B1054" s="51">
        <f>YEAR(Table1[[#This Row],[Date]])</f>
        <v>2001</v>
      </c>
      <c r="C1054" s="1">
        <v>2</v>
      </c>
      <c r="D1054" t="s">
        <v>439</v>
      </c>
      <c r="E1054" s="1">
        <v>2</v>
      </c>
      <c r="F1054" t="s">
        <v>48</v>
      </c>
      <c r="G1054" t="str">
        <f>VLOOKUP(Table1[[#This Row],[Winner]],Ranking!C:D,2,FALSE)</f>
        <v>P12</v>
      </c>
      <c r="H1054" s="1">
        <v>73</v>
      </c>
      <c r="I1054" s="1">
        <v>10</v>
      </c>
      <c r="J1054" t="s">
        <v>33</v>
      </c>
      <c r="K1054" t="str">
        <f>VLOOKUP(Table1[[#This Row],[Loser]],Ranking!C:D,2,FALSE)</f>
        <v>BE</v>
      </c>
      <c r="L1054" s="1">
        <v>52</v>
      </c>
      <c r="N1054" s="1">
        <f>Table1[[#This Row],[Winning Score]]-Table1[[#This Row],[Losing Score]]</f>
        <v>21</v>
      </c>
      <c r="O1054" s="1">
        <f>Table1[[#This Row],[Losing Seed]]-Table1[[#This Row],[Winning Seed]]</f>
        <v>8</v>
      </c>
      <c r="P1054" s="1" t="str">
        <f>IF(Table1[[#This Row],[SeD]]&lt;-2,Table1[[#This Row],[Winning Seed]]&amp; " over " &amp;Table1[[#This Row],[Losing Seed]],"")</f>
        <v/>
      </c>
      <c r="Q1054">
        <f>VLOOKUP(Table1[[#This Row],[Losing Seed]],'Seed History'!$N$4:$O$19,2)</f>
        <v>0.61805555555555558</v>
      </c>
      <c r="R1054" s="1">
        <f>IF(Table1[[#This Row],[Round]]="PI",0,Table1[[#This Row],[Round]]-1)</f>
        <v>1</v>
      </c>
      <c r="S1054">
        <f>Table1[[#This Row],[LAW]]-Table1[[#This Row],[LEW]]</f>
        <v>0.38194444444444442</v>
      </c>
    </row>
    <row r="1055" spans="1:19" x14ac:dyDescent="0.25">
      <c r="A1055" s="66">
        <v>36968</v>
      </c>
      <c r="B1055" s="51">
        <f>YEAR(Table1[[#This Row],[Date]])</f>
        <v>2001</v>
      </c>
      <c r="C1055" s="1">
        <v>2</v>
      </c>
      <c r="D1055" t="s">
        <v>439</v>
      </c>
      <c r="E1055" s="1">
        <v>3</v>
      </c>
      <c r="F1055" t="s">
        <v>45</v>
      </c>
      <c r="G1055" t="str">
        <f>VLOOKUP(Table1[[#This Row],[Winner]],Ranking!C:D,2,FALSE)</f>
        <v>SEC</v>
      </c>
      <c r="H1055" s="1">
        <v>59</v>
      </c>
      <c r="I1055" s="1">
        <v>6</v>
      </c>
      <c r="J1055" t="s">
        <v>35</v>
      </c>
      <c r="K1055" t="str">
        <f>VLOOKUP(Table1[[#This Row],[Loser]],Ranking!C:D,2,FALSE)</f>
        <v>ACC</v>
      </c>
      <c r="L1055" s="1">
        <v>56</v>
      </c>
      <c r="N1055" s="1">
        <f>Table1[[#This Row],[Winning Score]]-Table1[[#This Row],[Losing Score]]</f>
        <v>3</v>
      </c>
      <c r="O1055" s="1">
        <f>Table1[[#This Row],[Losing Seed]]-Table1[[#This Row],[Winning Seed]]</f>
        <v>3</v>
      </c>
      <c r="P1055" s="1" t="str">
        <f>IF(Table1[[#This Row],[SeD]]&lt;-2,Table1[[#This Row],[Winning Seed]]&amp; " over " &amp;Table1[[#This Row],[Losing Seed]],"")</f>
        <v/>
      </c>
      <c r="Q1055">
        <f>VLOOKUP(Table1[[#This Row],[Losing Seed]],'Seed History'!$N$4:$O$19,2)</f>
        <v>1.0625</v>
      </c>
      <c r="R1055" s="1">
        <f>IF(Table1[[#This Row],[Round]]="PI",0,Table1[[#This Row],[Round]]-1)</f>
        <v>1</v>
      </c>
      <c r="S1055">
        <f>Table1[[#This Row],[LAW]]-Table1[[#This Row],[LEW]]</f>
        <v>-6.25E-2</v>
      </c>
    </row>
    <row r="1056" spans="1:19" x14ac:dyDescent="0.25">
      <c r="A1056" s="66">
        <v>36968</v>
      </c>
      <c r="B1056" s="51">
        <f>YEAR(Table1[[#This Row],[Date]])</f>
        <v>2001</v>
      </c>
      <c r="C1056" s="1">
        <v>2</v>
      </c>
      <c r="D1056" t="s">
        <v>439</v>
      </c>
      <c r="E1056" s="1">
        <v>4</v>
      </c>
      <c r="F1056" t="s">
        <v>37</v>
      </c>
      <c r="G1056" t="str">
        <f>VLOOKUP(Table1[[#This Row],[Winner]],Ranking!C:D,2,FALSE)</f>
        <v>B12</v>
      </c>
      <c r="H1056" s="1">
        <v>87</v>
      </c>
      <c r="I1056" s="1">
        <v>5</v>
      </c>
      <c r="J1056" t="s">
        <v>86</v>
      </c>
      <c r="K1056" t="str">
        <f>VLOOKUP(Table1[[#This Row],[Loser]],Ranking!C:D,2,FALSE)</f>
        <v>ACC</v>
      </c>
      <c r="L1056" s="1">
        <v>58</v>
      </c>
      <c r="N1056" s="1">
        <f>Table1[[#This Row],[Winning Score]]-Table1[[#This Row],[Losing Score]]</f>
        <v>29</v>
      </c>
      <c r="O1056" s="1">
        <f>Table1[[#This Row],[Losing Seed]]-Table1[[#This Row],[Winning Seed]]</f>
        <v>1</v>
      </c>
      <c r="P1056" s="1" t="str">
        <f>IF(Table1[[#This Row],[SeD]]&lt;-2,Table1[[#This Row],[Winning Seed]]&amp; " over " &amp;Table1[[#This Row],[Losing Seed]],"")</f>
        <v/>
      </c>
      <c r="Q1056">
        <f>VLOOKUP(Table1[[#This Row],[Losing Seed]],'Seed History'!$N$4:$O$19,2)</f>
        <v>1.1180555555555556</v>
      </c>
      <c r="R1056" s="1">
        <f>IF(Table1[[#This Row],[Round]]="PI",0,Table1[[#This Row],[Round]]-1)</f>
        <v>1</v>
      </c>
      <c r="S1056">
        <f>Table1[[#This Row],[LAW]]-Table1[[#This Row],[LEW]]</f>
        <v>-0.11805555555555558</v>
      </c>
    </row>
    <row r="1057" spans="1:19" x14ac:dyDescent="0.25">
      <c r="A1057" s="66">
        <v>36968</v>
      </c>
      <c r="B1057" s="51">
        <f>YEAR(Table1[[#This Row],[Date]])</f>
        <v>2001</v>
      </c>
      <c r="C1057" s="1">
        <v>2</v>
      </c>
      <c r="D1057" t="s">
        <v>63</v>
      </c>
      <c r="E1057" s="1">
        <v>1</v>
      </c>
      <c r="F1057" t="s">
        <v>271</v>
      </c>
      <c r="G1057" t="str">
        <f>VLOOKUP(Table1[[#This Row],[Winner]],Ranking!C:D,2,FALSE)</f>
        <v>B10</v>
      </c>
      <c r="H1057" s="1">
        <v>81</v>
      </c>
      <c r="I1057" s="1">
        <v>9</v>
      </c>
      <c r="J1057" t="s">
        <v>209</v>
      </c>
      <c r="K1057" t="str">
        <f>VLOOKUP(Table1[[#This Row],[Loser]],Ranking!C:D,2,FALSE)</f>
        <v>MWC</v>
      </c>
      <c r="L1057" s="1">
        <v>65</v>
      </c>
      <c r="N1057" s="1">
        <f>Table1[[#This Row],[Winning Score]]-Table1[[#This Row],[Losing Score]]</f>
        <v>16</v>
      </c>
      <c r="O1057" s="1">
        <f>Table1[[#This Row],[Losing Seed]]-Table1[[#This Row],[Winning Seed]]</f>
        <v>8</v>
      </c>
      <c r="P1057" s="1" t="str">
        <f>IF(Table1[[#This Row],[SeD]]&lt;-2,Table1[[#This Row],[Winning Seed]]&amp; " over " &amp;Table1[[#This Row],[Losing Seed]],"")</f>
        <v/>
      </c>
      <c r="Q1057">
        <f>VLOOKUP(Table1[[#This Row],[Losing Seed]],'Seed History'!$N$4:$O$19,2)</f>
        <v>0.59027777777777779</v>
      </c>
      <c r="R1057" s="1">
        <f>IF(Table1[[#This Row],[Round]]="PI",0,Table1[[#This Row],[Round]]-1)</f>
        <v>1</v>
      </c>
      <c r="S1057">
        <f>Table1[[#This Row],[LAW]]-Table1[[#This Row],[LEW]]</f>
        <v>0.40972222222222221</v>
      </c>
    </row>
    <row r="1058" spans="1:19" x14ac:dyDescent="0.25">
      <c r="A1058" s="66">
        <v>36968</v>
      </c>
      <c r="B1058" s="51">
        <f>YEAR(Table1[[#This Row],[Date]])</f>
        <v>2001</v>
      </c>
      <c r="C1058" s="1">
        <v>2</v>
      </c>
      <c r="D1058" t="s">
        <v>63</v>
      </c>
      <c r="E1058" s="1">
        <v>12</v>
      </c>
      <c r="F1058" t="s">
        <v>71</v>
      </c>
      <c r="G1058" t="str">
        <f>VLOOKUP(Table1[[#This Row],[Winner]],Ranking!C:D,2,FALSE)</f>
        <v>WCC</v>
      </c>
      <c r="H1058" s="1">
        <v>85</v>
      </c>
      <c r="I1058" s="1">
        <v>13</v>
      </c>
      <c r="J1058" t="s">
        <v>235</v>
      </c>
      <c r="K1058" t="str">
        <f>VLOOKUP(Table1[[#This Row],[Loser]],Ranking!C:D,2,FALSE)</f>
        <v>MVC</v>
      </c>
      <c r="L1058" s="1">
        <v>68</v>
      </c>
      <c r="N1058" s="1">
        <f>Table1[[#This Row],[Winning Score]]-Table1[[#This Row],[Losing Score]]</f>
        <v>17</v>
      </c>
      <c r="O1058" s="1">
        <f>Table1[[#This Row],[Losing Seed]]-Table1[[#This Row],[Winning Seed]]</f>
        <v>1</v>
      </c>
      <c r="P1058" s="1" t="str">
        <f>IF(Table1[[#This Row],[SeD]]&lt;-2,Table1[[#This Row],[Winning Seed]]&amp; " over " &amp;Table1[[#This Row],[Losing Seed]],"")</f>
        <v/>
      </c>
      <c r="Q1058">
        <f>VLOOKUP(Table1[[#This Row],[Losing Seed]],'Seed History'!$N$4:$O$19,2)</f>
        <v>0.25694444444444442</v>
      </c>
      <c r="R1058" s="1">
        <f>IF(Table1[[#This Row],[Round]]="PI",0,Table1[[#This Row],[Round]]-1)</f>
        <v>1</v>
      </c>
      <c r="S1058">
        <f>Table1[[#This Row],[LAW]]-Table1[[#This Row],[LEW]]</f>
        <v>0.74305555555555558</v>
      </c>
    </row>
    <row r="1059" spans="1:19" x14ac:dyDescent="0.25">
      <c r="A1059" s="66">
        <v>36972</v>
      </c>
      <c r="B1059" s="51">
        <f>YEAR(Table1[[#This Row],[Date]])</f>
        <v>2001</v>
      </c>
      <c r="C1059" s="1">
        <v>3</v>
      </c>
      <c r="D1059" t="s">
        <v>49</v>
      </c>
      <c r="E1059" s="1">
        <v>6</v>
      </c>
      <c r="F1059" t="s">
        <v>85</v>
      </c>
      <c r="G1059" t="str">
        <f>VLOOKUP(Table1[[#This Row],[Winner]],Ranking!C:D,2,FALSE)</f>
        <v>P12</v>
      </c>
      <c r="H1059" s="1">
        <v>80</v>
      </c>
      <c r="I1059" s="1">
        <v>2</v>
      </c>
      <c r="J1059" t="s">
        <v>26</v>
      </c>
      <c r="K1059" t="str">
        <f>VLOOKUP(Table1[[#This Row],[Loser]],Ranking!C:D,2,FALSE)</f>
        <v>SEC</v>
      </c>
      <c r="L1059" s="1">
        <v>76</v>
      </c>
      <c r="N1059" s="1">
        <f>Table1[[#This Row],[Winning Score]]-Table1[[#This Row],[Losing Score]]</f>
        <v>4</v>
      </c>
      <c r="O1059" s="1">
        <f>Table1[[#This Row],[Losing Seed]]-Table1[[#This Row],[Winning Seed]]</f>
        <v>-4</v>
      </c>
      <c r="P1059" s="1" t="str">
        <f>IF(Table1[[#This Row],[SeD]]&lt;-2,Table1[[#This Row],[Winning Seed]]&amp; " over " &amp;Table1[[#This Row],[Losing Seed]],"")</f>
        <v>6 over 2</v>
      </c>
      <c r="Q1059">
        <f>VLOOKUP(Table1[[#This Row],[Losing Seed]],'Seed History'!$N$4:$O$19,2)</f>
        <v>2.3472222222222223</v>
      </c>
      <c r="R1059" s="1">
        <f>IF(Table1[[#This Row],[Round]]="PI",0,Table1[[#This Row],[Round]]-1)</f>
        <v>2</v>
      </c>
      <c r="S1059">
        <f>Table1[[#This Row],[LAW]]-Table1[[#This Row],[LEW]]</f>
        <v>-0.34722222222222232</v>
      </c>
    </row>
    <row r="1060" spans="1:19" x14ac:dyDescent="0.25">
      <c r="A1060" s="66">
        <v>36972</v>
      </c>
      <c r="B1060" s="51">
        <f>YEAR(Table1[[#This Row],[Date]])</f>
        <v>2001</v>
      </c>
      <c r="C1060" s="1">
        <v>3</v>
      </c>
      <c r="D1060" t="s">
        <v>49</v>
      </c>
      <c r="E1060" s="1">
        <v>1</v>
      </c>
      <c r="F1060" t="s">
        <v>64</v>
      </c>
      <c r="G1060" t="str">
        <f>VLOOKUP(Table1[[#This Row],[Winner]],Ranking!C:D,2,FALSE)</f>
        <v>ACC</v>
      </c>
      <c r="H1060" s="1">
        <v>76</v>
      </c>
      <c r="I1060" s="1">
        <v>4</v>
      </c>
      <c r="J1060" t="s">
        <v>67</v>
      </c>
      <c r="K1060" t="str">
        <f>VLOOKUP(Table1[[#This Row],[Loser]],Ranking!C:D,2,FALSE)</f>
        <v>P12</v>
      </c>
      <c r="L1060" s="1">
        <v>63</v>
      </c>
      <c r="N1060" s="1">
        <f>Table1[[#This Row],[Winning Score]]-Table1[[#This Row],[Losing Score]]</f>
        <v>13</v>
      </c>
      <c r="O1060" s="1">
        <f>Table1[[#This Row],[Losing Seed]]-Table1[[#This Row],[Winning Seed]]</f>
        <v>3</v>
      </c>
      <c r="P1060" s="1" t="str">
        <f>IF(Table1[[#This Row],[SeD]]&lt;-2,Table1[[#This Row],[Winning Seed]]&amp; " over " &amp;Table1[[#This Row],[Losing Seed]],"")</f>
        <v/>
      </c>
      <c r="Q1060">
        <f>VLOOKUP(Table1[[#This Row],[Losing Seed]],'Seed History'!$N$4:$O$19,2)</f>
        <v>1.5208333333333333</v>
      </c>
      <c r="R1060" s="1">
        <f>IF(Table1[[#This Row],[Round]]="PI",0,Table1[[#This Row],[Round]]-1)</f>
        <v>2</v>
      </c>
      <c r="S1060">
        <f>Table1[[#This Row],[LAW]]-Table1[[#This Row],[LEW]]</f>
        <v>0.47916666666666674</v>
      </c>
    </row>
    <row r="1061" spans="1:19" x14ac:dyDescent="0.25">
      <c r="A1061" s="66">
        <v>36972</v>
      </c>
      <c r="B1061" s="51">
        <f>YEAR(Table1[[#This Row],[Date]])</f>
        <v>2001</v>
      </c>
      <c r="C1061" s="1">
        <v>3</v>
      </c>
      <c r="D1061" t="s">
        <v>38</v>
      </c>
      <c r="E1061" s="1">
        <v>1</v>
      </c>
      <c r="F1061" t="s">
        <v>369</v>
      </c>
      <c r="G1061" t="str">
        <f>VLOOKUP(Table1[[#This Row],[Winner]],Ranking!C:D,2,FALSE)</f>
        <v>P12</v>
      </c>
      <c r="H1061" s="1">
        <v>78</v>
      </c>
      <c r="I1061" s="1">
        <v>5</v>
      </c>
      <c r="J1061" t="s">
        <v>28</v>
      </c>
      <c r="K1061" t="str">
        <f>VLOOKUP(Table1[[#This Row],[Loser]],Ranking!C:D,2,FALSE)</f>
        <v>Amer</v>
      </c>
      <c r="L1061" s="1">
        <v>65</v>
      </c>
      <c r="N1061" s="1">
        <f>Table1[[#This Row],[Winning Score]]-Table1[[#This Row],[Losing Score]]</f>
        <v>13</v>
      </c>
      <c r="O1061" s="1">
        <f>Table1[[#This Row],[Losing Seed]]-Table1[[#This Row],[Winning Seed]]</f>
        <v>4</v>
      </c>
      <c r="P1061" s="1" t="str">
        <f>IF(Table1[[#This Row],[SeD]]&lt;-2,Table1[[#This Row],[Winning Seed]]&amp; " over " &amp;Table1[[#This Row],[Losing Seed]],"")</f>
        <v/>
      </c>
      <c r="Q1061">
        <f>VLOOKUP(Table1[[#This Row],[Losing Seed]],'Seed History'!$N$4:$O$19,2)</f>
        <v>1.1180555555555556</v>
      </c>
      <c r="R1061" s="1">
        <f>IF(Table1[[#This Row],[Round]]="PI",0,Table1[[#This Row],[Round]]-1)</f>
        <v>2</v>
      </c>
      <c r="S1061">
        <f>Table1[[#This Row],[LAW]]-Table1[[#This Row],[LEW]]</f>
        <v>0.88194444444444442</v>
      </c>
    </row>
    <row r="1062" spans="1:19" x14ac:dyDescent="0.25">
      <c r="A1062" s="66">
        <v>36972</v>
      </c>
      <c r="B1062" s="51">
        <f>YEAR(Table1[[#This Row],[Date]])</f>
        <v>2001</v>
      </c>
      <c r="C1062" s="1">
        <v>3</v>
      </c>
      <c r="D1062" t="s">
        <v>38</v>
      </c>
      <c r="E1062" s="1">
        <v>3</v>
      </c>
      <c r="F1062" t="s">
        <v>31</v>
      </c>
      <c r="G1062" t="str">
        <f>VLOOKUP(Table1[[#This Row],[Winner]],Ranking!C:D,2,FALSE)</f>
        <v>B10</v>
      </c>
      <c r="H1062" s="1">
        <v>76</v>
      </c>
      <c r="I1062" s="1">
        <v>10</v>
      </c>
      <c r="J1062" t="s">
        <v>66</v>
      </c>
      <c r="K1062" t="str">
        <f>VLOOKUP(Table1[[#This Row],[Loser]],Ranking!C:D,2,FALSE)</f>
        <v>BE</v>
      </c>
      <c r="L1062" s="1">
        <v>66</v>
      </c>
      <c r="N1062" s="1">
        <f>Table1[[#This Row],[Winning Score]]-Table1[[#This Row],[Losing Score]]</f>
        <v>10</v>
      </c>
      <c r="O1062" s="1">
        <f>Table1[[#This Row],[Losing Seed]]-Table1[[#This Row],[Winning Seed]]</f>
        <v>7</v>
      </c>
      <c r="P1062" s="1" t="str">
        <f>IF(Table1[[#This Row],[SeD]]&lt;-2,Table1[[#This Row],[Winning Seed]]&amp; " over " &amp;Table1[[#This Row],[Losing Seed]],"")</f>
        <v/>
      </c>
      <c r="Q1062">
        <f>VLOOKUP(Table1[[#This Row],[Losing Seed]],'Seed History'!$N$4:$O$19,2)</f>
        <v>0.61805555555555558</v>
      </c>
      <c r="R1062" s="1">
        <f>IF(Table1[[#This Row],[Round]]="PI",0,Table1[[#This Row],[Round]]-1)</f>
        <v>2</v>
      </c>
      <c r="S1062">
        <f>Table1[[#This Row],[LAW]]-Table1[[#This Row],[LEW]]</f>
        <v>1.3819444444444444</v>
      </c>
    </row>
    <row r="1063" spans="1:19" x14ac:dyDescent="0.25">
      <c r="A1063" s="66">
        <v>36973</v>
      </c>
      <c r="B1063" s="51">
        <f>YEAR(Table1[[#This Row],[Date]])</f>
        <v>2001</v>
      </c>
      <c r="C1063" s="1">
        <v>3</v>
      </c>
      <c r="D1063" t="s">
        <v>63</v>
      </c>
      <c r="E1063" s="1">
        <v>11</v>
      </c>
      <c r="F1063" t="s">
        <v>373</v>
      </c>
      <c r="G1063" t="str">
        <f>VLOOKUP(Table1[[#This Row],[Winner]],Ranking!C:D,2,FALSE)</f>
        <v>Amer</v>
      </c>
      <c r="H1063" s="1">
        <v>84</v>
      </c>
      <c r="I1063" s="1">
        <v>7</v>
      </c>
      <c r="J1063" t="s">
        <v>322</v>
      </c>
      <c r="K1063" t="str">
        <f>VLOOKUP(Table1[[#This Row],[Loser]],Ranking!C:D,2,FALSE)</f>
        <v>B10</v>
      </c>
      <c r="L1063" s="1">
        <v>72</v>
      </c>
      <c r="N1063" s="1">
        <f>Table1[[#This Row],[Winning Score]]-Table1[[#This Row],[Losing Score]]</f>
        <v>12</v>
      </c>
      <c r="O1063" s="1">
        <f>Table1[[#This Row],[Losing Seed]]-Table1[[#This Row],[Winning Seed]]</f>
        <v>-4</v>
      </c>
      <c r="P1063" s="1" t="str">
        <f>IF(Table1[[#This Row],[SeD]]&lt;-2,Table1[[#This Row],[Winning Seed]]&amp; " over " &amp;Table1[[#This Row],[Losing Seed]],"")</f>
        <v>11 over 7</v>
      </c>
      <c r="Q1063">
        <f>VLOOKUP(Table1[[#This Row],[Losing Seed]],'Seed History'!$N$4:$O$19,2)</f>
        <v>0.90277777777777779</v>
      </c>
      <c r="R1063" s="1">
        <f>IF(Table1[[#This Row],[Round]]="PI",0,Table1[[#This Row],[Round]]-1)</f>
        <v>2</v>
      </c>
      <c r="S1063">
        <f>Table1[[#This Row],[LAW]]-Table1[[#This Row],[LEW]]</f>
        <v>1.0972222222222223</v>
      </c>
    </row>
    <row r="1064" spans="1:19" x14ac:dyDescent="0.25">
      <c r="A1064" s="66">
        <v>36973</v>
      </c>
      <c r="B1064" s="51">
        <f>YEAR(Table1[[#This Row],[Date]])</f>
        <v>2001</v>
      </c>
      <c r="C1064" s="1">
        <v>3</v>
      </c>
      <c r="D1064" t="s">
        <v>439</v>
      </c>
      <c r="E1064" s="1">
        <v>1</v>
      </c>
      <c r="F1064" t="s">
        <v>230</v>
      </c>
      <c r="G1064" t="str">
        <f>VLOOKUP(Table1[[#This Row],[Winner]],Ranking!C:D,2,FALSE)</f>
        <v>B10</v>
      </c>
      <c r="H1064" s="1">
        <v>80</v>
      </c>
      <c r="I1064" s="1">
        <v>4</v>
      </c>
      <c r="J1064" t="s">
        <v>37</v>
      </c>
      <c r="K1064" t="str">
        <f>VLOOKUP(Table1[[#This Row],[Loser]],Ranking!C:D,2,FALSE)</f>
        <v>B12</v>
      </c>
      <c r="L1064" s="1">
        <v>64</v>
      </c>
      <c r="N1064" s="1">
        <f>Table1[[#This Row],[Winning Score]]-Table1[[#This Row],[Losing Score]]</f>
        <v>16</v>
      </c>
      <c r="O1064" s="1">
        <f>Table1[[#This Row],[Losing Seed]]-Table1[[#This Row],[Winning Seed]]</f>
        <v>3</v>
      </c>
      <c r="P1064" s="1" t="str">
        <f>IF(Table1[[#This Row],[SeD]]&lt;-2,Table1[[#This Row],[Winning Seed]]&amp; " over " &amp;Table1[[#This Row],[Losing Seed]],"")</f>
        <v/>
      </c>
      <c r="Q1064">
        <f>VLOOKUP(Table1[[#This Row],[Losing Seed]],'Seed History'!$N$4:$O$19,2)</f>
        <v>1.5208333333333333</v>
      </c>
      <c r="R1064" s="1">
        <f>IF(Table1[[#This Row],[Round]]="PI",0,Table1[[#This Row],[Round]]-1)</f>
        <v>2</v>
      </c>
      <c r="S1064">
        <f>Table1[[#This Row],[LAW]]-Table1[[#This Row],[LEW]]</f>
        <v>0.47916666666666674</v>
      </c>
    </row>
    <row r="1065" spans="1:19" x14ac:dyDescent="0.25">
      <c r="A1065" s="66">
        <v>36973</v>
      </c>
      <c r="B1065" s="51">
        <f>YEAR(Table1[[#This Row],[Date]])</f>
        <v>2001</v>
      </c>
      <c r="C1065" s="1">
        <v>3</v>
      </c>
      <c r="D1065" t="s">
        <v>439</v>
      </c>
      <c r="E1065" s="1">
        <v>2</v>
      </c>
      <c r="F1065" t="s">
        <v>48</v>
      </c>
      <c r="G1065" t="str">
        <f>VLOOKUP(Table1[[#This Row],[Winner]],Ranking!C:D,2,FALSE)</f>
        <v>P12</v>
      </c>
      <c r="H1065" s="1">
        <v>66</v>
      </c>
      <c r="I1065" s="1">
        <v>3</v>
      </c>
      <c r="J1065" t="s">
        <v>45</v>
      </c>
      <c r="K1065" t="str">
        <f>VLOOKUP(Table1[[#This Row],[Loser]],Ranking!C:D,2,FALSE)</f>
        <v>SEC</v>
      </c>
      <c r="L1065" s="1">
        <v>56</v>
      </c>
      <c r="N1065" s="1">
        <f>Table1[[#This Row],[Winning Score]]-Table1[[#This Row],[Losing Score]]</f>
        <v>10</v>
      </c>
      <c r="O1065" s="1">
        <f>Table1[[#This Row],[Losing Seed]]-Table1[[#This Row],[Winning Seed]]</f>
        <v>1</v>
      </c>
      <c r="P1065" s="1" t="str">
        <f>IF(Table1[[#This Row],[SeD]]&lt;-2,Table1[[#This Row],[Winning Seed]]&amp; " over " &amp;Table1[[#This Row],[Losing Seed]],"")</f>
        <v/>
      </c>
      <c r="Q1065">
        <f>VLOOKUP(Table1[[#This Row],[Losing Seed]],'Seed History'!$N$4:$O$19,2)</f>
        <v>1.8472222222222223</v>
      </c>
      <c r="R1065" s="1">
        <f>IF(Table1[[#This Row],[Round]]="PI",0,Table1[[#This Row],[Round]]-1)</f>
        <v>2</v>
      </c>
      <c r="S1065">
        <f>Table1[[#This Row],[LAW]]-Table1[[#This Row],[LEW]]</f>
        <v>0.15277777777777768</v>
      </c>
    </row>
    <row r="1066" spans="1:19" x14ac:dyDescent="0.25">
      <c r="A1066" s="66">
        <v>36973</v>
      </c>
      <c r="B1066" s="51">
        <f>YEAR(Table1[[#This Row],[Date]])</f>
        <v>2001</v>
      </c>
      <c r="C1066" s="1">
        <v>3</v>
      </c>
      <c r="D1066" t="s">
        <v>63</v>
      </c>
      <c r="E1066" s="1">
        <v>1</v>
      </c>
      <c r="F1066" t="s">
        <v>271</v>
      </c>
      <c r="G1066" t="str">
        <f>VLOOKUP(Table1[[#This Row],[Winner]],Ranking!C:D,2,FALSE)</f>
        <v>B10</v>
      </c>
      <c r="H1066" s="1">
        <v>77</v>
      </c>
      <c r="I1066" s="1">
        <v>12</v>
      </c>
      <c r="J1066" t="s">
        <v>71</v>
      </c>
      <c r="K1066" t="str">
        <f>VLOOKUP(Table1[[#This Row],[Loser]],Ranking!C:D,2,FALSE)</f>
        <v>WCC</v>
      </c>
      <c r="L1066" s="1">
        <v>62</v>
      </c>
      <c r="N1066" s="1">
        <f>Table1[[#This Row],[Winning Score]]-Table1[[#This Row],[Losing Score]]</f>
        <v>15</v>
      </c>
      <c r="O1066" s="1">
        <f>Table1[[#This Row],[Losing Seed]]-Table1[[#This Row],[Winning Seed]]</f>
        <v>11</v>
      </c>
      <c r="P1066" s="1" t="str">
        <f>IF(Table1[[#This Row],[SeD]]&lt;-2,Table1[[#This Row],[Winning Seed]]&amp; " over " &amp;Table1[[#This Row],[Losing Seed]],"")</f>
        <v/>
      </c>
      <c r="Q1066">
        <f>VLOOKUP(Table1[[#This Row],[Losing Seed]],'Seed History'!$N$4:$O$19,2)</f>
        <v>0.52083333333333337</v>
      </c>
      <c r="R1066" s="1">
        <f>IF(Table1[[#This Row],[Round]]="PI",0,Table1[[#This Row],[Round]]-1)</f>
        <v>2</v>
      </c>
      <c r="S1066">
        <f>Table1[[#This Row],[LAW]]-Table1[[#This Row],[LEW]]</f>
        <v>1.4791666666666665</v>
      </c>
    </row>
    <row r="1067" spans="1:19" x14ac:dyDescent="0.25">
      <c r="A1067" s="66">
        <v>36974</v>
      </c>
      <c r="B1067" s="51">
        <f>YEAR(Table1[[#This Row],[Date]])</f>
        <v>2001</v>
      </c>
      <c r="C1067" s="1">
        <v>4</v>
      </c>
      <c r="D1067" t="s">
        <v>49</v>
      </c>
      <c r="E1067" s="1">
        <v>1</v>
      </c>
      <c r="F1067" t="s">
        <v>64</v>
      </c>
      <c r="G1067" t="str">
        <f>VLOOKUP(Table1[[#This Row],[Winner]],Ranking!C:D,2,FALSE)</f>
        <v>ACC</v>
      </c>
      <c r="H1067" s="1">
        <v>79</v>
      </c>
      <c r="I1067" s="1">
        <v>6</v>
      </c>
      <c r="J1067" t="s">
        <v>85</v>
      </c>
      <c r="K1067" t="str">
        <f>VLOOKUP(Table1[[#This Row],[Loser]],Ranking!C:D,2,FALSE)</f>
        <v>P12</v>
      </c>
      <c r="L1067" s="1">
        <v>69</v>
      </c>
      <c r="N1067" s="1">
        <f>Table1[[#This Row],[Winning Score]]-Table1[[#This Row],[Losing Score]]</f>
        <v>10</v>
      </c>
      <c r="O1067" s="1">
        <f>Table1[[#This Row],[Losing Seed]]-Table1[[#This Row],[Winning Seed]]</f>
        <v>5</v>
      </c>
      <c r="P1067" s="1" t="str">
        <f>IF(Table1[[#This Row],[SeD]]&lt;-2,Table1[[#This Row],[Winning Seed]]&amp; " over " &amp;Table1[[#This Row],[Losing Seed]],"")</f>
        <v/>
      </c>
      <c r="Q1067">
        <f>VLOOKUP(Table1[[#This Row],[Losing Seed]],'Seed History'!$N$4:$O$19,2)</f>
        <v>1.0625</v>
      </c>
      <c r="R1067" s="1">
        <f>IF(Table1[[#This Row],[Round]]="PI",0,Table1[[#This Row],[Round]]-1)</f>
        <v>3</v>
      </c>
      <c r="S1067">
        <f>Table1[[#This Row],[LAW]]-Table1[[#This Row],[LEW]]</f>
        <v>1.9375</v>
      </c>
    </row>
    <row r="1068" spans="1:19" x14ac:dyDescent="0.25">
      <c r="A1068" s="66">
        <v>36974</v>
      </c>
      <c r="B1068" s="51">
        <f>YEAR(Table1[[#This Row],[Date]])</f>
        <v>2001</v>
      </c>
      <c r="C1068" s="1">
        <v>4</v>
      </c>
      <c r="D1068" t="s">
        <v>38</v>
      </c>
      <c r="E1068" s="1">
        <v>3</v>
      </c>
      <c r="F1068" t="s">
        <v>31</v>
      </c>
      <c r="G1068" t="str">
        <f>VLOOKUP(Table1[[#This Row],[Winner]],Ranking!C:D,2,FALSE)</f>
        <v>B10</v>
      </c>
      <c r="H1068" s="1">
        <v>87</v>
      </c>
      <c r="I1068" s="1">
        <v>1</v>
      </c>
      <c r="J1068" t="s">
        <v>369</v>
      </c>
      <c r="K1068" t="str">
        <f>VLOOKUP(Table1[[#This Row],[Loser]],Ranking!C:D,2,FALSE)</f>
        <v>P12</v>
      </c>
      <c r="L1068" s="1">
        <v>73</v>
      </c>
      <c r="N1068" s="1">
        <f>Table1[[#This Row],[Winning Score]]-Table1[[#This Row],[Losing Score]]</f>
        <v>14</v>
      </c>
      <c r="O1068" s="1">
        <f>Table1[[#This Row],[Losing Seed]]-Table1[[#This Row],[Winning Seed]]</f>
        <v>-2</v>
      </c>
      <c r="P1068" s="1" t="str">
        <f>IF(Table1[[#This Row],[SeD]]&lt;-2,Table1[[#This Row],[Winning Seed]]&amp; " over " &amp;Table1[[#This Row],[Losing Seed]],"")</f>
        <v/>
      </c>
      <c r="Q1068">
        <f>VLOOKUP(Table1[[#This Row],[Losing Seed]],'Seed History'!$N$4:$O$19,2)</f>
        <v>3.3263888888888888</v>
      </c>
      <c r="R1068" s="1">
        <f>IF(Table1[[#This Row],[Round]]="PI",0,Table1[[#This Row],[Round]]-1)</f>
        <v>3</v>
      </c>
      <c r="S1068">
        <f>Table1[[#This Row],[LAW]]-Table1[[#This Row],[LEW]]</f>
        <v>-0.32638888888888884</v>
      </c>
    </row>
    <row r="1069" spans="1:19" x14ac:dyDescent="0.25">
      <c r="A1069" s="66">
        <v>36975</v>
      </c>
      <c r="B1069" s="51">
        <f>YEAR(Table1[[#This Row],[Date]])</f>
        <v>2001</v>
      </c>
      <c r="C1069" s="1">
        <v>4</v>
      </c>
      <c r="D1069" t="s">
        <v>63</v>
      </c>
      <c r="E1069" s="1">
        <v>1</v>
      </c>
      <c r="F1069" t="s">
        <v>271</v>
      </c>
      <c r="G1069" t="str">
        <f>VLOOKUP(Table1[[#This Row],[Winner]],Ranking!C:D,2,FALSE)</f>
        <v>B10</v>
      </c>
      <c r="H1069" s="1">
        <v>69</v>
      </c>
      <c r="I1069" s="1">
        <v>11</v>
      </c>
      <c r="J1069" t="s">
        <v>373</v>
      </c>
      <c r="K1069" t="str">
        <f>VLOOKUP(Table1[[#This Row],[Loser]],Ranking!C:D,2,FALSE)</f>
        <v>Amer</v>
      </c>
      <c r="L1069" s="1">
        <v>62</v>
      </c>
      <c r="N1069" s="1">
        <f>Table1[[#This Row],[Winning Score]]-Table1[[#This Row],[Losing Score]]</f>
        <v>7</v>
      </c>
      <c r="O1069" s="1">
        <f>Table1[[#This Row],[Losing Seed]]-Table1[[#This Row],[Winning Seed]]</f>
        <v>10</v>
      </c>
      <c r="P1069" s="1" t="str">
        <f>IF(Table1[[#This Row],[SeD]]&lt;-2,Table1[[#This Row],[Winning Seed]]&amp; " over " &amp;Table1[[#This Row],[Losing Seed]],"")</f>
        <v/>
      </c>
      <c r="Q1069">
        <f>VLOOKUP(Table1[[#This Row],[Losing Seed]],'Seed History'!$N$4:$O$19,2)</f>
        <v>0.63194444444444442</v>
      </c>
      <c r="R1069" s="1">
        <f>IF(Table1[[#This Row],[Round]]="PI",0,Table1[[#This Row],[Round]]-1)</f>
        <v>3</v>
      </c>
      <c r="S1069">
        <f>Table1[[#This Row],[LAW]]-Table1[[#This Row],[LEW]]</f>
        <v>2.3680555555555554</v>
      </c>
    </row>
    <row r="1070" spans="1:19" x14ac:dyDescent="0.25">
      <c r="A1070" s="66">
        <v>36975</v>
      </c>
      <c r="B1070" s="51">
        <f>YEAR(Table1[[#This Row],[Date]])</f>
        <v>2001</v>
      </c>
      <c r="C1070" s="1">
        <v>4</v>
      </c>
      <c r="D1070" t="s">
        <v>439</v>
      </c>
      <c r="E1070" s="1">
        <v>2</v>
      </c>
      <c r="F1070" t="s">
        <v>48</v>
      </c>
      <c r="G1070" t="str">
        <f>VLOOKUP(Table1[[#This Row],[Winner]],Ranking!C:D,2,FALSE)</f>
        <v>P12</v>
      </c>
      <c r="H1070" s="1">
        <v>87</v>
      </c>
      <c r="I1070" s="1">
        <v>1</v>
      </c>
      <c r="J1070" t="s">
        <v>230</v>
      </c>
      <c r="K1070" t="str">
        <f>VLOOKUP(Table1[[#This Row],[Loser]],Ranking!C:D,2,FALSE)</f>
        <v>B10</v>
      </c>
      <c r="L1070" s="1">
        <v>81</v>
      </c>
      <c r="N1070" s="1">
        <f>Table1[[#This Row],[Winning Score]]-Table1[[#This Row],[Losing Score]]</f>
        <v>6</v>
      </c>
      <c r="O1070" s="1">
        <f>Table1[[#This Row],[Losing Seed]]-Table1[[#This Row],[Winning Seed]]</f>
        <v>-1</v>
      </c>
      <c r="P1070" s="1" t="str">
        <f>IF(Table1[[#This Row],[SeD]]&lt;-2,Table1[[#This Row],[Winning Seed]]&amp; " over " &amp;Table1[[#This Row],[Losing Seed]],"")</f>
        <v/>
      </c>
      <c r="Q1070">
        <f>VLOOKUP(Table1[[#This Row],[Losing Seed]],'Seed History'!$N$4:$O$19,2)</f>
        <v>3.3263888888888888</v>
      </c>
      <c r="R1070" s="1">
        <f>IF(Table1[[#This Row],[Round]]="PI",0,Table1[[#This Row],[Round]]-1)</f>
        <v>3</v>
      </c>
      <c r="S1070">
        <f>Table1[[#This Row],[LAW]]-Table1[[#This Row],[LEW]]</f>
        <v>-0.32638888888888884</v>
      </c>
    </row>
    <row r="1071" spans="1:19" x14ac:dyDescent="0.25">
      <c r="A1071" s="66">
        <v>36981</v>
      </c>
      <c r="B1071" s="51">
        <f>YEAR(Table1[[#This Row],[Date]])</f>
        <v>2001</v>
      </c>
      <c r="C1071" s="1">
        <v>5</v>
      </c>
      <c r="D1071" t="s">
        <v>467</v>
      </c>
      <c r="E1071" s="1">
        <v>1</v>
      </c>
      <c r="F1071" t="s">
        <v>64</v>
      </c>
      <c r="G1071" t="str">
        <f>VLOOKUP(Table1[[#This Row],[Winner]],Ranking!C:D,2,FALSE)</f>
        <v>ACC</v>
      </c>
      <c r="H1071" s="1">
        <v>95</v>
      </c>
      <c r="I1071" s="1">
        <v>3</v>
      </c>
      <c r="J1071" t="s">
        <v>31</v>
      </c>
      <c r="K1071" t="str">
        <f>VLOOKUP(Table1[[#This Row],[Loser]],Ranking!C:D,2,FALSE)</f>
        <v>B10</v>
      </c>
      <c r="L1071" s="1">
        <v>84</v>
      </c>
      <c r="N1071" s="1">
        <f>Table1[[#This Row],[Winning Score]]-Table1[[#This Row],[Losing Score]]</f>
        <v>11</v>
      </c>
      <c r="O1071" s="1">
        <f>Table1[[#This Row],[Losing Seed]]-Table1[[#This Row],[Winning Seed]]</f>
        <v>2</v>
      </c>
      <c r="P1071" s="1" t="str">
        <f>IF(Table1[[#This Row],[SeD]]&lt;-2,Table1[[#This Row],[Winning Seed]]&amp; " over " &amp;Table1[[#This Row],[Losing Seed]],"")</f>
        <v/>
      </c>
      <c r="Q1071">
        <f>VLOOKUP(Table1[[#This Row],[Losing Seed]],'Seed History'!$N$4:$O$19,2)</f>
        <v>1.8472222222222223</v>
      </c>
      <c r="R1071" s="1">
        <f>IF(Table1[[#This Row],[Round]]="PI",0,Table1[[#This Row],[Round]]-1)</f>
        <v>4</v>
      </c>
      <c r="S1071">
        <f>Table1[[#This Row],[LAW]]-Table1[[#This Row],[LEW]]</f>
        <v>2.1527777777777777</v>
      </c>
    </row>
    <row r="1072" spans="1:19" x14ac:dyDescent="0.25">
      <c r="A1072" s="66">
        <v>36981</v>
      </c>
      <c r="B1072" s="51">
        <f>YEAR(Table1[[#This Row],[Date]])</f>
        <v>2001</v>
      </c>
      <c r="C1072" s="1">
        <v>5</v>
      </c>
      <c r="D1072" t="s">
        <v>467</v>
      </c>
      <c r="E1072" s="1">
        <v>2</v>
      </c>
      <c r="F1072" t="s">
        <v>48</v>
      </c>
      <c r="G1072" t="str">
        <f>VLOOKUP(Table1[[#This Row],[Winner]],Ranking!C:D,2,FALSE)</f>
        <v>P12</v>
      </c>
      <c r="H1072" s="1">
        <v>80</v>
      </c>
      <c r="I1072" s="1">
        <v>1</v>
      </c>
      <c r="J1072" t="s">
        <v>271</v>
      </c>
      <c r="K1072" t="str">
        <f>VLOOKUP(Table1[[#This Row],[Loser]],Ranking!C:D,2,FALSE)</f>
        <v>B10</v>
      </c>
      <c r="L1072" s="1">
        <v>61</v>
      </c>
      <c r="N1072" s="1">
        <f>Table1[[#This Row],[Winning Score]]-Table1[[#This Row],[Losing Score]]</f>
        <v>19</v>
      </c>
      <c r="O1072" s="1">
        <f>Table1[[#This Row],[Losing Seed]]-Table1[[#This Row],[Winning Seed]]</f>
        <v>-1</v>
      </c>
      <c r="P1072" s="1" t="str">
        <f>IF(Table1[[#This Row],[SeD]]&lt;-2,Table1[[#This Row],[Winning Seed]]&amp; " over " &amp;Table1[[#This Row],[Losing Seed]],"")</f>
        <v/>
      </c>
      <c r="Q1072">
        <f>VLOOKUP(Table1[[#This Row],[Losing Seed]],'Seed History'!$N$4:$O$19,2)</f>
        <v>3.3263888888888888</v>
      </c>
      <c r="R1072" s="1">
        <f>IF(Table1[[#This Row],[Round]]="PI",0,Table1[[#This Row],[Round]]-1)</f>
        <v>4</v>
      </c>
      <c r="S1072">
        <f>Table1[[#This Row],[LAW]]-Table1[[#This Row],[LEW]]</f>
        <v>0.67361111111111116</v>
      </c>
    </row>
    <row r="1073" spans="1:19" x14ac:dyDescent="0.25">
      <c r="A1073" s="66">
        <v>36983</v>
      </c>
      <c r="B1073" s="51">
        <f>YEAR(Table1[[#This Row],[Date]])</f>
        <v>2001</v>
      </c>
      <c r="C1073" s="1">
        <v>6</v>
      </c>
      <c r="D1073" t="s">
        <v>468</v>
      </c>
      <c r="E1073" s="1">
        <v>1</v>
      </c>
      <c r="F1073" t="s">
        <v>64</v>
      </c>
      <c r="G1073" t="str">
        <f>VLOOKUP(Table1[[#This Row],[Winner]],Ranking!C:D,2,FALSE)</f>
        <v>ACC</v>
      </c>
      <c r="H1073" s="1">
        <v>82</v>
      </c>
      <c r="I1073" s="1">
        <v>2</v>
      </c>
      <c r="J1073" t="s">
        <v>48</v>
      </c>
      <c r="K1073" t="str">
        <f>VLOOKUP(Table1[[#This Row],[Loser]],Ranking!C:D,2,FALSE)</f>
        <v>P12</v>
      </c>
      <c r="L1073" s="1">
        <v>72</v>
      </c>
      <c r="N1073" s="1">
        <f>Table1[[#This Row],[Winning Score]]-Table1[[#This Row],[Losing Score]]</f>
        <v>10</v>
      </c>
      <c r="O1073" s="1">
        <f>Table1[[#This Row],[Losing Seed]]-Table1[[#This Row],[Winning Seed]]</f>
        <v>1</v>
      </c>
      <c r="P1073" s="1" t="str">
        <f>IF(Table1[[#This Row],[SeD]]&lt;-2,Table1[[#This Row],[Winning Seed]]&amp; " over " &amp;Table1[[#This Row],[Losing Seed]],"")</f>
        <v/>
      </c>
      <c r="Q1073">
        <f>VLOOKUP(Table1[[#This Row],[Losing Seed]],'Seed History'!$N$4:$O$19,2)</f>
        <v>2.3472222222222223</v>
      </c>
      <c r="R1073" s="1">
        <f>IF(Table1[[#This Row],[Round]]="PI",0,Table1[[#This Row],[Round]]-1)</f>
        <v>5</v>
      </c>
      <c r="S1073">
        <f>Table1[[#This Row],[LAW]]-Table1[[#This Row],[LEW]]</f>
        <v>2.6527777777777777</v>
      </c>
    </row>
    <row r="1074" spans="1:19" x14ac:dyDescent="0.25">
      <c r="A1074" s="66">
        <v>37327</v>
      </c>
      <c r="B1074" s="51">
        <f>YEAR(Table1[[#This Row],[Date]])</f>
        <v>2002</v>
      </c>
      <c r="C1074" s="1" t="s">
        <v>476</v>
      </c>
      <c r="D1074" t="s">
        <v>49</v>
      </c>
      <c r="E1074" s="1">
        <v>16</v>
      </c>
      <c r="F1074" t="s">
        <v>350</v>
      </c>
      <c r="G1074" t="str">
        <f>VLOOKUP(Table1[[#This Row],[Winner]],Ranking!C:D,2,FALSE)</f>
        <v>MAAC</v>
      </c>
      <c r="H1074" s="1">
        <v>81</v>
      </c>
      <c r="I1074" s="1">
        <v>16</v>
      </c>
      <c r="J1074" t="s">
        <v>119</v>
      </c>
      <c r="K1074" t="str">
        <f>VLOOKUP(Table1[[#This Row],[Loser]],Ranking!C:D,2,FALSE)</f>
        <v>SWAC</v>
      </c>
      <c r="L1074" s="1">
        <v>77</v>
      </c>
      <c r="N1074" s="1">
        <f>Table1[[#This Row],[Winning Score]]-Table1[[#This Row],[Losing Score]]</f>
        <v>4</v>
      </c>
      <c r="O1074" s="1">
        <f>Table1[[#This Row],[Losing Seed]]-Table1[[#This Row],[Winning Seed]]</f>
        <v>0</v>
      </c>
      <c r="P1074" s="1" t="str">
        <f>IF(Table1[[#This Row],[SeD]]&lt;-2,Table1[[#This Row],[Winning Seed]]&amp; " over " &amp;Table1[[#This Row],[Losing Seed]],"")</f>
        <v/>
      </c>
      <c r="Q1074">
        <f>VLOOKUP(Table1[[#This Row],[Losing Seed]],'Seed History'!$N$4:$O$19,2)</f>
        <v>6.9444444444444441E-3</v>
      </c>
      <c r="R1074" s="1">
        <f>IF(Table1[[#This Row],[Round]]="PI",0,Table1[[#This Row],[Round]]-1)</f>
        <v>0</v>
      </c>
      <c r="S1074">
        <f>Table1[[#This Row],[LAW]]-Table1[[#This Row],[LEW]]</f>
        <v>-6.9444444444444441E-3</v>
      </c>
    </row>
    <row r="1075" spans="1:19" x14ac:dyDescent="0.25">
      <c r="A1075" s="66">
        <v>37329</v>
      </c>
      <c r="B1075" s="51">
        <f>YEAR(Table1[[#This Row],[Date]])</f>
        <v>2002</v>
      </c>
      <c r="C1075" s="1">
        <v>1</v>
      </c>
      <c r="D1075" t="s">
        <v>63</v>
      </c>
      <c r="E1075" s="1">
        <v>13</v>
      </c>
      <c r="F1075" t="s">
        <v>395</v>
      </c>
      <c r="G1075" t="str">
        <f>VLOOKUP(Table1[[#This Row],[Winner]],Ranking!C:D,2,FALSE)</f>
        <v>CAA</v>
      </c>
      <c r="H1075" s="1">
        <v>93</v>
      </c>
      <c r="I1075" s="1">
        <v>4</v>
      </c>
      <c r="J1075" t="s">
        <v>85</v>
      </c>
      <c r="K1075" t="str">
        <f>VLOOKUP(Table1[[#This Row],[Loser]],Ranking!C:D,2,FALSE)</f>
        <v>P12</v>
      </c>
      <c r="L1075" s="1">
        <v>89</v>
      </c>
      <c r="M1075" s="1" t="s">
        <v>462</v>
      </c>
      <c r="N1075" s="1">
        <f>Table1[[#This Row],[Winning Score]]-Table1[[#This Row],[Losing Score]]</f>
        <v>4</v>
      </c>
      <c r="O1075" s="1">
        <f>Table1[[#This Row],[Losing Seed]]-Table1[[#This Row],[Winning Seed]]</f>
        <v>-9</v>
      </c>
      <c r="P1075" s="1" t="str">
        <f>IF(Table1[[#This Row],[SeD]]&lt;-2,Table1[[#This Row],[Winning Seed]]&amp; " over " &amp;Table1[[#This Row],[Losing Seed]],"")</f>
        <v>13 over 4</v>
      </c>
      <c r="Q1075">
        <f>VLOOKUP(Table1[[#This Row],[Losing Seed]],'Seed History'!$N$4:$O$19,2)</f>
        <v>1.5208333333333333</v>
      </c>
      <c r="R1075" s="1">
        <f>IF(Table1[[#This Row],[Round]]="PI",0,Table1[[#This Row],[Round]]-1)</f>
        <v>0</v>
      </c>
      <c r="S1075">
        <f>Table1[[#This Row],[LAW]]-Table1[[#This Row],[LEW]]</f>
        <v>-1.5208333333333333</v>
      </c>
    </row>
    <row r="1076" spans="1:19" x14ac:dyDescent="0.25">
      <c r="A1076" s="66">
        <v>37329</v>
      </c>
      <c r="B1076" s="51">
        <f>YEAR(Table1[[#This Row],[Date]])</f>
        <v>2002</v>
      </c>
      <c r="C1076" s="1">
        <v>1</v>
      </c>
      <c r="D1076" t="s">
        <v>49</v>
      </c>
      <c r="E1076" s="1">
        <v>12</v>
      </c>
      <c r="F1076" t="s">
        <v>94</v>
      </c>
      <c r="G1076" t="str">
        <f>VLOOKUP(Table1[[#This Row],[Winner]],Ranking!C:D,2,FALSE)</f>
        <v>Amer</v>
      </c>
      <c r="H1076" s="1">
        <v>71</v>
      </c>
      <c r="I1076" s="1">
        <v>5</v>
      </c>
      <c r="J1076" t="s">
        <v>262</v>
      </c>
      <c r="K1076" t="str">
        <f>VLOOKUP(Table1[[#This Row],[Loser]],Ranking!C:D,2,FALSE)</f>
        <v>BE</v>
      </c>
      <c r="L1076" s="1">
        <v>69</v>
      </c>
      <c r="N1076" s="1">
        <f>Table1[[#This Row],[Winning Score]]-Table1[[#This Row],[Losing Score]]</f>
        <v>2</v>
      </c>
      <c r="O1076" s="1">
        <f>Table1[[#This Row],[Losing Seed]]-Table1[[#This Row],[Winning Seed]]</f>
        <v>-7</v>
      </c>
      <c r="P1076" s="1" t="str">
        <f>IF(Table1[[#This Row],[SeD]]&lt;-2,Table1[[#This Row],[Winning Seed]]&amp; " over " &amp;Table1[[#This Row],[Losing Seed]],"")</f>
        <v>12 over 5</v>
      </c>
      <c r="Q1076">
        <f>VLOOKUP(Table1[[#This Row],[Losing Seed]],'Seed History'!$N$4:$O$19,2)</f>
        <v>1.1180555555555556</v>
      </c>
      <c r="R1076" s="1">
        <f>IF(Table1[[#This Row],[Round]]="PI",0,Table1[[#This Row],[Round]]-1)</f>
        <v>0</v>
      </c>
      <c r="S1076">
        <f>Table1[[#This Row],[LAW]]-Table1[[#This Row],[LEW]]</f>
        <v>-1.1180555555555556</v>
      </c>
    </row>
    <row r="1077" spans="1:19" x14ac:dyDescent="0.25">
      <c r="A1077" s="66">
        <v>37329</v>
      </c>
      <c r="B1077" s="51">
        <f>YEAR(Table1[[#This Row],[Date]])</f>
        <v>2002</v>
      </c>
      <c r="C1077" s="1">
        <v>1</v>
      </c>
      <c r="D1077" t="s">
        <v>38</v>
      </c>
      <c r="E1077" s="1">
        <v>12</v>
      </c>
      <c r="F1077" t="s">
        <v>277</v>
      </c>
      <c r="G1077" t="str">
        <f>VLOOKUP(Table1[[#This Row],[Winner]],Ranking!C:D,2,FALSE)</f>
        <v>SEC</v>
      </c>
      <c r="H1077" s="1">
        <v>93</v>
      </c>
      <c r="I1077" s="1">
        <v>5</v>
      </c>
      <c r="J1077" t="s">
        <v>269</v>
      </c>
      <c r="K1077" t="str">
        <f>VLOOKUP(Table1[[#This Row],[Loser]],Ranking!C:D,2,FALSE)</f>
        <v>ACC</v>
      </c>
      <c r="L1077" s="1">
        <v>80</v>
      </c>
      <c r="N1077" s="1">
        <f>Table1[[#This Row],[Winning Score]]-Table1[[#This Row],[Losing Score]]</f>
        <v>13</v>
      </c>
      <c r="O1077" s="1">
        <f>Table1[[#This Row],[Losing Seed]]-Table1[[#This Row],[Winning Seed]]</f>
        <v>-7</v>
      </c>
      <c r="P1077" s="1" t="str">
        <f>IF(Table1[[#This Row],[SeD]]&lt;-2,Table1[[#This Row],[Winning Seed]]&amp; " over " &amp;Table1[[#This Row],[Losing Seed]],"")</f>
        <v>12 over 5</v>
      </c>
      <c r="Q1077">
        <f>VLOOKUP(Table1[[#This Row],[Losing Seed]],'Seed History'!$N$4:$O$19,2)</f>
        <v>1.1180555555555556</v>
      </c>
      <c r="R1077" s="1">
        <f>IF(Table1[[#This Row],[Round]]="PI",0,Table1[[#This Row],[Round]]-1)</f>
        <v>0</v>
      </c>
      <c r="S1077">
        <f>Table1[[#This Row],[LAW]]-Table1[[#This Row],[LEW]]</f>
        <v>-1.1180555555555556</v>
      </c>
    </row>
    <row r="1078" spans="1:19" x14ac:dyDescent="0.25">
      <c r="A1078" s="66">
        <v>37329</v>
      </c>
      <c r="B1078" s="51">
        <f>YEAR(Table1[[#This Row],[Date]])</f>
        <v>2002</v>
      </c>
      <c r="C1078" s="1">
        <v>1</v>
      </c>
      <c r="D1078" t="s">
        <v>38</v>
      </c>
      <c r="E1078" s="1">
        <v>11</v>
      </c>
      <c r="F1078" t="s">
        <v>53</v>
      </c>
      <c r="G1078" t="str">
        <f>VLOOKUP(Table1[[#This Row],[Winner]],Ranking!C:D,2,FALSE)</f>
        <v>MWC</v>
      </c>
      <c r="H1078" s="1">
        <v>73</v>
      </c>
      <c r="I1078" s="1">
        <v>6</v>
      </c>
      <c r="J1078" t="s">
        <v>71</v>
      </c>
      <c r="K1078" t="str">
        <f>VLOOKUP(Table1[[#This Row],[Loser]],Ranking!C:D,2,FALSE)</f>
        <v>WCC</v>
      </c>
      <c r="L1078" s="1">
        <v>66</v>
      </c>
      <c r="N1078" s="1">
        <f>Table1[[#This Row],[Winning Score]]-Table1[[#This Row],[Losing Score]]</f>
        <v>7</v>
      </c>
      <c r="O1078" s="1">
        <f>Table1[[#This Row],[Losing Seed]]-Table1[[#This Row],[Winning Seed]]</f>
        <v>-5</v>
      </c>
      <c r="P1078" s="1" t="str">
        <f>IF(Table1[[#This Row],[SeD]]&lt;-2,Table1[[#This Row],[Winning Seed]]&amp; " over " &amp;Table1[[#This Row],[Losing Seed]],"")</f>
        <v>11 over 6</v>
      </c>
      <c r="Q1078">
        <f>VLOOKUP(Table1[[#This Row],[Losing Seed]],'Seed History'!$N$4:$O$19,2)</f>
        <v>1.0625</v>
      </c>
      <c r="R1078" s="1">
        <f>IF(Table1[[#This Row],[Round]]="PI",0,Table1[[#This Row],[Round]]-1)</f>
        <v>0</v>
      </c>
      <c r="S1078">
        <f>Table1[[#This Row],[LAW]]-Table1[[#This Row],[LEW]]</f>
        <v>-1.0625</v>
      </c>
    </row>
    <row r="1079" spans="1:19" x14ac:dyDescent="0.25">
      <c r="A1079" s="66">
        <v>37329</v>
      </c>
      <c r="B1079" s="51">
        <f>YEAR(Table1[[#This Row],[Date]])</f>
        <v>2002</v>
      </c>
      <c r="C1079" s="1">
        <v>1</v>
      </c>
      <c r="D1079" t="s">
        <v>49</v>
      </c>
      <c r="E1079" s="1">
        <v>4</v>
      </c>
      <c r="F1079" t="s">
        <v>26</v>
      </c>
      <c r="G1079" t="str">
        <f>VLOOKUP(Table1[[#This Row],[Winner]],Ranking!C:D,2,FALSE)</f>
        <v>SEC</v>
      </c>
      <c r="H1079" s="1">
        <v>83</v>
      </c>
      <c r="I1079" s="1">
        <v>13</v>
      </c>
      <c r="J1079" t="s">
        <v>32</v>
      </c>
      <c r="K1079" t="str">
        <f>VLOOKUP(Table1[[#This Row],[Loser]],Ranking!C:D,2,FALSE)</f>
        <v>MVC</v>
      </c>
      <c r="L1079" s="1">
        <v>68</v>
      </c>
      <c r="N1079" s="1">
        <f>Table1[[#This Row],[Winning Score]]-Table1[[#This Row],[Losing Score]]</f>
        <v>15</v>
      </c>
      <c r="O1079" s="1">
        <f>Table1[[#This Row],[Losing Seed]]-Table1[[#This Row],[Winning Seed]]</f>
        <v>9</v>
      </c>
      <c r="P1079" s="1" t="str">
        <f>IF(Table1[[#This Row],[SeD]]&lt;-2,Table1[[#This Row],[Winning Seed]]&amp; " over " &amp;Table1[[#This Row],[Losing Seed]],"")</f>
        <v/>
      </c>
      <c r="Q1079">
        <f>VLOOKUP(Table1[[#This Row],[Losing Seed]],'Seed History'!$N$4:$O$19,2)</f>
        <v>0.25694444444444442</v>
      </c>
      <c r="R1079" s="1">
        <f>IF(Table1[[#This Row],[Round]]="PI",0,Table1[[#This Row],[Round]]-1)</f>
        <v>0</v>
      </c>
      <c r="S1079">
        <f>Table1[[#This Row],[LAW]]-Table1[[#This Row],[LEW]]</f>
        <v>-0.25694444444444442</v>
      </c>
    </row>
    <row r="1080" spans="1:19" x14ac:dyDescent="0.25">
      <c r="A1080" s="66">
        <v>37329</v>
      </c>
      <c r="B1080" s="51">
        <f>YEAR(Table1[[#This Row],[Date]])</f>
        <v>2002</v>
      </c>
      <c r="C1080" s="1">
        <v>1</v>
      </c>
      <c r="D1080" t="s">
        <v>439</v>
      </c>
      <c r="E1080" s="1">
        <v>1</v>
      </c>
      <c r="F1080" t="s">
        <v>37</v>
      </c>
      <c r="G1080" t="str">
        <f>VLOOKUP(Table1[[#This Row],[Winner]],Ranking!C:D,2,FALSE)</f>
        <v>B12</v>
      </c>
      <c r="H1080" s="1">
        <v>70</v>
      </c>
      <c r="I1080" s="1">
        <v>16</v>
      </c>
      <c r="J1080" t="s">
        <v>224</v>
      </c>
      <c r="K1080" t="str">
        <f>VLOOKUP(Table1[[#This Row],[Loser]],Ranking!C:D,2,FALSE)</f>
        <v>Pat</v>
      </c>
      <c r="L1080" s="1">
        <v>59</v>
      </c>
      <c r="N1080" s="1">
        <f>Table1[[#This Row],[Winning Score]]-Table1[[#This Row],[Losing Score]]</f>
        <v>11</v>
      </c>
      <c r="O1080" s="1">
        <f>Table1[[#This Row],[Losing Seed]]-Table1[[#This Row],[Winning Seed]]</f>
        <v>15</v>
      </c>
      <c r="P1080" s="1" t="str">
        <f>IF(Table1[[#This Row],[SeD]]&lt;-2,Table1[[#This Row],[Winning Seed]]&amp; " over " &amp;Table1[[#This Row],[Losing Seed]],"")</f>
        <v/>
      </c>
      <c r="Q1080">
        <f>VLOOKUP(Table1[[#This Row],[Losing Seed]],'Seed History'!$N$4:$O$19,2)</f>
        <v>6.9444444444444441E-3</v>
      </c>
      <c r="R1080" s="1">
        <f>IF(Table1[[#This Row],[Round]]="PI",0,Table1[[#This Row],[Round]]-1)</f>
        <v>0</v>
      </c>
      <c r="S1080">
        <f>Table1[[#This Row],[LAW]]-Table1[[#This Row],[LEW]]</f>
        <v>-6.9444444444444441E-3</v>
      </c>
    </row>
    <row r="1081" spans="1:19" x14ac:dyDescent="0.25">
      <c r="A1081" s="66">
        <v>37329</v>
      </c>
      <c r="B1081" s="51">
        <f>YEAR(Table1[[#This Row],[Date]])</f>
        <v>2002</v>
      </c>
      <c r="C1081" s="1">
        <v>1</v>
      </c>
      <c r="D1081" t="s">
        <v>439</v>
      </c>
      <c r="E1081" s="1">
        <v>2</v>
      </c>
      <c r="F1081" t="s">
        <v>40</v>
      </c>
      <c r="G1081" t="str">
        <f>VLOOKUP(Table1[[#This Row],[Winner]],Ranking!C:D,2,FALSE)</f>
        <v>P12</v>
      </c>
      <c r="H1081" s="1">
        <v>81</v>
      </c>
      <c r="I1081" s="1">
        <v>15</v>
      </c>
      <c r="J1081" t="s">
        <v>280</v>
      </c>
      <c r="K1081" t="str">
        <f>VLOOKUP(Table1[[#This Row],[Loser]],Ranking!C:D,2,FALSE)</f>
        <v>BSky</v>
      </c>
      <c r="L1081" s="1">
        <v>62</v>
      </c>
      <c r="N1081" s="1">
        <f>Table1[[#This Row],[Winning Score]]-Table1[[#This Row],[Losing Score]]</f>
        <v>19</v>
      </c>
      <c r="O1081" s="1">
        <f>Table1[[#This Row],[Losing Seed]]-Table1[[#This Row],[Winning Seed]]</f>
        <v>13</v>
      </c>
      <c r="P1081" s="1" t="str">
        <f>IF(Table1[[#This Row],[SeD]]&lt;-2,Table1[[#This Row],[Winning Seed]]&amp; " over " &amp;Table1[[#This Row],[Losing Seed]],"")</f>
        <v/>
      </c>
      <c r="Q1081">
        <f>VLOOKUP(Table1[[#This Row],[Losing Seed]],'Seed History'!$N$4:$O$19,2)</f>
        <v>7.6388888888888895E-2</v>
      </c>
      <c r="R1081" s="1">
        <f>IF(Table1[[#This Row],[Round]]="PI",0,Table1[[#This Row],[Round]]-1)</f>
        <v>0</v>
      </c>
      <c r="S1081">
        <f>Table1[[#This Row],[LAW]]-Table1[[#This Row],[LEW]]</f>
        <v>-7.6388888888888895E-2</v>
      </c>
    </row>
    <row r="1082" spans="1:19" x14ac:dyDescent="0.25">
      <c r="A1082" s="66">
        <v>37329</v>
      </c>
      <c r="B1082" s="51">
        <f>YEAR(Table1[[#This Row],[Date]])</f>
        <v>2002</v>
      </c>
      <c r="C1082" s="1">
        <v>1</v>
      </c>
      <c r="D1082" t="s">
        <v>439</v>
      </c>
      <c r="E1082" s="1">
        <v>7</v>
      </c>
      <c r="F1082" t="s">
        <v>408</v>
      </c>
      <c r="G1082" t="str">
        <f>VLOOKUP(Table1[[#This Row],[Winner]],Ranking!C:D,2,FALSE)</f>
        <v>ACC</v>
      </c>
      <c r="H1082" s="1">
        <v>83</v>
      </c>
      <c r="I1082" s="1">
        <v>10</v>
      </c>
      <c r="J1082" t="s">
        <v>323</v>
      </c>
      <c r="K1082" t="str">
        <f>VLOOKUP(Table1[[#This Row],[Loser]],Ranking!C:D,2,FALSE)</f>
        <v>WCC</v>
      </c>
      <c r="L1082" s="1">
        <v>74</v>
      </c>
      <c r="N1082" s="1">
        <f>Table1[[#This Row],[Winning Score]]-Table1[[#This Row],[Losing Score]]</f>
        <v>9</v>
      </c>
      <c r="O1082" s="1">
        <f>Table1[[#This Row],[Losing Seed]]-Table1[[#This Row],[Winning Seed]]</f>
        <v>3</v>
      </c>
      <c r="P1082" s="1" t="str">
        <f>IF(Table1[[#This Row],[SeD]]&lt;-2,Table1[[#This Row],[Winning Seed]]&amp; " over " &amp;Table1[[#This Row],[Losing Seed]],"")</f>
        <v/>
      </c>
      <c r="Q1082">
        <f>VLOOKUP(Table1[[#This Row],[Losing Seed]],'Seed History'!$N$4:$O$19,2)</f>
        <v>0.61805555555555558</v>
      </c>
      <c r="R1082" s="1">
        <f>IF(Table1[[#This Row],[Round]]="PI",0,Table1[[#This Row],[Round]]-1)</f>
        <v>0</v>
      </c>
      <c r="S1082">
        <f>Table1[[#This Row],[LAW]]-Table1[[#This Row],[LEW]]</f>
        <v>-0.61805555555555558</v>
      </c>
    </row>
    <row r="1083" spans="1:19" x14ac:dyDescent="0.25">
      <c r="A1083" s="66">
        <v>37329</v>
      </c>
      <c r="B1083" s="51">
        <f>YEAR(Table1[[#This Row],[Date]])</f>
        <v>2002</v>
      </c>
      <c r="C1083" s="1">
        <v>1</v>
      </c>
      <c r="D1083" t="s">
        <v>439</v>
      </c>
      <c r="E1083" s="1">
        <v>8</v>
      </c>
      <c r="F1083" t="s">
        <v>369</v>
      </c>
      <c r="G1083" t="str">
        <f>VLOOKUP(Table1[[#This Row],[Winner]],Ranking!C:D,2,FALSE)</f>
        <v>P12</v>
      </c>
      <c r="H1083" s="1">
        <v>84</v>
      </c>
      <c r="I1083" s="1">
        <v>9</v>
      </c>
      <c r="J1083" t="s">
        <v>415</v>
      </c>
      <c r="K1083" t="str">
        <f>VLOOKUP(Table1[[#This Row],[Loser]],Ranking!C:D,2,FALSE)</f>
        <v>CUSA</v>
      </c>
      <c r="L1083" s="1">
        <v>68</v>
      </c>
      <c r="N1083" s="1">
        <f>Table1[[#This Row],[Winning Score]]-Table1[[#This Row],[Losing Score]]</f>
        <v>16</v>
      </c>
      <c r="O1083" s="1">
        <f>Table1[[#This Row],[Losing Seed]]-Table1[[#This Row],[Winning Seed]]</f>
        <v>1</v>
      </c>
      <c r="P1083" s="1" t="str">
        <f>IF(Table1[[#This Row],[SeD]]&lt;-2,Table1[[#This Row],[Winning Seed]]&amp; " over " &amp;Table1[[#This Row],[Losing Seed]],"")</f>
        <v/>
      </c>
      <c r="Q1083">
        <f>VLOOKUP(Table1[[#This Row],[Losing Seed]],'Seed History'!$N$4:$O$19,2)</f>
        <v>0.59027777777777779</v>
      </c>
      <c r="R1083" s="1">
        <f>IF(Table1[[#This Row],[Round]]="PI",0,Table1[[#This Row],[Round]]-1)</f>
        <v>0</v>
      </c>
      <c r="S1083">
        <f>Table1[[#This Row],[LAW]]-Table1[[#This Row],[LEW]]</f>
        <v>-0.59027777777777779</v>
      </c>
    </row>
    <row r="1084" spans="1:19" x14ac:dyDescent="0.25">
      <c r="A1084" s="66">
        <v>37329</v>
      </c>
      <c r="B1084" s="51">
        <f>YEAR(Table1[[#This Row],[Date]])</f>
        <v>2002</v>
      </c>
      <c r="C1084" s="1">
        <v>1</v>
      </c>
      <c r="D1084" t="s">
        <v>63</v>
      </c>
      <c r="E1084" s="1">
        <v>1</v>
      </c>
      <c r="F1084" t="s">
        <v>64</v>
      </c>
      <c r="G1084" t="str">
        <f>VLOOKUP(Table1[[#This Row],[Winner]],Ranking!C:D,2,FALSE)</f>
        <v>ACC</v>
      </c>
      <c r="H1084" s="1">
        <v>84</v>
      </c>
      <c r="I1084" s="1">
        <v>16</v>
      </c>
      <c r="J1084" t="s">
        <v>419</v>
      </c>
      <c r="K1084" t="str">
        <f>VLOOKUP(Table1[[#This Row],[Loser]],Ranking!C:D,2,FALSE)</f>
        <v>BSth</v>
      </c>
      <c r="L1084" s="1">
        <v>37</v>
      </c>
      <c r="N1084" s="1">
        <f>Table1[[#This Row],[Winning Score]]-Table1[[#This Row],[Losing Score]]</f>
        <v>47</v>
      </c>
      <c r="O1084" s="1">
        <f>Table1[[#This Row],[Losing Seed]]-Table1[[#This Row],[Winning Seed]]</f>
        <v>15</v>
      </c>
      <c r="P1084" s="1" t="str">
        <f>IF(Table1[[#This Row],[SeD]]&lt;-2,Table1[[#This Row],[Winning Seed]]&amp; " over " &amp;Table1[[#This Row],[Losing Seed]],"")</f>
        <v/>
      </c>
      <c r="Q1084">
        <f>VLOOKUP(Table1[[#This Row],[Losing Seed]],'Seed History'!$N$4:$O$19,2)</f>
        <v>6.9444444444444441E-3</v>
      </c>
      <c r="R1084" s="1">
        <f>IF(Table1[[#This Row],[Round]]="PI",0,Table1[[#This Row],[Round]]-1)</f>
        <v>0</v>
      </c>
      <c r="S1084">
        <f>Table1[[#This Row],[LAW]]-Table1[[#This Row],[LEW]]</f>
        <v>-6.9444444444444441E-3</v>
      </c>
    </row>
    <row r="1085" spans="1:19" x14ac:dyDescent="0.25">
      <c r="A1085" s="66">
        <v>37329</v>
      </c>
      <c r="B1085" s="51">
        <f>YEAR(Table1[[#This Row],[Date]])</f>
        <v>2002</v>
      </c>
      <c r="C1085" s="1">
        <v>1</v>
      </c>
      <c r="D1085" t="s">
        <v>63</v>
      </c>
      <c r="E1085" s="1">
        <v>2</v>
      </c>
      <c r="F1085" t="s">
        <v>113</v>
      </c>
      <c r="G1085" t="str">
        <f>VLOOKUP(Table1[[#This Row],[Winner]],Ranking!C:D,2,FALSE)</f>
        <v>SEC</v>
      </c>
      <c r="H1085" s="1">
        <v>86</v>
      </c>
      <c r="I1085" s="1">
        <v>15</v>
      </c>
      <c r="J1085" t="s">
        <v>204</v>
      </c>
      <c r="K1085" t="str">
        <f>VLOOKUP(Table1[[#This Row],[Loser]],Ranking!C:D,2,FALSE)</f>
        <v>CUSA</v>
      </c>
      <c r="L1085" s="1">
        <v>78</v>
      </c>
      <c r="N1085" s="1">
        <f>Table1[[#This Row],[Winning Score]]-Table1[[#This Row],[Losing Score]]</f>
        <v>8</v>
      </c>
      <c r="O1085" s="1">
        <f>Table1[[#This Row],[Losing Seed]]-Table1[[#This Row],[Winning Seed]]</f>
        <v>13</v>
      </c>
      <c r="P1085" s="1" t="str">
        <f>IF(Table1[[#This Row],[SeD]]&lt;-2,Table1[[#This Row],[Winning Seed]]&amp; " over " &amp;Table1[[#This Row],[Losing Seed]],"")</f>
        <v/>
      </c>
      <c r="Q1085">
        <f>VLOOKUP(Table1[[#This Row],[Losing Seed]],'Seed History'!$N$4:$O$19,2)</f>
        <v>7.6388888888888895E-2</v>
      </c>
      <c r="R1085" s="1">
        <f>IF(Table1[[#This Row],[Round]]="PI",0,Table1[[#This Row],[Round]]-1)</f>
        <v>0</v>
      </c>
      <c r="S1085">
        <f>Table1[[#This Row],[LAW]]-Table1[[#This Row],[LEW]]</f>
        <v>-7.6388888888888895E-2</v>
      </c>
    </row>
    <row r="1086" spans="1:19" x14ac:dyDescent="0.25">
      <c r="A1086" s="66">
        <v>37329</v>
      </c>
      <c r="B1086" s="51">
        <f>YEAR(Table1[[#This Row],[Date]])</f>
        <v>2002</v>
      </c>
      <c r="C1086" s="1">
        <v>1</v>
      </c>
      <c r="D1086" t="s">
        <v>63</v>
      </c>
      <c r="E1086" s="1">
        <v>5</v>
      </c>
      <c r="F1086" t="s">
        <v>36</v>
      </c>
      <c r="G1086" t="str">
        <f>VLOOKUP(Table1[[#This Row],[Winner]],Ranking!C:D,2,FALSE)</f>
        <v>B10</v>
      </c>
      <c r="H1086" s="1">
        <v>75</v>
      </c>
      <c r="I1086" s="1">
        <v>12</v>
      </c>
      <c r="J1086" t="s">
        <v>65</v>
      </c>
      <c r="K1086" t="str">
        <f>VLOOKUP(Table1[[#This Row],[Loser]],Ranking!C:D,2,FALSE)</f>
        <v>P12</v>
      </c>
      <c r="L1086" s="1">
        <v>56</v>
      </c>
      <c r="N1086" s="1">
        <f>Table1[[#This Row],[Winning Score]]-Table1[[#This Row],[Losing Score]]</f>
        <v>19</v>
      </c>
      <c r="O1086" s="1">
        <f>Table1[[#This Row],[Losing Seed]]-Table1[[#This Row],[Winning Seed]]</f>
        <v>7</v>
      </c>
      <c r="P1086" s="1" t="str">
        <f>IF(Table1[[#This Row],[SeD]]&lt;-2,Table1[[#This Row],[Winning Seed]]&amp; " over " &amp;Table1[[#This Row],[Losing Seed]],"")</f>
        <v/>
      </c>
      <c r="Q1086">
        <f>VLOOKUP(Table1[[#This Row],[Losing Seed]],'Seed History'!$N$4:$O$19,2)</f>
        <v>0.52083333333333337</v>
      </c>
      <c r="R1086" s="1">
        <f>IF(Table1[[#This Row],[Round]]="PI",0,Table1[[#This Row],[Round]]-1)</f>
        <v>0</v>
      </c>
      <c r="S1086">
        <f>Table1[[#This Row],[LAW]]-Table1[[#This Row],[LEW]]</f>
        <v>-0.52083333333333337</v>
      </c>
    </row>
    <row r="1087" spans="1:19" x14ac:dyDescent="0.25">
      <c r="A1087" s="66">
        <v>37329</v>
      </c>
      <c r="B1087" s="51">
        <f>YEAR(Table1[[#This Row],[Date]])</f>
        <v>2002</v>
      </c>
      <c r="C1087" s="1">
        <v>1</v>
      </c>
      <c r="D1087" t="s">
        <v>63</v>
      </c>
      <c r="E1087" s="1">
        <v>8</v>
      </c>
      <c r="F1087" t="s">
        <v>35</v>
      </c>
      <c r="G1087" t="str">
        <f>VLOOKUP(Table1[[#This Row],[Winner]],Ranking!C:D,2,FALSE)</f>
        <v>ACC</v>
      </c>
      <c r="H1087" s="1">
        <v>82</v>
      </c>
      <c r="I1087" s="1">
        <v>9</v>
      </c>
      <c r="J1087" t="s">
        <v>165</v>
      </c>
      <c r="K1087" t="str">
        <f>VLOOKUP(Table1[[#This Row],[Loser]],Ranking!C:D,2,FALSE)</f>
        <v>CUSA</v>
      </c>
      <c r="L1087" s="1">
        <v>63</v>
      </c>
      <c r="N1087" s="1">
        <f>Table1[[#This Row],[Winning Score]]-Table1[[#This Row],[Losing Score]]</f>
        <v>19</v>
      </c>
      <c r="O1087" s="1">
        <f>Table1[[#This Row],[Losing Seed]]-Table1[[#This Row],[Winning Seed]]</f>
        <v>1</v>
      </c>
      <c r="P1087" s="1" t="str">
        <f>IF(Table1[[#This Row],[SeD]]&lt;-2,Table1[[#This Row],[Winning Seed]]&amp; " over " &amp;Table1[[#This Row],[Losing Seed]],"")</f>
        <v/>
      </c>
      <c r="Q1087">
        <f>VLOOKUP(Table1[[#This Row],[Losing Seed]],'Seed History'!$N$4:$O$19,2)</f>
        <v>0.59027777777777779</v>
      </c>
      <c r="R1087" s="1">
        <f>IF(Table1[[#This Row],[Round]]="PI",0,Table1[[#This Row],[Round]]-1)</f>
        <v>0</v>
      </c>
      <c r="S1087">
        <f>Table1[[#This Row],[LAW]]-Table1[[#This Row],[LEW]]</f>
        <v>-0.59027777777777779</v>
      </c>
    </row>
    <row r="1088" spans="1:19" x14ac:dyDescent="0.25">
      <c r="A1088" s="66">
        <v>37329</v>
      </c>
      <c r="B1088" s="51">
        <f>YEAR(Table1[[#This Row],[Date]])</f>
        <v>2002</v>
      </c>
      <c r="C1088" s="1">
        <v>1</v>
      </c>
      <c r="D1088" t="s">
        <v>38</v>
      </c>
      <c r="E1088" s="1">
        <v>3</v>
      </c>
      <c r="F1088" t="s">
        <v>48</v>
      </c>
      <c r="G1088" t="str">
        <f>VLOOKUP(Table1[[#This Row],[Winner]],Ranking!C:D,2,FALSE)</f>
        <v>P12</v>
      </c>
      <c r="H1088" s="1">
        <v>86</v>
      </c>
      <c r="I1088" s="1">
        <v>14</v>
      </c>
      <c r="J1088" t="s">
        <v>388</v>
      </c>
      <c r="K1088" t="str">
        <f>VLOOKUP(Table1[[#This Row],[Loser]],Ranking!C:D,2,FALSE)</f>
        <v>BW</v>
      </c>
      <c r="L1088" s="1">
        <v>81</v>
      </c>
      <c r="N1088" s="1">
        <f>Table1[[#This Row],[Winning Score]]-Table1[[#This Row],[Losing Score]]</f>
        <v>5</v>
      </c>
      <c r="O1088" s="1">
        <f>Table1[[#This Row],[Losing Seed]]-Table1[[#This Row],[Winning Seed]]</f>
        <v>11</v>
      </c>
      <c r="P1088" s="1" t="str">
        <f>IF(Table1[[#This Row],[SeD]]&lt;-2,Table1[[#This Row],[Winning Seed]]&amp; " over " &amp;Table1[[#This Row],[Losing Seed]],"")</f>
        <v/>
      </c>
      <c r="Q1088">
        <f>VLOOKUP(Table1[[#This Row],[Losing Seed]],'Seed History'!$N$4:$O$19,2)</f>
        <v>0.16666666666666666</v>
      </c>
      <c r="R1088" s="1">
        <f>IF(Table1[[#This Row],[Round]]="PI",0,Table1[[#This Row],[Round]]-1)</f>
        <v>0</v>
      </c>
      <c r="S1088">
        <f>Table1[[#This Row],[LAW]]-Table1[[#This Row],[LEW]]</f>
        <v>-0.16666666666666666</v>
      </c>
    </row>
    <row r="1089" spans="1:19" x14ac:dyDescent="0.25">
      <c r="A1089" s="66">
        <v>37329</v>
      </c>
      <c r="B1089" s="51">
        <f>YEAR(Table1[[#This Row],[Date]])</f>
        <v>2002</v>
      </c>
      <c r="C1089" s="1">
        <v>1</v>
      </c>
      <c r="D1089" t="s">
        <v>38</v>
      </c>
      <c r="E1089" s="1">
        <v>4</v>
      </c>
      <c r="F1089" t="s">
        <v>315</v>
      </c>
      <c r="G1089" t="str">
        <f>VLOOKUP(Table1[[#This Row],[Winner]],Ranking!C:D,2,FALSE)</f>
        <v>B10</v>
      </c>
      <c r="H1089" s="1">
        <v>69</v>
      </c>
      <c r="I1089" s="1">
        <v>13</v>
      </c>
      <c r="J1089" t="s">
        <v>70</v>
      </c>
      <c r="K1089" t="str">
        <f>VLOOKUP(Table1[[#This Row],[Loser]],Ranking!C:D,2,FALSE)</f>
        <v>A10</v>
      </c>
      <c r="L1089" s="1">
        <v>64</v>
      </c>
      <c r="N1089" s="1">
        <f>Table1[[#This Row],[Winning Score]]-Table1[[#This Row],[Losing Score]]</f>
        <v>5</v>
      </c>
      <c r="O1089" s="1">
        <f>Table1[[#This Row],[Losing Seed]]-Table1[[#This Row],[Winning Seed]]</f>
        <v>9</v>
      </c>
      <c r="P1089" s="1" t="str">
        <f>IF(Table1[[#This Row],[SeD]]&lt;-2,Table1[[#This Row],[Winning Seed]]&amp; " over " &amp;Table1[[#This Row],[Losing Seed]],"")</f>
        <v/>
      </c>
      <c r="Q1089">
        <f>VLOOKUP(Table1[[#This Row],[Losing Seed]],'Seed History'!$N$4:$O$19,2)</f>
        <v>0.25694444444444442</v>
      </c>
      <c r="R1089" s="1">
        <f>IF(Table1[[#This Row],[Round]]="PI",0,Table1[[#This Row],[Round]]-1)</f>
        <v>0</v>
      </c>
      <c r="S1089">
        <f>Table1[[#This Row],[LAW]]-Table1[[#This Row],[LEW]]</f>
        <v>-0.25694444444444442</v>
      </c>
    </row>
    <row r="1090" spans="1:19" x14ac:dyDescent="0.25">
      <c r="A1090" s="66">
        <v>37329</v>
      </c>
      <c r="B1090" s="51">
        <f>YEAR(Table1[[#This Row],[Date]])</f>
        <v>2002</v>
      </c>
      <c r="C1090" s="1">
        <v>1</v>
      </c>
      <c r="D1090" t="s">
        <v>63</v>
      </c>
      <c r="E1090" s="1">
        <v>10</v>
      </c>
      <c r="F1090" t="s">
        <v>245</v>
      </c>
      <c r="G1090" t="str">
        <f>VLOOKUP(Table1[[#This Row],[Winner]],Ranking!C:D,2,FALSE)</f>
        <v>MAC</v>
      </c>
      <c r="H1090" s="1">
        <v>69</v>
      </c>
      <c r="I1090" s="1">
        <v>7</v>
      </c>
      <c r="J1090" t="s">
        <v>316</v>
      </c>
      <c r="K1090" t="str">
        <f>VLOOKUP(Table1[[#This Row],[Loser]],Ranking!C:D,2,FALSE)</f>
        <v>B12</v>
      </c>
      <c r="L1090" s="1">
        <v>61</v>
      </c>
      <c r="N1090" s="1">
        <f>Table1[[#This Row],[Winning Score]]-Table1[[#This Row],[Losing Score]]</f>
        <v>8</v>
      </c>
      <c r="O1090" s="1">
        <f>Table1[[#This Row],[Losing Seed]]-Table1[[#This Row],[Winning Seed]]</f>
        <v>-3</v>
      </c>
      <c r="P1090" s="1" t="str">
        <f>IF(Table1[[#This Row],[SeD]]&lt;-2,Table1[[#This Row],[Winning Seed]]&amp; " over " &amp;Table1[[#This Row],[Losing Seed]],"")</f>
        <v>10 over 7</v>
      </c>
      <c r="Q1090">
        <f>VLOOKUP(Table1[[#This Row],[Losing Seed]],'Seed History'!$N$4:$O$19,2)</f>
        <v>0.90277777777777779</v>
      </c>
      <c r="R1090" s="1">
        <f>IF(Table1[[#This Row],[Round]]="PI",0,Table1[[#This Row],[Round]]-1)</f>
        <v>0</v>
      </c>
      <c r="S1090">
        <f>Table1[[#This Row],[LAW]]-Table1[[#This Row],[LEW]]</f>
        <v>-0.90277777777777779</v>
      </c>
    </row>
    <row r="1091" spans="1:19" x14ac:dyDescent="0.25">
      <c r="A1091" s="66">
        <v>37330</v>
      </c>
      <c r="B1091" s="51">
        <f>YEAR(Table1[[#This Row],[Date]])</f>
        <v>2002</v>
      </c>
      <c r="C1091" s="1">
        <v>1</v>
      </c>
      <c r="D1091" t="s">
        <v>439</v>
      </c>
      <c r="E1091" s="1">
        <v>12</v>
      </c>
      <c r="F1091" t="s">
        <v>88</v>
      </c>
      <c r="G1091" t="str">
        <f>VLOOKUP(Table1[[#This Row],[Winner]],Ranking!C:D,2,FALSE)</f>
        <v>BE</v>
      </c>
      <c r="H1091" s="1">
        <v>83</v>
      </c>
      <c r="I1091" s="1">
        <v>5</v>
      </c>
      <c r="J1091" t="s">
        <v>81</v>
      </c>
      <c r="K1091" t="str">
        <f>VLOOKUP(Table1[[#This Row],[Loser]],Ranking!C:D,2,FALSE)</f>
        <v>SEC</v>
      </c>
      <c r="L1091" s="1">
        <v>82</v>
      </c>
      <c r="M1091" s="1" t="s">
        <v>463</v>
      </c>
      <c r="N1091" s="1">
        <f>Table1[[#This Row],[Winning Score]]-Table1[[#This Row],[Losing Score]]</f>
        <v>1</v>
      </c>
      <c r="O1091" s="1">
        <f>Table1[[#This Row],[Losing Seed]]-Table1[[#This Row],[Winning Seed]]</f>
        <v>-7</v>
      </c>
      <c r="P1091" s="1" t="str">
        <f>IF(Table1[[#This Row],[SeD]]&lt;-2,Table1[[#This Row],[Winning Seed]]&amp; " over " &amp;Table1[[#This Row],[Losing Seed]],"")</f>
        <v>12 over 5</v>
      </c>
      <c r="Q1091">
        <f>VLOOKUP(Table1[[#This Row],[Losing Seed]],'Seed History'!$N$4:$O$19,2)</f>
        <v>1.1180555555555556</v>
      </c>
      <c r="R1091" s="1">
        <f>IF(Table1[[#This Row],[Round]]="PI",0,Table1[[#This Row],[Round]]-1)</f>
        <v>0</v>
      </c>
      <c r="S1091">
        <f>Table1[[#This Row],[LAW]]-Table1[[#This Row],[LEW]]</f>
        <v>-1.1180555555555556</v>
      </c>
    </row>
    <row r="1092" spans="1:19" x14ac:dyDescent="0.25">
      <c r="A1092" s="66">
        <v>37330</v>
      </c>
      <c r="B1092" s="51">
        <f>YEAR(Table1[[#This Row],[Date]])</f>
        <v>2002</v>
      </c>
      <c r="C1092" s="1">
        <v>1</v>
      </c>
      <c r="D1092" t="s">
        <v>49</v>
      </c>
      <c r="E1092" s="1">
        <v>11</v>
      </c>
      <c r="F1092" t="s">
        <v>362</v>
      </c>
      <c r="G1092" t="str">
        <f>VLOOKUP(Table1[[#This Row],[Winner]],Ranking!C:D,2,FALSE)</f>
        <v>MVC</v>
      </c>
      <c r="H1092" s="1">
        <v>76</v>
      </c>
      <c r="I1092" s="1">
        <v>6</v>
      </c>
      <c r="J1092" t="s">
        <v>92</v>
      </c>
      <c r="K1092" t="str">
        <f>VLOOKUP(Table1[[#This Row],[Loser]],Ranking!C:D,2,FALSE)</f>
        <v>B12</v>
      </c>
      <c r="L1092" s="1">
        <v>68</v>
      </c>
      <c r="N1092" s="1">
        <f>Table1[[#This Row],[Winning Score]]-Table1[[#This Row],[Losing Score]]</f>
        <v>8</v>
      </c>
      <c r="O1092" s="1">
        <f>Table1[[#This Row],[Losing Seed]]-Table1[[#This Row],[Winning Seed]]</f>
        <v>-5</v>
      </c>
      <c r="P1092" s="1" t="str">
        <f>IF(Table1[[#This Row],[SeD]]&lt;-2,Table1[[#This Row],[Winning Seed]]&amp; " over " &amp;Table1[[#This Row],[Losing Seed]],"")</f>
        <v>11 over 6</v>
      </c>
      <c r="Q1092">
        <f>VLOOKUP(Table1[[#This Row],[Losing Seed]],'Seed History'!$N$4:$O$19,2)</f>
        <v>1.0625</v>
      </c>
      <c r="R1092" s="1">
        <f>IF(Table1[[#This Row],[Round]]="PI",0,Table1[[#This Row],[Round]]-1)</f>
        <v>0</v>
      </c>
      <c r="S1092">
        <f>Table1[[#This Row],[LAW]]-Table1[[#This Row],[LEW]]</f>
        <v>-1.0625</v>
      </c>
    </row>
    <row r="1093" spans="1:19" x14ac:dyDescent="0.25">
      <c r="A1093" s="66">
        <v>37330</v>
      </c>
      <c r="B1093" s="51">
        <f>YEAR(Table1[[#This Row],[Date]])</f>
        <v>2002</v>
      </c>
      <c r="C1093" s="1">
        <v>1</v>
      </c>
      <c r="D1093" t="s">
        <v>49</v>
      </c>
      <c r="E1093" s="1">
        <v>1</v>
      </c>
      <c r="F1093" t="s">
        <v>31</v>
      </c>
      <c r="G1093" t="str">
        <f>VLOOKUP(Table1[[#This Row],[Winner]],Ranking!C:D,2,FALSE)</f>
        <v>B10</v>
      </c>
      <c r="H1093" s="1">
        <v>85</v>
      </c>
      <c r="I1093" s="1">
        <v>16</v>
      </c>
      <c r="J1093" t="s">
        <v>350</v>
      </c>
      <c r="K1093" t="str">
        <f>VLOOKUP(Table1[[#This Row],[Loser]],Ranking!C:D,2,FALSE)</f>
        <v>MAAC</v>
      </c>
      <c r="L1093" s="1">
        <v>70</v>
      </c>
      <c r="N1093" s="1">
        <f>Table1[[#This Row],[Winning Score]]-Table1[[#This Row],[Losing Score]]</f>
        <v>15</v>
      </c>
      <c r="O1093" s="1">
        <f>Table1[[#This Row],[Losing Seed]]-Table1[[#This Row],[Winning Seed]]</f>
        <v>15</v>
      </c>
      <c r="P1093" s="1" t="str">
        <f>IF(Table1[[#This Row],[SeD]]&lt;-2,Table1[[#This Row],[Winning Seed]]&amp; " over " &amp;Table1[[#This Row],[Losing Seed]],"")</f>
        <v/>
      </c>
      <c r="Q1093">
        <f>VLOOKUP(Table1[[#This Row],[Losing Seed]],'Seed History'!$N$4:$O$19,2)</f>
        <v>6.9444444444444441E-3</v>
      </c>
      <c r="R1093" s="1">
        <f>IF(Table1[[#This Row],[Round]]="PI",0,Table1[[#This Row],[Round]]-1)</f>
        <v>0</v>
      </c>
      <c r="S1093">
        <f>Table1[[#This Row],[LAW]]-Table1[[#This Row],[LEW]]</f>
        <v>-6.9444444444444441E-3</v>
      </c>
    </row>
    <row r="1094" spans="1:19" x14ac:dyDescent="0.25">
      <c r="A1094" s="66">
        <v>37330</v>
      </c>
      <c r="B1094" s="51">
        <f>YEAR(Table1[[#This Row],[Date]])</f>
        <v>2002</v>
      </c>
      <c r="C1094" s="1">
        <v>1</v>
      </c>
      <c r="D1094" t="s">
        <v>49</v>
      </c>
      <c r="E1094" s="1">
        <v>2</v>
      </c>
      <c r="F1094" t="s">
        <v>80</v>
      </c>
      <c r="G1094" t="str">
        <f>VLOOKUP(Table1[[#This Row],[Winner]],Ranking!C:D,2,FALSE)</f>
        <v>BE</v>
      </c>
      <c r="H1094" s="1">
        <v>78</v>
      </c>
      <c r="I1094" s="1">
        <v>15</v>
      </c>
      <c r="J1094" t="s">
        <v>27</v>
      </c>
      <c r="K1094" t="str">
        <f>VLOOKUP(Table1[[#This Row],[Loser]],Ranking!C:D,2,FALSE)</f>
        <v>BSth</v>
      </c>
      <c r="L1094" s="1">
        <v>67</v>
      </c>
      <c r="N1094" s="1">
        <f>Table1[[#This Row],[Winning Score]]-Table1[[#This Row],[Losing Score]]</f>
        <v>11</v>
      </c>
      <c r="O1094" s="1">
        <f>Table1[[#This Row],[Losing Seed]]-Table1[[#This Row],[Winning Seed]]</f>
        <v>13</v>
      </c>
      <c r="P1094" s="1" t="str">
        <f>IF(Table1[[#This Row],[SeD]]&lt;-2,Table1[[#This Row],[Winning Seed]]&amp; " over " &amp;Table1[[#This Row],[Losing Seed]],"")</f>
        <v/>
      </c>
      <c r="Q1094">
        <f>VLOOKUP(Table1[[#This Row],[Losing Seed]],'Seed History'!$N$4:$O$19,2)</f>
        <v>7.6388888888888895E-2</v>
      </c>
      <c r="R1094" s="1">
        <f>IF(Table1[[#This Row],[Round]]="PI",0,Table1[[#This Row],[Round]]-1)</f>
        <v>0</v>
      </c>
      <c r="S1094">
        <f>Table1[[#This Row],[LAW]]-Table1[[#This Row],[LEW]]</f>
        <v>-7.6388888888888895E-2</v>
      </c>
    </row>
    <row r="1095" spans="1:19" x14ac:dyDescent="0.25">
      <c r="A1095" s="66">
        <v>37330</v>
      </c>
      <c r="B1095" s="51">
        <f>YEAR(Table1[[#This Row],[Date]])</f>
        <v>2002</v>
      </c>
      <c r="C1095" s="1">
        <v>1</v>
      </c>
      <c r="D1095" t="s">
        <v>49</v>
      </c>
      <c r="E1095" s="1">
        <v>3</v>
      </c>
      <c r="F1095" t="s">
        <v>60</v>
      </c>
      <c r="G1095" t="str">
        <f>VLOOKUP(Table1[[#This Row],[Winner]],Ranking!C:D,2,FALSE)</f>
        <v>SEC</v>
      </c>
      <c r="H1095" s="1">
        <v>85</v>
      </c>
      <c r="I1095" s="1">
        <v>14</v>
      </c>
      <c r="J1095" t="s">
        <v>285</v>
      </c>
      <c r="K1095" t="str">
        <f>VLOOKUP(Table1[[#This Row],[Loser]],Ranking!C:D,2,FALSE)</f>
        <v>OVC</v>
      </c>
      <c r="L1095" s="1">
        <v>68</v>
      </c>
      <c r="N1095" s="1">
        <f>Table1[[#This Row],[Winning Score]]-Table1[[#This Row],[Losing Score]]</f>
        <v>17</v>
      </c>
      <c r="O1095" s="1">
        <f>Table1[[#This Row],[Losing Seed]]-Table1[[#This Row],[Winning Seed]]</f>
        <v>11</v>
      </c>
      <c r="P1095" s="1" t="str">
        <f>IF(Table1[[#This Row],[SeD]]&lt;-2,Table1[[#This Row],[Winning Seed]]&amp; " over " &amp;Table1[[#This Row],[Losing Seed]],"")</f>
        <v/>
      </c>
      <c r="Q1095">
        <f>VLOOKUP(Table1[[#This Row],[Losing Seed]],'Seed History'!$N$4:$O$19,2)</f>
        <v>0.16666666666666666</v>
      </c>
      <c r="R1095" s="1">
        <f>IF(Table1[[#This Row],[Round]]="PI",0,Table1[[#This Row],[Round]]-1)</f>
        <v>0</v>
      </c>
      <c r="S1095">
        <f>Table1[[#This Row],[LAW]]-Table1[[#This Row],[LEW]]</f>
        <v>-0.16666666666666666</v>
      </c>
    </row>
    <row r="1096" spans="1:19" x14ac:dyDescent="0.25">
      <c r="A1096" s="66">
        <v>37330</v>
      </c>
      <c r="B1096" s="51">
        <f>YEAR(Table1[[#This Row],[Date]])</f>
        <v>2002</v>
      </c>
      <c r="C1096" s="1">
        <v>1</v>
      </c>
      <c r="D1096" t="s">
        <v>49</v>
      </c>
      <c r="E1096" s="1">
        <v>7</v>
      </c>
      <c r="F1096" t="s">
        <v>301</v>
      </c>
      <c r="G1096" t="e">
        <f>VLOOKUP(Table1[[#This Row],[Winner]],Ranking!C:D,2,FALSE)</f>
        <v>#N/A</v>
      </c>
      <c r="H1096" s="1">
        <v>69</v>
      </c>
      <c r="I1096" s="1">
        <v>10</v>
      </c>
      <c r="J1096" t="s">
        <v>271</v>
      </c>
      <c r="K1096" t="str">
        <f>VLOOKUP(Table1[[#This Row],[Loser]],Ranking!C:D,2,FALSE)</f>
        <v>B10</v>
      </c>
      <c r="L1096" s="1">
        <v>58</v>
      </c>
      <c r="N1096" s="1">
        <f>Table1[[#This Row],[Winning Score]]-Table1[[#This Row],[Losing Score]]</f>
        <v>11</v>
      </c>
      <c r="O1096" s="1">
        <f>Table1[[#This Row],[Losing Seed]]-Table1[[#This Row],[Winning Seed]]</f>
        <v>3</v>
      </c>
      <c r="P1096" s="1" t="str">
        <f>IF(Table1[[#This Row],[SeD]]&lt;-2,Table1[[#This Row],[Winning Seed]]&amp; " over " &amp;Table1[[#This Row],[Losing Seed]],"")</f>
        <v/>
      </c>
      <c r="Q1096">
        <f>VLOOKUP(Table1[[#This Row],[Losing Seed]],'Seed History'!$N$4:$O$19,2)</f>
        <v>0.61805555555555558</v>
      </c>
      <c r="R1096" s="1">
        <f>IF(Table1[[#This Row],[Round]]="PI",0,Table1[[#This Row],[Round]]-1)</f>
        <v>0</v>
      </c>
      <c r="S1096">
        <f>Table1[[#This Row],[LAW]]-Table1[[#This Row],[LEW]]</f>
        <v>-0.61805555555555558</v>
      </c>
    </row>
    <row r="1097" spans="1:19" x14ac:dyDescent="0.25">
      <c r="A1097" s="66">
        <v>37330</v>
      </c>
      <c r="B1097" s="51">
        <f>YEAR(Table1[[#This Row],[Date]])</f>
        <v>2002</v>
      </c>
      <c r="C1097" s="1">
        <v>1</v>
      </c>
      <c r="D1097" t="s">
        <v>49</v>
      </c>
      <c r="E1097" s="1">
        <v>8</v>
      </c>
      <c r="F1097" t="s">
        <v>39</v>
      </c>
      <c r="G1097" t="str">
        <f>VLOOKUP(Table1[[#This Row],[Winner]],Ranking!C:D,2,FALSE)</f>
        <v>B10</v>
      </c>
      <c r="H1097" s="1">
        <v>80</v>
      </c>
      <c r="I1097" s="1">
        <v>9</v>
      </c>
      <c r="J1097" t="s">
        <v>368</v>
      </c>
      <c r="K1097" t="str">
        <f>VLOOKUP(Table1[[#This Row],[Loser]],Ranking!C:D,2,FALSE)</f>
        <v>BE</v>
      </c>
      <c r="L1097" s="1">
        <v>70</v>
      </c>
      <c r="N1097" s="1">
        <f>Table1[[#This Row],[Winning Score]]-Table1[[#This Row],[Losing Score]]</f>
        <v>10</v>
      </c>
      <c r="O1097" s="1">
        <f>Table1[[#This Row],[Losing Seed]]-Table1[[#This Row],[Winning Seed]]</f>
        <v>1</v>
      </c>
      <c r="P1097" s="1" t="str">
        <f>IF(Table1[[#This Row],[SeD]]&lt;-2,Table1[[#This Row],[Winning Seed]]&amp; " over " &amp;Table1[[#This Row],[Losing Seed]],"")</f>
        <v/>
      </c>
      <c r="Q1097">
        <f>VLOOKUP(Table1[[#This Row],[Losing Seed]],'Seed History'!$N$4:$O$19,2)</f>
        <v>0.59027777777777779</v>
      </c>
      <c r="R1097" s="1">
        <f>IF(Table1[[#This Row],[Round]]="PI",0,Table1[[#This Row],[Round]]-1)</f>
        <v>0</v>
      </c>
      <c r="S1097">
        <f>Table1[[#This Row],[LAW]]-Table1[[#This Row],[LEW]]</f>
        <v>-0.59027777777777779</v>
      </c>
    </row>
    <row r="1098" spans="1:19" x14ac:dyDescent="0.25">
      <c r="A1098" s="66">
        <v>37330</v>
      </c>
      <c r="B1098" s="51">
        <f>YEAR(Table1[[#This Row],[Date]])</f>
        <v>2002</v>
      </c>
      <c r="C1098" s="1">
        <v>1</v>
      </c>
      <c r="D1098" t="s">
        <v>439</v>
      </c>
      <c r="E1098" s="1">
        <v>3</v>
      </c>
      <c r="F1098" t="s">
        <v>275</v>
      </c>
      <c r="G1098" t="str">
        <f>VLOOKUP(Table1[[#This Row],[Winner]],Ranking!C:D,2,FALSE)</f>
        <v>SEC</v>
      </c>
      <c r="H1098" s="1">
        <v>70</v>
      </c>
      <c r="I1098" s="1">
        <v>14</v>
      </c>
      <c r="J1098" t="s">
        <v>266</v>
      </c>
      <c r="K1098" t="str">
        <f>VLOOKUP(Table1[[#This Row],[Loser]],Ranking!C:D,2,FALSE)</f>
        <v>Slnd</v>
      </c>
      <c r="L1098" s="1">
        <v>58</v>
      </c>
      <c r="N1098" s="1">
        <f>Table1[[#This Row],[Winning Score]]-Table1[[#This Row],[Losing Score]]</f>
        <v>12</v>
      </c>
      <c r="O1098" s="1">
        <f>Table1[[#This Row],[Losing Seed]]-Table1[[#This Row],[Winning Seed]]</f>
        <v>11</v>
      </c>
      <c r="P1098" s="1" t="str">
        <f>IF(Table1[[#This Row],[SeD]]&lt;-2,Table1[[#This Row],[Winning Seed]]&amp; " over " &amp;Table1[[#This Row],[Losing Seed]],"")</f>
        <v/>
      </c>
      <c r="Q1098">
        <f>VLOOKUP(Table1[[#This Row],[Losing Seed]],'Seed History'!$N$4:$O$19,2)</f>
        <v>0.16666666666666666</v>
      </c>
      <c r="R1098" s="1">
        <f>IF(Table1[[#This Row],[Round]]="PI",0,Table1[[#This Row],[Round]]-1)</f>
        <v>0</v>
      </c>
      <c r="S1098">
        <f>Table1[[#This Row],[LAW]]-Table1[[#This Row],[LEW]]</f>
        <v>-0.16666666666666666</v>
      </c>
    </row>
    <row r="1099" spans="1:19" x14ac:dyDescent="0.25">
      <c r="A1099" s="66">
        <v>37330</v>
      </c>
      <c r="B1099" s="51">
        <f>YEAR(Table1[[#This Row],[Date]])</f>
        <v>2002</v>
      </c>
      <c r="C1099" s="1">
        <v>1</v>
      </c>
      <c r="D1099" t="s">
        <v>439</v>
      </c>
      <c r="E1099" s="1">
        <v>4</v>
      </c>
      <c r="F1099" t="s">
        <v>230</v>
      </c>
      <c r="G1099" t="str">
        <f>VLOOKUP(Table1[[#This Row],[Winner]],Ranking!C:D,2,FALSE)</f>
        <v>B10</v>
      </c>
      <c r="H1099" s="1">
        <v>93</v>
      </c>
      <c r="I1099" s="1">
        <v>13</v>
      </c>
      <c r="J1099" t="s">
        <v>344</v>
      </c>
      <c r="K1099" t="str">
        <f>VLOOKUP(Table1[[#This Row],[Loser]],Ranking!C:D,2,FALSE)</f>
        <v>MWC</v>
      </c>
      <c r="L1099" s="1">
        <v>64</v>
      </c>
      <c r="N1099" s="1">
        <f>Table1[[#This Row],[Winning Score]]-Table1[[#This Row],[Losing Score]]</f>
        <v>29</v>
      </c>
      <c r="O1099" s="1">
        <f>Table1[[#This Row],[Losing Seed]]-Table1[[#This Row],[Winning Seed]]</f>
        <v>9</v>
      </c>
      <c r="P1099" s="1" t="str">
        <f>IF(Table1[[#This Row],[SeD]]&lt;-2,Table1[[#This Row],[Winning Seed]]&amp; " over " &amp;Table1[[#This Row],[Losing Seed]],"")</f>
        <v/>
      </c>
      <c r="Q1099">
        <f>VLOOKUP(Table1[[#This Row],[Losing Seed]],'Seed History'!$N$4:$O$19,2)</f>
        <v>0.25694444444444442</v>
      </c>
      <c r="R1099" s="1">
        <f>IF(Table1[[#This Row],[Round]]="PI",0,Table1[[#This Row],[Round]]-1)</f>
        <v>0</v>
      </c>
      <c r="S1099">
        <f>Table1[[#This Row],[LAW]]-Table1[[#This Row],[LEW]]</f>
        <v>-0.25694444444444442</v>
      </c>
    </row>
    <row r="1100" spans="1:19" x14ac:dyDescent="0.25">
      <c r="A1100" s="66">
        <v>37330</v>
      </c>
      <c r="B1100" s="51">
        <f>YEAR(Table1[[#This Row],[Date]])</f>
        <v>2002</v>
      </c>
      <c r="C1100" s="1">
        <v>1</v>
      </c>
      <c r="D1100" t="s">
        <v>439</v>
      </c>
      <c r="E1100" s="1">
        <v>6</v>
      </c>
      <c r="F1100" t="s">
        <v>34</v>
      </c>
      <c r="G1100" t="str">
        <f>VLOOKUP(Table1[[#This Row],[Winner]],Ranking!C:D,2,FALSE)</f>
        <v>B12</v>
      </c>
      <c r="H1100" s="1">
        <v>70</v>
      </c>
      <c r="I1100" s="1">
        <v>11</v>
      </c>
      <c r="J1100" t="s">
        <v>138</v>
      </c>
      <c r="K1100" t="str">
        <f>VLOOKUP(Table1[[#This Row],[Loser]],Ranking!C:D,2,FALSE)</f>
        <v>ACC</v>
      </c>
      <c r="L1100" s="1">
        <v>57</v>
      </c>
      <c r="N1100" s="1">
        <f>Table1[[#This Row],[Winning Score]]-Table1[[#This Row],[Losing Score]]</f>
        <v>13</v>
      </c>
      <c r="O1100" s="1">
        <f>Table1[[#This Row],[Losing Seed]]-Table1[[#This Row],[Winning Seed]]</f>
        <v>5</v>
      </c>
      <c r="P1100" s="1" t="str">
        <f>IF(Table1[[#This Row],[SeD]]&lt;-2,Table1[[#This Row],[Winning Seed]]&amp; " over " &amp;Table1[[#This Row],[Losing Seed]],"")</f>
        <v/>
      </c>
      <c r="Q1100">
        <f>VLOOKUP(Table1[[#This Row],[Losing Seed]],'Seed History'!$N$4:$O$19,2)</f>
        <v>0.63194444444444442</v>
      </c>
      <c r="R1100" s="1">
        <f>IF(Table1[[#This Row],[Round]]="PI",0,Table1[[#This Row],[Round]]-1)</f>
        <v>0</v>
      </c>
      <c r="S1100">
        <f>Table1[[#This Row],[LAW]]-Table1[[#This Row],[LEW]]</f>
        <v>-0.63194444444444442</v>
      </c>
    </row>
    <row r="1101" spans="1:19" x14ac:dyDescent="0.25">
      <c r="A1101" s="66">
        <v>37330</v>
      </c>
      <c r="B1101" s="51">
        <f>YEAR(Table1[[#This Row],[Date]])</f>
        <v>2002</v>
      </c>
      <c r="C1101" s="1">
        <v>1</v>
      </c>
      <c r="D1101" t="s">
        <v>63</v>
      </c>
      <c r="E1101" s="1">
        <v>3</v>
      </c>
      <c r="F1101" t="s">
        <v>83</v>
      </c>
      <c r="G1101" t="str">
        <f>VLOOKUP(Table1[[#This Row],[Winner]],Ranking!C:D,2,FALSE)</f>
        <v>ACC</v>
      </c>
      <c r="H1101" s="1">
        <v>71</v>
      </c>
      <c r="I1101" s="1">
        <v>14</v>
      </c>
      <c r="J1101" t="s">
        <v>162</v>
      </c>
      <c r="K1101" t="str">
        <f>VLOOKUP(Table1[[#This Row],[Loser]],Ranking!C:D,2,FALSE)</f>
        <v>NEC</v>
      </c>
      <c r="L1101" s="1">
        <v>54</v>
      </c>
      <c r="N1101" s="1">
        <f>Table1[[#This Row],[Winning Score]]-Table1[[#This Row],[Losing Score]]</f>
        <v>17</v>
      </c>
      <c r="O1101" s="1">
        <f>Table1[[#This Row],[Losing Seed]]-Table1[[#This Row],[Winning Seed]]</f>
        <v>11</v>
      </c>
      <c r="P1101" s="1" t="str">
        <f>IF(Table1[[#This Row],[SeD]]&lt;-2,Table1[[#This Row],[Winning Seed]]&amp; " over " &amp;Table1[[#This Row],[Losing Seed]],"")</f>
        <v/>
      </c>
      <c r="Q1101">
        <f>VLOOKUP(Table1[[#This Row],[Losing Seed]],'Seed History'!$N$4:$O$19,2)</f>
        <v>0.16666666666666666</v>
      </c>
      <c r="R1101" s="1">
        <f>IF(Table1[[#This Row],[Round]]="PI",0,Table1[[#This Row],[Round]]-1)</f>
        <v>0</v>
      </c>
      <c r="S1101">
        <f>Table1[[#This Row],[LAW]]-Table1[[#This Row],[LEW]]</f>
        <v>-0.16666666666666666</v>
      </c>
    </row>
    <row r="1102" spans="1:19" x14ac:dyDescent="0.25">
      <c r="A1102" s="66">
        <v>37330</v>
      </c>
      <c r="B1102" s="51">
        <f>YEAR(Table1[[#This Row],[Date]])</f>
        <v>2002</v>
      </c>
      <c r="C1102" s="1">
        <v>1</v>
      </c>
      <c r="D1102" t="s">
        <v>63</v>
      </c>
      <c r="E1102" s="1">
        <v>6</v>
      </c>
      <c r="F1102" t="s">
        <v>84</v>
      </c>
      <c r="G1102" t="str">
        <f>VLOOKUP(Table1[[#This Row],[Winner]],Ranking!C:D,2,FALSE)</f>
        <v>P12</v>
      </c>
      <c r="H1102" s="1">
        <v>82</v>
      </c>
      <c r="I1102" s="1">
        <v>11</v>
      </c>
      <c r="J1102" t="s">
        <v>321</v>
      </c>
      <c r="K1102" t="str">
        <f>VLOOKUP(Table1[[#This Row],[Loser]],Ranking!C:D,2,FALSE)</f>
        <v>Ivy</v>
      </c>
      <c r="L1102" s="1">
        <v>75</v>
      </c>
      <c r="N1102" s="1">
        <f>Table1[[#This Row],[Winning Score]]-Table1[[#This Row],[Losing Score]]</f>
        <v>7</v>
      </c>
      <c r="O1102" s="1">
        <f>Table1[[#This Row],[Losing Seed]]-Table1[[#This Row],[Winning Seed]]</f>
        <v>5</v>
      </c>
      <c r="P1102" s="1" t="str">
        <f>IF(Table1[[#This Row],[SeD]]&lt;-2,Table1[[#This Row],[Winning Seed]]&amp; " over " &amp;Table1[[#This Row],[Losing Seed]],"")</f>
        <v/>
      </c>
      <c r="Q1102">
        <f>VLOOKUP(Table1[[#This Row],[Losing Seed]],'Seed History'!$N$4:$O$19,2)</f>
        <v>0.63194444444444442</v>
      </c>
      <c r="R1102" s="1">
        <f>IF(Table1[[#This Row],[Round]]="PI",0,Table1[[#This Row],[Round]]-1)</f>
        <v>0</v>
      </c>
      <c r="S1102">
        <f>Table1[[#This Row],[LAW]]-Table1[[#This Row],[LEW]]</f>
        <v>-0.63194444444444442</v>
      </c>
    </row>
    <row r="1103" spans="1:19" x14ac:dyDescent="0.25">
      <c r="A1103" s="66">
        <v>37330</v>
      </c>
      <c r="B1103" s="51">
        <f>YEAR(Table1[[#This Row],[Date]])</f>
        <v>2002</v>
      </c>
      <c r="C1103" s="1">
        <v>1</v>
      </c>
      <c r="D1103" t="s">
        <v>38</v>
      </c>
      <c r="E1103" s="1">
        <v>1</v>
      </c>
      <c r="F1103" t="s">
        <v>28</v>
      </c>
      <c r="G1103" t="str">
        <f>VLOOKUP(Table1[[#This Row],[Winner]],Ranking!C:D,2,FALSE)</f>
        <v>Amer</v>
      </c>
      <c r="H1103" s="1">
        <v>90</v>
      </c>
      <c r="I1103" s="1">
        <v>16</v>
      </c>
      <c r="J1103" t="s">
        <v>140</v>
      </c>
      <c r="K1103" t="str">
        <f>VLOOKUP(Table1[[#This Row],[Loser]],Ranking!C:D,2,FALSE)</f>
        <v>Pat</v>
      </c>
      <c r="L1103" s="1">
        <v>52</v>
      </c>
      <c r="N1103" s="1">
        <f>Table1[[#This Row],[Winning Score]]-Table1[[#This Row],[Losing Score]]</f>
        <v>38</v>
      </c>
      <c r="O1103" s="1">
        <f>Table1[[#This Row],[Losing Seed]]-Table1[[#This Row],[Winning Seed]]</f>
        <v>15</v>
      </c>
      <c r="P1103" s="1" t="str">
        <f>IF(Table1[[#This Row],[SeD]]&lt;-2,Table1[[#This Row],[Winning Seed]]&amp; " over " &amp;Table1[[#This Row],[Losing Seed]],"")</f>
        <v/>
      </c>
      <c r="Q1103">
        <f>VLOOKUP(Table1[[#This Row],[Losing Seed]],'Seed History'!$N$4:$O$19,2)</f>
        <v>6.9444444444444441E-3</v>
      </c>
      <c r="R1103" s="1">
        <f>IF(Table1[[#This Row],[Round]]="PI",0,Table1[[#This Row],[Round]]-1)</f>
        <v>0</v>
      </c>
      <c r="S1103">
        <f>Table1[[#This Row],[LAW]]-Table1[[#This Row],[LEW]]</f>
        <v>-6.9444444444444441E-3</v>
      </c>
    </row>
    <row r="1104" spans="1:19" x14ac:dyDescent="0.25">
      <c r="A1104" s="66">
        <v>37330</v>
      </c>
      <c r="B1104" s="51">
        <f>YEAR(Table1[[#This Row],[Date]])</f>
        <v>2002</v>
      </c>
      <c r="C1104" s="1">
        <v>1</v>
      </c>
      <c r="D1104" t="s">
        <v>38</v>
      </c>
      <c r="E1104" s="1">
        <v>2</v>
      </c>
      <c r="F1104" t="s">
        <v>58</v>
      </c>
      <c r="G1104" t="str">
        <f>VLOOKUP(Table1[[#This Row],[Winner]],Ranking!C:D,2,FALSE)</f>
        <v>B12</v>
      </c>
      <c r="H1104" s="1">
        <v>71</v>
      </c>
      <c r="I1104" s="1">
        <v>15</v>
      </c>
      <c r="J1104" t="s">
        <v>232</v>
      </c>
      <c r="K1104" t="str">
        <f>VLOOKUP(Table1[[#This Row],[Loser]],Ranking!C:D,2,FALSE)</f>
        <v>Horz</v>
      </c>
      <c r="L1104" s="1">
        <v>63</v>
      </c>
      <c r="N1104" s="1">
        <f>Table1[[#This Row],[Winning Score]]-Table1[[#This Row],[Losing Score]]</f>
        <v>8</v>
      </c>
      <c r="O1104" s="1">
        <f>Table1[[#This Row],[Losing Seed]]-Table1[[#This Row],[Winning Seed]]</f>
        <v>13</v>
      </c>
      <c r="P1104" s="1" t="str">
        <f>IF(Table1[[#This Row],[SeD]]&lt;-2,Table1[[#This Row],[Winning Seed]]&amp; " over " &amp;Table1[[#This Row],[Losing Seed]],"")</f>
        <v/>
      </c>
      <c r="Q1104">
        <f>VLOOKUP(Table1[[#This Row],[Losing Seed]],'Seed History'!$N$4:$O$19,2)</f>
        <v>7.6388888888888895E-2</v>
      </c>
      <c r="R1104" s="1">
        <f>IF(Table1[[#This Row],[Round]]="PI",0,Table1[[#This Row],[Round]]-1)</f>
        <v>0</v>
      </c>
      <c r="S1104">
        <f>Table1[[#This Row],[LAW]]-Table1[[#This Row],[LEW]]</f>
        <v>-7.6388888888888895E-2</v>
      </c>
    </row>
    <row r="1105" spans="1:19" x14ac:dyDescent="0.25">
      <c r="A1105" s="66">
        <v>37330</v>
      </c>
      <c r="B1105" s="51">
        <f>YEAR(Table1[[#This Row],[Date]])</f>
        <v>2002</v>
      </c>
      <c r="C1105" s="1">
        <v>1</v>
      </c>
      <c r="D1105" t="s">
        <v>38</v>
      </c>
      <c r="E1105" s="1">
        <v>7</v>
      </c>
      <c r="F1105" t="s">
        <v>44</v>
      </c>
      <c r="G1105" t="str">
        <f>VLOOKUP(Table1[[#This Row],[Winner]],Ranking!C:D,2,FALSE)</f>
        <v>BE</v>
      </c>
      <c r="H1105" s="1">
        <v>70</v>
      </c>
      <c r="I1105" s="1">
        <v>10</v>
      </c>
      <c r="J1105" t="s">
        <v>221</v>
      </c>
      <c r="K1105" t="str">
        <f>VLOOKUP(Table1[[#This Row],[Loser]],Ranking!C:D,2,FALSE)</f>
        <v>BW</v>
      </c>
      <c r="L1105" s="1">
        <v>58</v>
      </c>
      <c r="N1105" s="1">
        <f>Table1[[#This Row],[Winning Score]]-Table1[[#This Row],[Losing Score]]</f>
        <v>12</v>
      </c>
      <c r="O1105" s="1">
        <f>Table1[[#This Row],[Losing Seed]]-Table1[[#This Row],[Winning Seed]]</f>
        <v>3</v>
      </c>
      <c r="P1105" s="1" t="str">
        <f>IF(Table1[[#This Row],[SeD]]&lt;-2,Table1[[#This Row],[Winning Seed]]&amp; " over " &amp;Table1[[#This Row],[Losing Seed]],"")</f>
        <v/>
      </c>
      <c r="Q1105">
        <f>VLOOKUP(Table1[[#This Row],[Losing Seed]],'Seed History'!$N$4:$O$19,2)</f>
        <v>0.61805555555555558</v>
      </c>
      <c r="R1105" s="1">
        <f>IF(Table1[[#This Row],[Round]]="PI",0,Table1[[#This Row],[Round]]-1)</f>
        <v>0</v>
      </c>
      <c r="S1105">
        <f>Table1[[#This Row],[LAW]]-Table1[[#This Row],[LEW]]</f>
        <v>-0.61805555555555558</v>
      </c>
    </row>
    <row r="1106" spans="1:19" x14ac:dyDescent="0.25">
      <c r="A1106" s="66">
        <v>37330</v>
      </c>
      <c r="B1106" s="51">
        <f>YEAR(Table1[[#This Row],[Date]])</f>
        <v>2002</v>
      </c>
      <c r="C1106" s="1">
        <v>1</v>
      </c>
      <c r="D1106" t="s">
        <v>38</v>
      </c>
      <c r="E1106" s="1">
        <v>8</v>
      </c>
      <c r="F1106" t="s">
        <v>67</v>
      </c>
      <c r="G1106" t="str">
        <f>VLOOKUP(Table1[[#This Row],[Winner]],Ranking!C:D,2,FALSE)</f>
        <v>P12</v>
      </c>
      <c r="H1106" s="1">
        <v>80</v>
      </c>
      <c r="I1106" s="1">
        <v>9</v>
      </c>
      <c r="J1106" t="s">
        <v>45</v>
      </c>
      <c r="K1106" t="str">
        <f>VLOOKUP(Table1[[#This Row],[Loser]],Ranking!C:D,2,FALSE)</f>
        <v>SEC</v>
      </c>
      <c r="L1106" s="1">
        <v>58</v>
      </c>
      <c r="N1106" s="1">
        <f>Table1[[#This Row],[Winning Score]]-Table1[[#This Row],[Losing Score]]</f>
        <v>22</v>
      </c>
      <c r="O1106" s="1">
        <f>Table1[[#This Row],[Losing Seed]]-Table1[[#This Row],[Winning Seed]]</f>
        <v>1</v>
      </c>
      <c r="P1106" s="1" t="str">
        <f>IF(Table1[[#This Row],[SeD]]&lt;-2,Table1[[#This Row],[Winning Seed]]&amp; " over " &amp;Table1[[#This Row],[Losing Seed]],"")</f>
        <v/>
      </c>
      <c r="Q1106">
        <f>VLOOKUP(Table1[[#This Row],[Losing Seed]],'Seed History'!$N$4:$O$19,2)</f>
        <v>0.59027777777777779</v>
      </c>
      <c r="R1106" s="1">
        <f>IF(Table1[[#This Row],[Round]]="PI",0,Table1[[#This Row],[Round]]-1)</f>
        <v>0</v>
      </c>
      <c r="S1106">
        <f>Table1[[#This Row],[LAW]]-Table1[[#This Row],[LEW]]</f>
        <v>-0.59027777777777779</v>
      </c>
    </row>
    <row r="1107" spans="1:19" x14ac:dyDescent="0.25">
      <c r="A1107" s="66">
        <v>37331</v>
      </c>
      <c r="B1107" s="51">
        <f>YEAR(Table1[[#This Row],[Date]])</f>
        <v>2002</v>
      </c>
      <c r="C1107" s="1">
        <v>2</v>
      </c>
      <c r="D1107" t="s">
        <v>63</v>
      </c>
      <c r="E1107" s="1">
        <v>10</v>
      </c>
      <c r="F1107" t="s">
        <v>245</v>
      </c>
      <c r="G1107" t="str">
        <f>VLOOKUP(Table1[[#This Row],[Winner]],Ranking!C:D,2,FALSE)</f>
        <v>MAC</v>
      </c>
      <c r="H1107" s="1">
        <v>71</v>
      </c>
      <c r="I1107" s="1">
        <v>2</v>
      </c>
      <c r="J1107" t="s">
        <v>113</v>
      </c>
      <c r="K1107" t="str">
        <f>VLOOKUP(Table1[[#This Row],[Loser]],Ranking!C:D,2,FALSE)</f>
        <v>SEC</v>
      </c>
      <c r="L1107" s="1">
        <v>58</v>
      </c>
      <c r="N1107" s="1">
        <f>Table1[[#This Row],[Winning Score]]-Table1[[#This Row],[Losing Score]]</f>
        <v>13</v>
      </c>
      <c r="O1107" s="1">
        <f>Table1[[#This Row],[Losing Seed]]-Table1[[#This Row],[Winning Seed]]</f>
        <v>-8</v>
      </c>
      <c r="P1107" s="1" t="str">
        <f>IF(Table1[[#This Row],[SeD]]&lt;-2,Table1[[#This Row],[Winning Seed]]&amp; " over " &amp;Table1[[#This Row],[Losing Seed]],"")</f>
        <v>10 over 2</v>
      </c>
      <c r="Q1107">
        <f>VLOOKUP(Table1[[#This Row],[Losing Seed]],'Seed History'!$N$4:$O$19,2)</f>
        <v>2.3472222222222223</v>
      </c>
      <c r="R1107" s="1">
        <f>IF(Table1[[#This Row],[Round]]="PI",0,Table1[[#This Row],[Round]]-1)</f>
        <v>1</v>
      </c>
      <c r="S1107">
        <f>Table1[[#This Row],[LAW]]-Table1[[#This Row],[LEW]]</f>
        <v>-1.3472222222222223</v>
      </c>
    </row>
    <row r="1108" spans="1:19" x14ac:dyDescent="0.25">
      <c r="A1108" s="66">
        <v>37331</v>
      </c>
      <c r="B1108" s="51">
        <f>YEAR(Table1[[#This Row],[Date]])</f>
        <v>2002</v>
      </c>
      <c r="C1108" s="1">
        <v>2</v>
      </c>
      <c r="D1108" t="s">
        <v>38</v>
      </c>
      <c r="E1108" s="1">
        <v>12</v>
      </c>
      <c r="F1108" t="s">
        <v>277</v>
      </c>
      <c r="G1108" t="str">
        <f>VLOOKUP(Table1[[#This Row],[Winner]],Ranking!C:D,2,FALSE)</f>
        <v>SEC</v>
      </c>
      <c r="H1108" s="1">
        <v>83</v>
      </c>
      <c r="I1108" s="1">
        <v>4</v>
      </c>
      <c r="J1108" t="s">
        <v>315</v>
      </c>
      <c r="K1108" t="str">
        <f>VLOOKUP(Table1[[#This Row],[Loser]],Ranking!C:D,2,FALSE)</f>
        <v>B10</v>
      </c>
      <c r="L1108" s="1">
        <v>67</v>
      </c>
      <c r="N1108" s="1">
        <f>Table1[[#This Row],[Winning Score]]-Table1[[#This Row],[Losing Score]]</f>
        <v>16</v>
      </c>
      <c r="O1108" s="1">
        <f>Table1[[#This Row],[Losing Seed]]-Table1[[#This Row],[Winning Seed]]</f>
        <v>-8</v>
      </c>
      <c r="P1108" s="1" t="str">
        <f>IF(Table1[[#This Row],[SeD]]&lt;-2,Table1[[#This Row],[Winning Seed]]&amp; " over " &amp;Table1[[#This Row],[Losing Seed]],"")</f>
        <v>12 over 4</v>
      </c>
      <c r="Q1108">
        <f>VLOOKUP(Table1[[#This Row],[Losing Seed]],'Seed History'!$N$4:$O$19,2)</f>
        <v>1.5208333333333333</v>
      </c>
      <c r="R1108" s="1">
        <f>IF(Table1[[#This Row],[Round]]="PI",0,Table1[[#This Row],[Round]]-1)</f>
        <v>1</v>
      </c>
      <c r="S1108">
        <f>Table1[[#This Row],[LAW]]-Table1[[#This Row],[LEW]]</f>
        <v>-0.52083333333333326</v>
      </c>
    </row>
    <row r="1109" spans="1:19" x14ac:dyDescent="0.25">
      <c r="A1109" s="66">
        <v>37331</v>
      </c>
      <c r="B1109" s="51">
        <f>YEAR(Table1[[#This Row],[Date]])</f>
        <v>2002</v>
      </c>
      <c r="C1109" s="1">
        <v>2</v>
      </c>
      <c r="D1109" t="s">
        <v>49</v>
      </c>
      <c r="E1109" s="1">
        <v>4</v>
      </c>
      <c r="F1109" t="s">
        <v>26</v>
      </c>
      <c r="G1109" t="str">
        <f>VLOOKUP(Table1[[#This Row],[Winner]],Ranking!C:D,2,FALSE)</f>
        <v>SEC</v>
      </c>
      <c r="H1109" s="1">
        <v>87</v>
      </c>
      <c r="I1109" s="1">
        <v>12</v>
      </c>
      <c r="J1109" t="s">
        <v>94</v>
      </c>
      <c r="K1109" t="str">
        <f>VLOOKUP(Table1[[#This Row],[Loser]],Ranking!C:D,2,FALSE)</f>
        <v>Amer</v>
      </c>
      <c r="L1109" s="1">
        <v>82</v>
      </c>
      <c r="N1109" s="1">
        <f>Table1[[#This Row],[Winning Score]]-Table1[[#This Row],[Losing Score]]</f>
        <v>5</v>
      </c>
      <c r="O1109" s="1">
        <f>Table1[[#This Row],[Losing Seed]]-Table1[[#This Row],[Winning Seed]]</f>
        <v>8</v>
      </c>
      <c r="P1109" s="1" t="str">
        <f>IF(Table1[[#This Row],[SeD]]&lt;-2,Table1[[#This Row],[Winning Seed]]&amp; " over " &amp;Table1[[#This Row],[Losing Seed]],"")</f>
        <v/>
      </c>
      <c r="Q1109">
        <f>VLOOKUP(Table1[[#This Row],[Losing Seed]],'Seed History'!$N$4:$O$19,2)</f>
        <v>0.52083333333333337</v>
      </c>
      <c r="R1109" s="1">
        <f>IF(Table1[[#This Row],[Round]]="PI",0,Table1[[#This Row],[Round]]-1)</f>
        <v>1</v>
      </c>
      <c r="S1109">
        <f>Table1[[#This Row],[LAW]]-Table1[[#This Row],[LEW]]</f>
        <v>0.47916666666666663</v>
      </c>
    </row>
    <row r="1110" spans="1:19" x14ac:dyDescent="0.25">
      <c r="A1110" s="66">
        <v>37331</v>
      </c>
      <c r="B1110" s="51">
        <f>YEAR(Table1[[#This Row],[Date]])</f>
        <v>2002</v>
      </c>
      <c r="C1110" s="1">
        <v>2</v>
      </c>
      <c r="D1110" t="s">
        <v>439</v>
      </c>
      <c r="E1110" s="1">
        <v>1</v>
      </c>
      <c r="F1110" t="s">
        <v>37</v>
      </c>
      <c r="G1110" t="str">
        <f>VLOOKUP(Table1[[#This Row],[Winner]],Ranking!C:D,2,FALSE)</f>
        <v>B12</v>
      </c>
      <c r="H1110" s="1">
        <v>86</v>
      </c>
      <c r="I1110" s="1">
        <v>8</v>
      </c>
      <c r="J1110" t="s">
        <v>369</v>
      </c>
      <c r="K1110" t="str">
        <f>VLOOKUP(Table1[[#This Row],[Loser]],Ranking!C:D,2,FALSE)</f>
        <v>P12</v>
      </c>
      <c r="L1110" s="1">
        <v>63</v>
      </c>
      <c r="N1110" s="1">
        <f>Table1[[#This Row],[Winning Score]]-Table1[[#This Row],[Losing Score]]</f>
        <v>23</v>
      </c>
      <c r="O1110" s="1">
        <f>Table1[[#This Row],[Losing Seed]]-Table1[[#This Row],[Winning Seed]]</f>
        <v>7</v>
      </c>
      <c r="P1110" s="1" t="str">
        <f>IF(Table1[[#This Row],[SeD]]&lt;-2,Table1[[#This Row],[Winning Seed]]&amp; " over " &amp;Table1[[#This Row],[Losing Seed]],"")</f>
        <v/>
      </c>
      <c r="Q1110">
        <f>VLOOKUP(Table1[[#This Row],[Losing Seed]],'Seed History'!$N$4:$O$19,2)</f>
        <v>0.70833333333333337</v>
      </c>
      <c r="R1110" s="1">
        <f>IF(Table1[[#This Row],[Round]]="PI",0,Table1[[#This Row],[Round]]-1)</f>
        <v>1</v>
      </c>
      <c r="S1110">
        <f>Table1[[#This Row],[LAW]]-Table1[[#This Row],[LEW]]</f>
        <v>0.29166666666666663</v>
      </c>
    </row>
    <row r="1111" spans="1:19" x14ac:dyDescent="0.25">
      <c r="A1111" s="66">
        <v>37331</v>
      </c>
      <c r="B1111" s="51">
        <f>YEAR(Table1[[#This Row],[Date]])</f>
        <v>2002</v>
      </c>
      <c r="C1111" s="1">
        <v>2</v>
      </c>
      <c r="D1111" t="s">
        <v>439</v>
      </c>
      <c r="E1111" s="1">
        <v>2</v>
      </c>
      <c r="F1111" t="s">
        <v>40</v>
      </c>
      <c r="G1111" t="str">
        <f>VLOOKUP(Table1[[#This Row],[Winner]],Ranking!C:D,2,FALSE)</f>
        <v>P12</v>
      </c>
      <c r="H1111" s="1">
        <v>92</v>
      </c>
      <c r="I1111" s="1">
        <v>7</v>
      </c>
      <c r="J1111" t="s">
        <v>408</v>
      </c>
      <c r="K1111" t="str">
        <f>VLOOKUP(Table1[[#This Row],[Loser]],Ranking!C:D,2,FALSE)</f>
        <v>ACC</v>
      </c>
      <c r="L1111" s="1">
        <v>87</v>
      </c>
      <c r="N1111" s="1">
        <f>Table1[[#This Row],[Winning Score]]-Table1[[#This Row],[Losing Score]]</f>
        <v>5</v>
      </c>
      <c r="O1111" s="1">
        <f>Table1[[#This Row],[Losing Seed]]-Table1[[#This Row],[Winning Seed]]</f>
        <v>5</v>
      </c>
      <c r="P1111" s="1" t="str">
        <f>IF(Table1[[#This Row],[SeD]]&lt;-2,Table1[[#This Row],[Winning Seed]]&amp; " over " &amp;Table1[[#This Row],[Losing Seed]],"")</f>
        <v/>
      </c>
      <c r="Q1111">
        <f>VLOOKUP(Table1[[#This Row],[Losing Seed]],'Seed History'!$N$4:$O$19,2)</f>
        <v>0.90277777777777779</v>
      </c>
      <c r="R1111" s="1">
        <f>IF(Table1[[#This Row],[Round]]="PI",0,Table1[[#This Row],[Round]]-1)</f>
        <v>1</v>
      </c>
      <c r="S1111">
        <f>Table1[[#This Row],[LAW]]-Table1[[#This Row],[LEW]]</f>
        <v>9.722222222222221E-2</v>
      </c>
    </row>
    <row r="1112" spans="1:19" x14ac:dyDescent="0.25">
      <c r="A1112" s="66">
        <v>37331</v>
      </c>
      <c r="B1112" s="51">
        <f>YEAR(Table1[[#This Row],[Date]])</f>
        <v>2002</v>
      </c>
      <c r="C1112" s="1">
        <v>2</v>
      </c>
      <c r="D1112" t="s">
        <v>63</v>
      </c>
      <c r="E1112" s="1">
        <v>1</v>
      </c>
      <c r="F1112" t="s">
        <v>64</v>
      </c>
      <c r="G1112" t="str">
        <f>VLOOKUP(Table1[[#This Row],[Winner]],Ranking!C:D,2,FALSE)</f>
        <v>ACC</v>
      </c>
      <c r="H1112" s="1">
        <v>84</v>
      </c>
      <c r="I1112" s="1">
        <v>8</v>
      </c>
      <c r="J1112" t="s">
        <v>35</v>
      </c>
      <c r="K1112" t="str">
        <f>VLOOKUP(Table1[[#This Row],[Loser]],Ranking!C:D,2,FALSE)</f>
        <v>ACC</v>
      </c>
      <c r="L1112" s="1">
        <v>77</v>
      </c>
      <c r="N1112" s="1">
        <f>Table1[[#This Row],[Winning Score]]-Table1[[#This Row],[Losing Score]]</f>
        <v>7</v>
      </c>
      <c r="O1112" s="1">
        <f>Table1[[#This Row],[Losing Seed]]-Table1[[#This Row],[Winning Seed]]</f>
        <v>7</v>
      </c>
      <c r="P1112" s="1" t="str">
        <f>IF(Table1[[#This Row],[SeD]]&lt;-2,Table1[[#This Row],[Winning Seed]]&amp; " over " &amp;Table1[[#This Row],[Losing Seed]],"")</f>
        <v/>
      </c>
      <c r="Q1112">
        <f>VLOOKUP(Table1[[#This Row],[Losing Seed]],'Seed History'!$N$4:$O$19,2)</f>
        <v>0.70833333333333337</v>
      </c>
      <c r="R1112" s="1">
        <f>IF(Table1[[#This Row],[Round]]="PI",0,Table1[[#This Row],[Round]]-1)</f>
        <v>1</v>
      </c>
      <c r="S1112">
        <f>Table1[[#This Row],[LAW]]-Table1[[#This Row],[LEW]]</f>
        <v>0.29166666666666663</v>
      </c>
    </row>
    <row r="1113" spans="1:19" x14ac:dyDescent="0.25">
      <c r="A1113" s="66">
        <v>37331</v>
      </c>
      <c r="B1113" s="51">
        <f>YEAR(Table1[[#This Row],[Date]])</f>
        <v>2002</v>
      </c>
      <c r="C1113" s="1">
        <v>2</v>
      </c>
      <c r="D1113" t="s">
        <v>63</v>
      </c>
      <c r="E1113" s="1">
        <v>5</v>
      </c>
      <c r="F1113" t="s">
        <v>36</v>
      </c>
      <c r="G1113" t="str">
        <f>VLOOKUP(Table1[[#This Row],[Winner]],Ranking!C:D,2,FALSE)</f>
        <v>B10</v>
      </c>
      <c r="H1113" s="1">
        <v>76</v>
      </c>
      <c r="I1113" s="1">
        <v>13</v>
      </c>
      <c r="J1113" t="s">
        <v>395</v>
      </c>
      <c r="K1113" t="str">
        <f>VLOOKUP(Table1[[#This Row],[Loser]],Ranking!C:D,2,FALSE)</f>
        <v>CAA</v>
      </c>
      <c r="L1113" s="1">
        <v>67</v>
      </c>
      <c r="N1113" s="1">
        <f>Table1[[#This Row],[Winning Score]]-Table1[[#This Row],[Losing Score]]</f>
        <v>9</v>
      </c>
      <c r="O1113" s="1">
        <f>Table1[[#This Row],[Losing Seed]]-Table1[[#This Row],[Winning Seed]]</f>
        <v>8</v>
      </c>
      <c r="P1113" s="1" t="str">
        <f>IF(Table1[[#This Row],[SeD]]&lt;-2,Table1[[#This Row],[Winning Seed]]&amp; " over " &amp;Table1[[#This Row],[Losing Seed]],"")</f>
        <v/>
      </c>
      <c r="Q1113">
        <f>VLOOKUP(Table1[[#This Row],[Losing Seed]],'Seed History'!$N$4:$O$19,2)</f>
        <v>0.25694444444444442</v>
      </c>
      <c r="R1113" s="1">
        <f>IF(Table1[[#This Row],[Round]]="PI",0,Table1[[#This Row],[Round]]-1)</f>
        <v>1</v>
      </c>
      <c r="S1113">
        <f>Table1[[#This Row],[LAW]]-Table1[[#This Row],[LEW]]</f>
        <v>0.74305555555555558</v>
      </c>
    </row>
    <row r="1114" spans="1:19" x14ac:dyDescent="0.25">
      <c r="A1114" s="66">
        <v>37331</v>
      </c>
      <c r="B1114" s="51">
        <f>YEAR(Table1[[#This Row],[Date]])</f>
        <v>2002</v>
      </c>
      <c r="C1114" s="1">
        <v>2</v>
      </c>
      <c r="D1114" t="s">
        <v>38</v>
      </c>
      <c r="E1114" s="1">
        <v>3</v>
      </c>
      <c r="F1114" t="s">
        <v>48</v>
      </c>
      <c r="G1114" t="str">
        <f>VLOOKUP(Table1[[#This Row],[Winner]],Ranking!C:D,2,FALSE)</f>
        <v>P12</v>
      </c>
      <c r="H1114" s="1">
        <v>68</v>
      </c>
      <c r="I1114" s="1">
        <v>11</v>
      </c>
      <c r="J1114" t="s">
        <v>53</v>
      </c>
      <c r="K1114" t="str">
        <f>VLOOKUP(Table1[[#This Row],[Loser]],Ranking!C:D,2,FALSE)</f>
        <v>MWC</v>
      </c>
      <c r="L1114" s="1">
        <v>60</v>
      </c>
      <c r="N1114" s="1">
        <f>Table1[[#This Row],[Winning Score]]-Table1[[#This Row],[Losing Score]]</f>
        <v>8</v>
      </c>
      <c r="O1114" s="1">
        <f>Table1[[#This Row],[Losing Seed]]-Table1[[#This Row],[Winning Seed]]</f>
        <v>8</v>
      </c>
      <c r="P1114" s="1" t="str">
        <f>IF(Table1[[#This Row],[SeD]]&lt;-2,Table1[[#This Row],[Winning Seed]]&amp; " over " &amp;Table1[[#This Row],[Losing Seed]],"")</f>
        <v/>
      </c>
      <c r="Q1114">
        <f>VLOOKUP(Table1[[#This Row],[Losing Seed]],'Seed History'!$N$4:$O$19,2)</f>
        <v>0.63194444444444442</v>
      </c>
      <c r="R1114" s="1">
        <f>IF(Table1[[#This Row],[Round]]="PI",0,Table1[[#This Row],[Round]]-1)</f>
        <v>1</v>
      </c>
      <c r="S1114">
        <f>Table1[[#This Row],[LAW]]-Table1[[#This Row],[LEW]]</f>
        <v>0.36805555555555558</v>
      </c>
    </row>
    <row r="1115" spans="1:19" x14ac:dyDescent="0.25">
      <c r="A1115" s="66">
        <v>37332</v>
      </c>
      <c r="B1115" s="51">
        <f>YEAR(Table1[[#This Row],[Date]])</f>
        <v>2002</v>
      </c>
      <c r="C1115" s="1">
        <v>2</v>
      </c>
      <c r="D1115" t="s">
        <v>49</v>
      </c>
      <c r="E1115" s="1">
        <v>11</v>
      </c>
      <c r="F1115" t="s">
        <v>362</v>
      </c>
      <c r="G1115" t="str">
        <f>VLOOKUP(Table1[[#This Row],[Winner]],Ranking!C:D,2,FALSE)</f>
        <v>MVC</v>
      </c>
      <c r="H1115" s="1">
        <v>77</v>
      </c>
      <c r="I1115" s="1">
        <v>3</v>
      </c>
      <c r="J1115" t="s">
        <v>60</v>
      </c>
      <c r="K1115" t="str">
        <f>VLOOKUP(Table1[[#This Row],[Loser]],Ranking!C:D,2,FALSE)</f>
        <v>SEC</v>
      </c>
      <c r="L1115" s="1">
        <v>75</v>
      </c>
      <c r="N1115" s="1">
        <f>Table1[[#This Row],[Winning Score]]-Table1[[#This Row],[Losing Score]]</f>
        <v>2</v>
      </c>
      <c r="O1115" s="1">
        <f>Table1[[#This Row],[Losing Seed]]-Table1[[#This Row],[Winning Seed]]</f>
        <v>-8</v>
      </c>
      <c r="P1115" s="1" t="str">
        <f>IF(Table1[[#This Row],[SeD]]&lt;-2,Table1[[#This Row],[Winning Seed]]&amp; " over " &amp;Table1[[#This Row],[Losing Seed]],"")</f>
        <v>11 over 3</v>
      </c>
      <c r="Q1115">
        <f>VLOOKUP(Table1[[#This Row],[Losing Seed]],'Seed History'!$N$4:$O$19,2)</f>
        <v>1.8472222222222223</v>
      </c>
      <c r="R1115" s="1">
        <f>IF(Table1[[#This Row],[Round]]="PI",0,Table1[[#This Row],[Round]]-1)</f>
        <v>1</v>
      </c>
      <c r="S1115">
        <f>Table1[[#This Row],[LAW]]-Table1[[#This Row],[LEW]]</f>
        <v>-0.84722222222222232</v>
      </c>
    </row>
    <row r="1116" spans="1:19" x14ac:dyDescent="0.25">
      <c r="A1116" s="66">
        <v>37332</v>
      </c>
      <c r="B1116" s="51">
        <f>YEAR(Table1[[#This Row],[Date]])</f>
        <v>2002</v>
      </c>
      <c r="C1116" s="1">
        <v>2</v>
      </c>
      <c r="D1116" t="s">
        <v>38</v>
      </c>
      <c r="E1116" s="1">
        <v>8</v>
      </c>
      <c r="F1116" t="s">
        <v>67</v>
      </c>
      <c r="G1116" t="str">
        <f>VLOOKUP(Table1[[#This Row],[Winner]],Ranking!C:D,2,FALSE)</f>
        <v>P12</v>
      </c>
      <c r="H1116" s="1">
        <v>105</v>
      </c>
      <c r="I1116" s="1">
        <v>1</v>
      </c>
      <c r="J1116" t="s">
        <v>28</v>
      </c>
      <c r="K1116" t="str">
        <f>VLOOKUP(Table1[[#This Row],[Loser]],Ranking!C:D,2,FALSE)</f>
        <v>Amer</v>
      </c>
      <c r="L1116" s="1">
        <v>101</v>
      </c>
      <c r="M1116" s="1" t="s">
        <v>463</v>
      </c>
      <c r="N1116" s="1">
        <f>Table1[[#This Row],[Winning Score]]-Table1[[#This Row],[Losing Score]]</f>
        <v>4</v>
      </c>
      <c r="O1116" s="1">
        <f>Table1[[#This Row],[Losing Seed]]-Table1[[#This Row],[Winning Seed]]</f>
        <v>-7</v>
      </c>
      <c r="P1116" s="1" t="str">
        <f>IF(Table1[[#This Row],[SeD]]&lt;-2,Table1[[#This Row],[Winning Seed]]&amp; " over " &amp;Table1[[#This Row],[Losing Seed]],"")</f>
        <v>8 over 1</v>
      </c>
      <c r="Q1116">
        <f>VLOOKUP(Table1[[#This Row],[Losing Seed]],'Seed History'!$N$4:$O$19,2)</f>
        <v>3.3263888888888888</v>
      </c>
      <c r="R1116" s="1">
        <f>IF(Table1[[#This Row],[Round]]="PI",0,Table1[[#This Row],[Round]]-1)</f>
        <v>1</v>
      </c>
      <c r="S1116">
        <f>Table1[[#This Row],[LAW]]-Table1[[#This Row],[LEW]]</f>
        <v>-2.3263888888888888</v>
      </c>
    </row>
    <row r="1117" spans="1:19" x14ac:dyDescent="0.25">
      <c r="A1117" s="66">
        <v>37332</v>
      </c>
      <c r="B1117" s="51">
        <f>YEAR(Table1[[#This Row],[Date]])</f>
        <v>2002</v>
      </c>
      <c r="C1117" s="1">
        <v>2</v>
      </c>
      <c r="D1117" t="s">
        <v>49</v>
      </c>
      <c r="E1117" s="1">
        <v>1</v>
      </c>
      <c r="F1117" t="s">
        <v>31</v>
      </c>
      <c r="G1117" t="str">
        <f>VLOOKUP(Table1[[#This Row],[Winner]],Ranking!C:D,2,FALSE)</f>
        <v>B10</v>
      </c>
      <c r="H1117" s="1">
        <v>87</v>
      </c>
      <c r="I1117" s="1">
        <v>8</v>
      </c>
      <c r="J1117" t="s">
        <v>39</v>
      </c>
      <c r="K1117" t="str">
        <f>VLOOKUP(Table1[[#This Row],[Loser]],Ranking!C:D,2,FALSE)</f>
        <v>B10</v>
      </c>
      <c r="L1117" s="1">
        <v>57</v>
      </c>
      <c r="N1117" s="1">
        <f>Table1[[#This Row],[Winning Score]]-Table1[[#This Row],[Losing Score]]</f>
        <v>30</v>
      </c>
      <c r="O1117" s="1">
        <f>Table1[[#This Row],[Losing Seed]]-Table1[[#This Row],[Winning Seed]]</f>
        <v>7</v>
      </c>
      <c r="P1117" s="1" t="str">
        <f>IF(Table1[[#This Row],[SeD]]&lt;-2,Table1[[#This Row],[Winning Seed]]&amp; " over " &amp;Table1[[#This Row],[Losing Seed]],"")</f>
        <v/>
      </c>
      <c r="Q1117">
        <f>VLOOKUP(Table1[[#This Row],[Losing Seed]],'Seed History'!$N$4:$O$19,2)</f>
        <v>0.70833333333333337</v>
      </c>
      <c r="R1117" s="1">
        <f>IF(Table1[[#This Row],[Round]]="PI",0,Table1[[#This Row],[Round]]-1)</f>
        <v>1</v>
      </c>
      <c r="S1117">
        <f>Table1[[#This Row],[LAW]]-Table1[[#This Row],[LEW]]</f>
        <v>0.29166666666666663</v>
      </c>
    </row>
    <row r="1118" spans="1:19" x14ac:dyDescent="0.25">
      <c r="A1118" s="66">
        <v>37332</v>
      </c>
      <c r="B1118" s="51">
        <f>YEAR(Table1[[#This Row],[Date]])</f>
        <v>2002</v>
      </c>
      <c r="C1118" s="1">
        <v>2</v>
      </c>
      <c r="D1118" t="s">
        <v>49</v>
      </c>
      <c r="E1118" s="1">
        <v>2</v>
      </c>
      <c r="F1118" t="s">
        <v>80</v>
      </c>
      <c r="G1118" t="str">
        <f>VLOOKUP(Table1[[#This Row],[Winner]],Ranking!C:D,2,FALSE)</f>
        <v>BE</v>
      </c>
      <c r="H1118" s="1">
        <v>77</v>
      </c>
      <c r="I1118" s="1">
        <v>7</v>
      </c>
      <c r="J1118" t="s">
        <v>301</v>
      </c>
      <c r="K1118" t="e">
        <f>VLOOKUP(Table1[[#This Row],[Loser]],Ranking!C:D,2,FALSE)</f>
        <v>#N/A</v>
      </c>
      <c r="L1118" s="1">
        <v>74</v>
      </c>
      <c r="N1118" s="1">
        <f>Table1[[#This Row],[Winning Score]]-Table1[[#This Row],[Losing Score]]</f>
        <v>3</v>
      </c>
      <c r="O1118" s="1">
        <f>Table1[[#This Row],[Losing Seed]]-Table1[[#This Row],[Winning Seed]]</f>
        <v>5</v>
      </c>
      <c r="P1118" s="1" t="str">
        <f>IF(Table1[[#This Row],[SeD]]&lt;-2,Table1[[#This Row],[Winning Seed]]&amp; " over " &amp;Table1[[#This Row],[Losing Seed]],"")</f>
        <v/>
      </c>
      <c r="Q1118">
        <f>VLOOKUP(Table1[[#This Row],[Losing Seed]],'Seed History'!$N$4:$O$19,2)</f>
        <v>0.90277777777777779</v>
      </c>
      <c r="R1118" s="1">
        <f>IF(Table1[[#This Row],[Round]]="PI",0,Table1[[#This Row],[Round]]-1)</f>
        <v>1</v>
      </c>
      <c r="S1118">
        <f>Table1[[#This Row],[LAW]]-Table1[[#This Row],[LEW]]</f>
        <v>9.722222222222221E-2</v>
      </c>
    </row>
    <row r="1119" spans="1:19" x14ac:dyDescent="0.25">
      <c r="A1119" s="66">
        <v>37332</v>
      </c>
      <c r="B1119" s="51">
        <f>YEAR(Table1[[#This Row],[Date]])</f>
        <v>2002</v>
      </c>
      <c r="C1119" s="1">
        <v>2</v>
      </c>
      <c r="D1119" t="s">
        <v>439</v>
      </c>
      <c r="E1119" s="1">
        <v>4</v>
      </c>
      <c r="F1119" t="s">
        <v>230</v>
      </c>
      <c r="G1119" t="str">
        <f>VLOOKUP(Table1[[#This Row],[Winner]],Ranking!C:D,2,FALSE)</f>
        <v>B10</v>
      </c>
      <c r="H1119" s="1">
        <v>72</v>
      </c>
      <c r="I1119" s="1">
        <v>12</v>
      </c>
      <c r="J1119" t="s">
        <v>88</v>
      </c>
      <c r="K1119" t="str">
        <f>VLOOKUP(Table1[[#This Row],[Loser]],Ranking!C:D,2,FALSE)</f>
        <v>BE</v>
      </c>
      <c r="L1119" s="1">
        <v>60</v>
      </c>
      <c r="N1119" s="1">
        <f>Table1[[#This Row],[Winning Score]]-Table1[[#This Row],[Losing Score]]</f>
        <v>12</v>
      </c>
      <c r="O1119" s="1">
        <f>Table1[[#This Row],[Losing Seed]]-Table1[[#This Row],[Winning Seed]]</f>
        <v>8</v>
      </c>
      <c r="P1119" s="1" t="str">
        <f>IF(Table1[[#This Row],[SeD]]&lt;-2,Table1[[#This Row],[Winning Seed]]&amp; " over " &amp;Table1[[#This Row],[Losing Seed]],"")</f>
        <v/>
      </c>
      <c r="Q1119">
        <f>VLOOKUP(Table1[[#This Row],[Losing Seed]],'Seed History'!$N$4:$O$19,2)</f>
        <v>0.52083333333333337</v>
      </c>
      <c r="R1119" s="1">
        <f>IF(Table1[[#This Row],[Round]]="PI",0,Table1[[#This Row],[Round]]-1)</f>
        <v>1</v>
      </c>
      <c r="S1119">
        <f>Table1[[#This Row],[LAW]]-Table1[[#This Row],[LEW]]</f>
        <v>0.47916666666666663</v>
      </c>
    </row>
    <row r="1120" spans="1:19" x14ac:dyDescent="0.25">
      <c r="A1120" s="66">
        <v>37332</v>
      </c>
      <c r="B1120" s="51">
        <f>YEAR(Table1[[#This Row],[Date]])</f>
        <v>2002</v>
      </c>
      <c r="C1120" s="1">
        <v>2</v>
      </c>
      <c r="D1120" t="s">
        <v>63</v>
      </c>
      <c r="E1120" s="1">
        <v>3</v>
      </c>
      <c r="F1120" t="s">
        <v>83</v>
      </c>
      <c r="G1120" t="str">
        <f>VLOOKUP(Table1[[#This Row],[Winner]],Ranking!C:D,2,FALSE)</f>
        <v>ACC</v>
      </c>
      <c r="H1120" s="1">
        <v>63</v>
      </c>
      <c r="I1120" s="1">
        <v>6</v>
      </c>
      <c r="J1120" t="s">
        <v>84</v>
      </c>
      <c r="K1120" t="str">
        <f>VLOOKUP(Table1[[#This Row],[Loser]],Ranking!C:D,2,FALSE)</f>
        <v>P12</v>
      </c>
      <c r="L1120" s="1">
        <v>50</v>
      </c>
      <c r="N1120" s="1">
        <f>Table1[[#This Row],[Winning Score]]-Table1[[#This Row],[Losing Score]]</f>
        <v>13</v>
      </c>
      <c r="O1120" s="1">
        <f>Table1[[#This Row],[Losing Seed]]-Table1[[#This Row],[Winning Seed]]</f>
        <v>3</v>
      </c>
      <c r="P1120" s="1" t="str">
        <f>IF(Table1[[#This Row],[SeD]]&lt;-2,Table1[[#This Row],[Winning Seed]]&amp; " over " &amp;Table1[[#This Row],[Losing Seed]],"")</f>
        <v/>
      </c>
      <c r="Q1120">
        <f>VLOOKUP(Table1[[#This Row],[Losing Seed]],'Seed History'!$N$4:$O$19,2)</f>
        <v>1.0625</v>
      </c>
      <c r="R1120" s="1">
        <f>IF(Table1[[#This Row],[Round]]="PI",0,Table1[[#This Row],[Round]]-1)</f>
        <v>1</v>
      </c>
      <c r="S1120">
        <f>Table1[[#This Row],[LAW]]-Table1[[#This Row],[LEW]]</f>
        <v>-6.25E-2</v>
      </c>
    </row>
    <row r="1121" spans="1:19" x14ac:dyDescent="0.25">
      <c r="A1121" s="66">
        <v>37332</v>
      </c>
      <c r="B1121" s="51">
        <f>YEAR(Table1[[#This Row],[Date]])</f>
        <v>2002</v>
      </c>
      <c r="C1121" s="1">
        <v>2</v>
      </c>
      <c r="D1121" t="s">
        <v>38</v>
      </c>
      <c r="E1121" s="1">
        <v>2</v>
      </c>
      <c r="F1121" t="s">
        <v>58</v>
      </c>
      <c r="G1121" t="str">
        <f>VLOOKUP(Table1[[#This Row],[Winner]],Ranking!C:D,2,FALSE)</f>
        <v>B12</v>
      </c>
      <c r="H1121" s="1">
        <v>78</v>
      </c>
      <c r="I1121" s="1">
        <v>7</v>
      </c>
      <c r="J1121" t="s">
        <v>44</v>
      </c>
      <c r="K1121" t="str">
        <f>VLOOKUP(Table1[[#This Row],[Loser]],Ranking!C:D,2,FALSE)</f>
        <v>BE</v>
      </c>
      <c r="L1121" s="1">
        <v>65</v>
      </c>
      <c r="N1121" s="1">
        <f>Table1[[#This Row],[Winning Score]]-Table1[[#This Row],[Losing Score]]</f>
        <v>13</v>
      </c>
      <c r="O1121" s="1">
        <f>Table1[[#This Row],[Losing Seed]]-Table1[[#This Row],[Winning Seed]]</f>
        <v>5</v>
      </c>
      <c r="P1121" s="1" t="str">
        <f>IF(Table1[[#This Row],[SeD]]&lt;-2,Table1[[#This Row],[Winning Seed]]&amp; " over " &amp;Table1[[#This Row],[Losing Seed]],"")</f>
        <v/>
      </c>
      <c r="Q1121">
        <f>VLOOKUP(Table1[[#This Row],[Losing Seed]],'Seed History'!$N$4:$O$19,2)</f>
        <v>0.90277777777777779</v>
      </c>
      <c r="R1121" s="1">
        <f>IF(Table1[[#This Row],[Round]]="PI",0,Table1[[#This Row],[Round]]-1)</f>
        <v>1</v>
      </c>
      <c r="S1121">
        <f>Table1[[#This Row],[LAW]]-Table1[[#This Row],[LEW]]</f>
        <v>9.722222222222221E-2</v>
      </c>
    </row>
    <row r="1122" spans="1:19" x14ac:dyDescent="0.25">
      <c r="A1122" s="66">
        <v>37332</v>
      </c>
      <c r="B1122" s="51">
        <f>YEAR(Table1[[#This Row],[Date]])</f>
        <v>2002</v>
      </c>
      <c r="C1122" s="1">
        <v>2</v>
      </c>
      <c r="D1122" t="s">
        <v>439</v>
      </c>
      <c r="E1122" s="1">
        <v>6</v>
      </c>
      <c r="F1122" t="s">
        <v>34</v>
      </c>
      <c r="G1122" t="str">
        <f>VLOOKUP(Table1[[#This Row],[Winner]],Ranking!C:D,2,FALSE)</f>
        <v>B12</v>
      </c>
      <c r="H1122" s="1">
        <v>68</v>
      </c>
      <c r="I1122" s="1">
        <v>3</v>
      </c>
      <c r="J1122" t="s">
        <v>275</v>
      </c>
      <c r="K1122" t="str">
        <f>VLOOKUP(Table1[[#This Row],[Loser]],Ranking!C:D,2,FALSE)</f>
        <v>SEC</v>
      </c>
      <c r="L1122" s="1">
        <v>64</v>
      </c>
      <c r="N1122" s="1">
        <f>Table1[[#This Row],[Winning Score]]-Table1[[#This Row],[Losing Score]]</f>
        <v>4</v>
      </c>
      <c r="O1122" s="1">
        <f>Table1[[#This Row],[Losing Seed]]-Table1[[#This Row],[Winning Seed]]</f>
        <v>-3</v>
      </c>
      <c r="P1122" s="1" t="str">
        <f>IF(Table1[[#This Row],[SeD]]&lt;-2,Table1[[#This Row],[Winning Seed]]&amp; " over " &amp;Table1[[#This Row],[Losing Seed]],"")</f>
        <v>6 over 3</v>
      </c>
      <c r="Q1122">
        <f>VLOOKUP(Table1[[#This Row],[Losing Seed]],'Seed History'!$N$4:$O$19,2)</f>
        <v>1.8472222222222223</v>
      </c>
      <c r="R1122" s="1">
        <f>IF(Table1[[#This Row],[Round]]="PI",0,Table1[[#This Row],[Round]]-1)</f>
        <v>1</v>
      </c>
      <c r="S1122">
        <f>Table1[[#This Row],[LAW]]-Table1[[#This Row],[LEW]]</f>
        <v>-0.84722222222222232</v>
      </c>
    </row>
    <row r="1123" spans="1:19" x14ac:dyDescent="0.25">
      <c r="A1123" s="66">
        <v>37336</v>
      </c>
      <c r="B1123" s="51">
        <f>YEAR(Table1[[#This Row],[Date]])</f>
        <v>2002</v>
      </c>
      <c r="C1123" s="1">
        <v>3</v>
      </c>
      <c r="D1123" t="s">
        <v>63</v>
      </c>
      <c r="E1123" s="1">
        <v>10</v>
      </c>
      <c r="F1123" t="s">
        <v>245</v>
      </c>
      <c r="G1123" t="str">
        <f>VLOOKUP(Table1[[#This Row],[Winner]],Ranking!C:D,2,FALSE)</f>
        <v>MAC</v>
      </c>
      <c r="H1123" s="1">
        <v>78</v>
      </c>
      <c r="I1123" s="1">
        <v>3</v>
      </c>
      <c r="J1123" t="s">
        <v>83</v>
      </c>
      <c r="K1123" t="str">
        <f>VLOOKUP(Table1[[#This Row],[Loser]],Ranking!C:D,2,FALSE)</f>
        <v>ACC</v>
      </c>
      <c r="L1123" s="1">
        <v>73</v>
      </c>
      <c r="N1123" s="1">
        <f>Table1[[#This Row],[Winning Score]]-Table1[[#This Row],[Losing Score]]</f>
        <v>5</v>
      </c>
      <c r="O1123" s="1">
        <f>Table1[[#This Row],[Losing Seed]]-Table1[[#This Row],[Winning Seed]]</f>
        <v>-7</v>
      </c>
      <c r="P1123" s="1" t="str">
        <f>IF(Table1[[#This Row],[SeD]]&lt;-2,Table1[[#This Row],[Winning Seed]]&amp; " over " &amp;Table1[[#This Row],[Losing Seed]],"")</f>
        <v>10 over 3</v>
      </c>
      <c r="Q1123">
        <f>VLOOKUP(Table1[[#This Row],[Losing Seed]],'Seed History'!$N$4:$O$19,2)</f>
        <v>1.8472222222222223</v>
      </c>
      <c r="R1123" s="1">
        <f>IF(Table1[[#This Row],[Round]]="PI",0,Table1[[#This Row],[Round]]-1)</f>
        <v>2</v>
      </c>
      <c r="S1123">
        <f>Table1[[#This Row],[LAW]]-Table1[[#This Row],[LEW]]</f>
        <v>0.15277777777777768</v>
      </c>
    </row>
    <row r="1124" spans="1:19" x14ac:dyDescent="0.25">
      <c r="A1124" s="66">
        <v>37336</v>
      </c>
      <c r="B1124" s="51">
        <f>YEAR(Table1[[#This Row],[Date]])</f>
        <v>2002</v>
      </c>
      <c r="C1124" s="1">
        <v>3</v>
      </c>
      <c r="D1124" t="s">
        <v>63</v>
      </c>
      <c r="E1124" s="1">
        <v>5</v>
      </c>
      <c r="F1124" t="s">
        <v>36</v>
      </c>
      <c r="G1124" t="str">
        <f>VLOOKUP(Table1[[#This Row],[Winner]],Ranking!C:D,2,FALSE)</f>
        <v>B10</v>
      </c>
      <c r="H1124" s="1">
        <v>74</v>
      </c>
      <c r="I1124" s="1">
        <v>1</v>
      </c>
      <c r="J1124" t="s">
        <v>64</v>
      </c>
      <c r="K1124" t="str">
        <f>VLOOKUP(Table1[[#This Row],[Loser]],Ranking!C:D,2,FALSE)</f>
        <v>ACC</v>
      </c>
      <c r="L1124" s="1">
        <v>73</v>
      </c>
      <c r="N1124" s="1">
        <f>Table1[[#This Row],[Winning Score]]-Table1[[#This Row],[Losing Score]]</f>
        <v>1</v>
      </c>
      <c r="O1124" s="1">
        <f>Table1[[#This Row],[Losing Seed]]-Table1[[#This Row],[Winning Seed]]</f>
        <v>-4</v>
      </c>
      <c r="P1124" s="1" t="str">
        <f>IF(Table1[[#This Row],[SeD]]&lt;-2,Table1[[#This Row],[Winning Seed]]&amp; " over " &amp;Table1[[#This Row],[Losing Seed]],"")</f>
        <v>5 over 1</v>
      </c>
      <c r="Q1124">
        <f>VLOOKUP(Table1[[#This Row],[Losing Seed]],'Seed History'!$N$4:$O$19,2)</f>
        <v>3.3263888888888888</v>
      </c>
      <c r="R1124" s="1">
        <f>IF(Table1[[#This Row],[Round]]="PI",0,Table1[[#This Row],[Round]]-1)</f>
        <v>2</v>
      </c>
      <c r="S1124">
        <f>Table1[[#This Row],[LAW]]-Table1[[#This Row],[LEW]]</f>
        <v>-1.3263888888888888</v>
      </c>
    </row>
    <row r="1125" spans="1:19" x14ac:dyDescent="0.25">
      <c r="A1125" s="66">
        <v>37336</v>
      </c>
      <c r="B1125" s="51">
        <f>YEAR(Table1[[#This Row],[Date]])</f>
        <v>2002</v>
      </c>
      <c r="C1125" s="1">
        <v>3</v>
      </c>
      <c r="D1125" t="s">
        <v>38</v>
      </c>
      <c r="E1125" s="1">
        <v>12</v>
      </c>
      <c r="F1125" t="s">
        <v>277</v>
      </c>
      <c r="G1125" t="str">
        <f>VLOOKUP(Table1[[#This Row],[Winner]],Ranking!C:D,2,FALSE)</f>
        <v>SEC</v>
      </c>
      <c r="H1125" s="1">
        <v>82</v>
      </c>
      <c r="I1125" s="1">
        <v>8</v>
      </c>
      <c r="J1125" t="s">
        <v>67</v>
      </c>
      <c r="K1125" t="str">
        <f>VLOOKUP(Table1[[#This Row],[Loser]],Ranking!C:D,2,FALSE)</f>
        <v>P12</v>
      </c>
      <c r="L1125" s="1">
        <v>73</v>
      </c>
      <c r="N1125" s="1">
        <f>Table1[[#This Row],[Winning Score]]-Table1[[#This Row],[Losing Score]]</f>
        <v>9</v>
      </c>
      <c r="O1125" s="1">
        <f>Table1[[#This Row],[Losing Seed]]-Table1[[#This Row],[Winning Seed]]</f>
        <v>-4</v>
      </c>
      <c r="P1125" s="1" t="str">
        <f>IF(Table1[[#This Row],[SeD]]&lt;-2,Table1[[#This Row],[Winning Seed]]&amp; " over " &amp;Table1[[#This Row],[Losing Seed]],"")</f>
        <v>12 over 8</v>
      </c>
      <c r="Q1125">
        <f>VLOOKUP(Table1[[#This Row],[Losing Seed]],'Seed History'!$N$4:$O$19,2)</f>
        <v>0.70833333333333337</v>
      </c>
      <c r="R1125" s="1">
        <f>IF(Table1[[#This Row],[Round]]="PI",0,Table1[[#This Row],[Round]]-1)</f>
        <v>2</v>
      </c>
      <c r="S1125">
        <f>Table1[[#This Row],[LAW]]-Table1[[#This Row],[LEW]]</f>
        <v>1.2916666666666665</v>
      </c>
    </row>
    <row r="1126" spans="1:19" x14ac:dyDescent="0.25">
      <c r="A1126" s="66">
        <v>37336</v>
      </c>
      <c r="B1126" s="51">
        <f>YEAR(Table1[[#This Row],[Date]])</f>
        <v>2002</v>
      </c>
      <c r="C1126" s="1">
        <v>3</v>
      </c>
      <c r="D1126" t="s">
        <v>38</v>
      </c>
      <c r="E1126" s="1">
        <v>2</v>
      </c>
      <c r="F1126" t="s">
        <v>58</v>
      </c>
      <c r="G1126" t="str">
        <f>VLOOKUP(Table1[[#This Row],[Winner]],Ranking!C:D,2,FALSE)</f>
        <v>B12</v>
      </c>
      <c r="H1126" s="1">
        <v>88</v>
      </c>
      <c r="I1126" s="1">
        <v>3</v>
      </c>
      <c r="J1126" t="s">
        <v>48</v>
      </c>
      <c r="K1126" t="str">
        <f>VLOOKUP(Table1[[#This Row],[Loser]],Ranking!C:D,2,FALSE)</f>
        <v>P12</v>
      </c>
      <c r="L1126" s="1">
        <v>67</v>
      </c>
      <c r="N1126" s="1">
        <f>Table1[[#This Row],[Winning Score]]-Table1[[#This Row],[Losing Score]]</f>
        <v>21</v>
      </c>
      <c r="O1126" s="1">
        <f>Table1[[#This Row],[Losing Seed]]-Table1[[#This Row],[Winning Seed]]</f>
        <v>1</v>
      </c>
      <c r="P1126" s="1" t="str">
        <f>IF(Table1[[#This Row],[SeD]]&lt;-2,Table1[[#This Row],[Winning Seed]]&amp; " over " &amp;Table1[[#This Row],[Losing Seed]],"")</f>
        <v/>
      </c>
      <c r="Q1126">
        <f>VLOOKUP(Table1[[#This Row],[Losing Seed]],'Seed History'!$N$4:$O$19,2)</f>
        <v>1.8472222222222223</v>
      </c>
      <c r="R1126" s="1">
        <f>IF(Table1[[#This Row],[Round]]="PI",0,Table1[[#This Row],[Round]]-1)</f>
        <v>2</v>
      </c>
      <c r="S1126">
        <f>Table1[[#This Row],[LAW]]-Table1[[#This Row],[LEW]]</f>
        <v>0.15277777777777768</v>
      </c>
    </row>
    <row r="1127" spans="1:19" x14ac:dyDescent="0.25">
      <c r="A1127" s="66">
        <v>37337</v>
      </c>
      <c r="B1127" s="51">
        <f>YEAR(Table1[[#This Row],[Date]])</f>
        <v>2002</v>
      </c>
      <c r="C1127" s="1">
        <v>3</v>
      </c>
      <c r="D1127" t="s">
        <v>49</v>
      </c>
      <c r="E1127" s="1">
        <v>1</v>
      </c>
      <c r="F1127" t="s">
        <v>31</v>
      </c>
      <c r="G1127" t="str">
        <f>VLOOKUP(Table1[[#This Row],[Winner]],Ranking!C:D,2,FALSE)</f>
        <v>B10</v>
      </c>
      <c r="H1127" s="1">
        <v>78</v>
      </c>
      <c r="I1127" s="1">
        <v>4</v>
      </c>
      <c r="J1127" t="s">
        <v>26</v>
      </c>
      <c r="K1127" t="str">
        <f>VLOOKUP(Table1[[#This Row],[Loser]],Ranking!C:D,2,FALSE)</f>
        <v>SEC</v>
      </c>
      <c r="L1127" s="1">
        <v>68</v>
      </c>
      <c r="N1127" s="1">
        <f>Table1[[#This Row],[Winning Score]]-Table1[[#This Row],[Losing Score]]</f>
        <v>10</v>
      </c>
      <c r="O1127" s="1">
        <f>Table1[[#This Row],[Losing Seed]]-Table1[[#This Row],[Winning Seed]]</f>
        <v>3</v>
      </c>
      <c r="P1127" s="1" t="str">
        <f>IF(Table1[[#This Row],[SeD]]&lt;-2,Table1[[#This Row],[Winning Seed]]&amp; " over " &amp;Table1[[#This Row],[Losing Seed]],"")</f>
        <v/>
      </c>
      <c r="Q1127">
        <f>VLOOKUP(Table1[[#This Row],[Losing Seed]],'Seed History'!$N$4:$O$19,2)</f>
        <v>1.5208333333333333</v>
      </c>
      <c r="R1127" s="1">
        <f>IF(Table1[[#This Row],[Round]]="PI",0,Table1[[#This Row],[Round]]-1)</f>
        <v>2</v>
      </c>
      <c r="S1127">
        <f>Table1[[#This Row],[LAW]]-Table1[[#This Row],[LEW]]</f>
        <v>0.47916666666666674</v>
      </c>
    </row>
    <row r="1128" spans="1:19" x14ac:dyDescent="0.25">
      <c r="A1128" s="66">
        <v>37337</v>
      </c>
      <c r="B1128" s="51">
        <f>YEAR(Table1[[#This Row],[Date]])</f>
        <v>2002</v>
      </c>
      <c r="C1128" s="1">
        <v>3</v>
      </c>
      <c r="D1128" t="s">
        <v>49</v>
      </c>
      <c r="E1128" s="1">
        <v>2</v>
      </c>
      <c r="F1128" t="s">
        <v>80</v>
      </c>
      <c r="G1128" t="str">
        <f>VLOOKUP(Table1[[#This Row],[Winner]],Ranking!C:D,2,FALSE)</f>
        <v>BE</v>
      </c>
      <c r="H1128" s="1">
        <v>71</v>
      </c>
      <c r="I1128" s="1">
        <v>11</v>
      </c>
      <c r="J1128" t="s">
        <v>362</v>
      </c>
      <c r="K1128" t="str">
        <f>VLOOKUP(Table1[[#This Row],[Loser]],Ranking!C:D,2,FALSE)</f>
        <v>MVC</v>
      </c>
      <c r="L1128" s="1">
        <v>59</v>
      </c>
      <c r="N1128" s="1">
        <f>Table1[[#This Row],[Winning Score]]-Table1[[#This Row],[Losing Score]]</f>
        <v>12</v>
      </c>
      <c r="O1128" s="1">
        <f>Table1[[#This Row],[Losing Seed]]-Table1[[#This Row],[Winning Seed]]</f>
        <v>9</v>
      </c>
      <c r="P1128" s="1" t="str">
        <f>IF(Table1[[#This Row],[SeD]]&lt;-2,Table1[[#This Row],[Winning Seed]]&amp; " over " &amp;Table1[[#This Row],[Losing Seed]],"")</f>
        <v/>
      </c>
      <c r="Q1128">
        <f>VLOOKUP(Table1[[#This Row],[Losing Seed]],'Seed History'!$N$4:$O$19,2)</f>
        <v>0.63194444444444442</v>
      </c>
      <c r="R1128" s="1">
        <f>IF(Table1[[#This Row],[Round]]="PI",0,Table1[[#This Row],[Round]]-1)</f>
        <v>2</v>
      </c>
      <c r="S1128">
        <f>Table1[[#This Row],[LAW]]-Table1[[#This Row],[LEW]]</f>
        <v>1.3680555555555556</v>
      </c>
    </row>
    <row r="1129" spans="1:19" x14ac:dyDescent="0.25">
      <c r="A1129" s="66">
        <v>37337</v>
      </c>
      <c r="B1129" s="51">
        <f>YEAR(Table1[[#This Row],[Date]])</f>
        <v>2002</v>
      </c>
      <c r="C1129" s="1">
        <v>3</v>
      </c>
      <c r="D1129" t="s">
        <v>439</v>
      </c>
      <c r="E1129" s="1">
        <v>1</v>
      </c>
      <c r="F1129" t="s">
        <v>37</v>
      </c>
      <c r="G1129" t="str">
        <f>VLOOKUP(Table1[[#This Row],[Winner]],Ranking!C:D,2,FALSE)</f>
        <v>B12</v>
      </c>
      <c r="H1129" s="1">
        <v>73</v>
      </c>
      <c r="I1129" s="1">
        <v>4</v>
      </c>
      <c r="J1129" t="s">
        <v>230</v>
      </c>
      <c r="K1129" t="str">
        <f>VLOOKUP(Table1[[#This Row],[Loser]],Ranking!C:D,2,FALSE)</f>
        <v>B10</v>
      </c>
      <c r="L1129" s="1">
        <v>69</v>
      </c>
      <c r="N1129" s="1">
        <f>Table1[[#This Row],[Winning Score]]-Table1[[#This Row],[Losing Score]]</f>
        <v>4</v>
      </c>
      <c r="O1129" s="1">
        <f>Table1[[#This Row],[Losing Seed]]-Table1[[#This Row],[Winning Seed]]</f>
        <v>3</v>
      </c>
      <c r="P1129" s="1" t="str">
        <f>IF(Table1[[#This Row],[SeD]]&lt;-2,Table1[[#This Row],[Winning Seed]]&amp; " over " &amp;Table1[[#This Row],[Losing Seed]],"")</f>
        <v/>
      </c>
      <c r="Q1129">
        <f>VLOOKUP(Table1[[#This Row],[Losing Seed]],'Seed History'!$N$4:$O$19,2)</f>
        <v>1.5208333333333333</v>
      </c>
      <c r="R1129" s="1">
        <f>IF(Table1[[#This Row],[Round]]="PI",0,Table1[[#This Row],[Round]]-1)</f>
        <v>2</v>
      </c>
      <c r="S1129">
        <f>Table1[[#This Row],[LAW]]-Table1[[#This Row],[LEW]]</f>
        <v>0.47916666666666674</v>
      </c>
    </row>
    <row r="1130" spans="1:19" x14ac:dyDescent="0.25">
      <c r="A1130" s="66">
        <v>37337</v>
      </c>
      <c r="B1130" s="51">
        <f>YEAR(Table1[[#This Row],[Date]])</f>
        <v>2002</v>
      </c>
      <c r="C1130" s="1">
        <v>3</v>
      </c>
      <c r="D1130" t="s">
        <v>439</v>
      </c>
      <c r="E1130" s="1">
        <v>2</v>
      </c>
      <c r="F1130" t="s">
        <v>40</v>
      </c>
      <c r="G1130" t="str">
        <f>VLOOKUP(Table1[[#This Row],[Winner]],Ranking!C:D,2,FALSE)</f>
        <v>P12</v>
      </c>
      <c r="H1130" s="1">
        <v>72</v>
      </c>
      <c r="I1130" s="1">
        <v>6</v>
      </c>
      <c r="J1130" t="s">
        <v>34</v>
      </c>
      <c r="K1130" t="str">
        <f>VLOOKUP(Table1[[#This Row],[Loser]],Ranking!C:D,2,FALSE)</f>
        <v>B12</v>
      </c>
      <c r="L1130" s="1">
        <v>70</v>
      </c>
      <c r="N1130" s="1">
        <f>Table1[[#This Row],[Winning Score]]-Table1[[#This Row],[Losing Score]]</f>
        <v>2</v>
      </c>
      <c r="O1130" s="1">
        <f>Table1[[#This Row],[Losing Seed]]-Table1[[#This Row],[Winning Seed]]</f>
        <v>4</v>
      </c>
      <c r="P1130" s="1" t="str">
        <f>IF(Table1[[#This Row],[SeD]]&lt;-2,Table1[[#This Row],[Winning Seed]]&amp; " over " &amp;Table1[[#This Row],[Losing Seed]],"")</f>
        <v/>
      </c>
      <c r="Q1130">
        <f>VLOOKUP(Table1[[#This Row],[Losing Seed]],'Seed History'!$N$4:$O$19,2)</f>
        <v>1.0625</v>
      </c>
      <c r="R1130" s="1">
        <f>IF(Table1[[#This Row],[Round]]="PI",0,Table1[[#This Row],[Round]]-1)</f>
        <v>2</v>
      </c>
      <c r="S1130">
        <f>Table1[[#This Row],[LAW]]-Table1[[#This Row],[LEW]]</f>
        <v>0.9375</v>
      </c>
    </row>
    <row r="1131" spans="1:19" x14ac:dyDescent="0.25">
      <c r="A1131" s="66">
        <v>37338</v>
      </c>
      <c r="B1131" s="51">
        <f>YEAR(Table1[[#This Row],[Date]])</f>
        <v>2002</v>
      </c>
      <c r="C1131" s="1">
        <v>4</v>
      </c>
      <c r="D1131" t="s">
        <v>63</v>
      </c>
      <c r="E1131" s="1">
        <v>5</v>
      </c>
      <c r="F1131" t="s">
        <v>36</v>
      </c>
      <c r="G1131" t="str">
        <f>VLOOKUP(Table1[[#This Row],[Winner]],Ranking!C:D,2,FALSE)</f>
        <v>B10</v>
      </c>
      <c r="H1131" s="1">
        <v>81</v>
      </c>
      <c r="I1131" s="1">
        <v>10</v>
      </c>
      <c r="J1131" t="s">
        <v>245</v>
      </c>
      <c r="K1131" t="str">
        <f>VLOOKUP(Table1[[#This Row],[Loser]],Ranking!C:D,2,FALSE)</f>
        <v>MAC</v>
      </c>
      <c r="L1131" s="1">
        <v>69</v>
      </c>
      <c r="N1131" s="1">
        <f>Table1[[#This Row],[Winning Score]]-Table1[[#This Row],[Losing Score]]</f>
        <v>12</v>
      </c>
      <c r="O1131" s="1">
        <f>Table1[[#This Row],[Losing Seed]]-Table1[[#This Row],[Winning Seed]]</f>
        <v>5</v>
      </c>
      <c r="P1131" s="1" t="str">
        <f>IF(Table1[[#This Row],[SeD]]&lt;-2,Table1[[#This Row],[Winning Seed]]&amp; " over " &amp;Table1[[#This Row],[Losing Seed]],"")</f>
        <v/>
      </c>
      <c r="Q1131">
        <f>VLOOKUP(Table1[[#This Row],[Losing Seed]],'Seed History'!$N$4:$O$19,2)</f>
        <v>0.61805555555555558</v>
      </c>
      <c r="R1131" s="1">
        <f>IF(Table1[[#This Row],[Round]]="PI",0,Table1[[#This Row],[Round]]-1)</f>
        <v>3</v>
      </c>
      <c r="S1131">
        <f>Table1[[#This Row],[LAW]]-Table1[[#This Row],[LEW]]</f>
        <v>2.3819444444444446</v>
      </c>
    </row>
    <row r="1132" spans="1:19" x14ac:dyDescent="0.25">
      <c r="A1132" s="66">
        <v>37338</v>
      </c>
      <c r="B1132" s="51">
        <f>YEAR(Table1[[#This Row],[Date]])</f>
        <v>2002</v>
      </c>
      <c r="C1132" s="1">
        <v>4</v>
      </c>
      <c r="D1132" t="s">
        <v>38</v>
      </c>
      <c r="E1132" s="1">
        <v>2</v>
      </c>
      <c r="F1132" t="s">
        <v>58</v>
      </c>
      <c r="G1132" t="str">
        <f>VLOOKUP(Table1[[#This Row],[Winner]],Ranking!C:D,2,FALSE)</f>
        <v>B12</v>
      </c>
      <c r="H1132" s="1">
        <v>81</v>
      </c>
      <c r="I1132" s="1">
        <v>12</v>
      </c>
      <c r="J1132" t="s">
        <v>277</v>
      </c>
      <c r="K1132" t="str">
        <f>VLOOKUP(Table1[[#This Row],[Loser]],Ranking!C:D,2,FALSE)</f>
        <v>SEC</v>
      </c>
      <c r="L1132" s="1">
        <v>75</v>
      </c>
      <c r="N1132" s="1">
        <f>Table1[[#This Row],[Winning Score]]-Table1[[#This Row],[Losing Score]]</f>
        <v>6</v>
      </c>
      <c r="O1132" s="1">
        <f>Table1[[#This Row],[Losing Seed]]-Table1[[#This Row],[Winning Seed]]</f>
        <v>10</v>
      </c>
      <c r="P1132" s="1" t="str">
        <f>IF(Table1[[#This Row],[SeD]]&lt;-2,Table1[[#This Row],[Winning Seed]]&amp; " over " &amp;Table1[[#This Row],[Losing Seed]],"")</f>
        <v/>
      </c>
      <c r="Q1132">
        <f>VLOOKUP(Table1[[#This Row],[Losing Seed]],'Seed History'!$N$4:$O$19,2)</f>
        <v>0.52083333333333337</v>
      </c>
      <c r="R1132" s="1">
        <f>IF(Table1[[#This Row],[Round]]="PI",0,Table1[[#This Row],[Round]]-1)</f>
        <v>3</v>
      </c>
      <c r="S1132">
        <f>Table1[[#This Row],[LAW]]-Table1[[#This Row],[LEW]]</f>
        <v>2.4791666666666665</v>
      </c>
    </row>
    <row r="1133" spans="1:19" x14ac:dyDescent="0.25">
      <c r="A1133" s="66">
        <v>37339</v>
      </c>
      <c r="B1133" s="51">
        <f>YEAR(Table1[[#This Row],[Date]])</f>
        <v>2002</v>
      </c>
      <c r="C1133" s="1">
        <v>4</v>
      </c>
      <c r="D1133" t="s">
        <v>49</v>
      </c>
      <c r="E1133" s="1">
        <v>1</v>
      </c>
      <c r="F1133" t="s">
        <v>31</v>
      </c>
      <c r="G1133" t="str">
        <f>VLOOKUP(Table1[[#This Row],[Winner]],Ranking!C:D,2,FALSE)</f>
        <v>B10</v>
      </c>
      <c r="H1133" s="1">
        <v>90</v>
      </c>
      <c r="I1133" s="1">
        <v>2</v>
      </c>
      <c r="J1133" t="s">
        <v>80</v>
      </c>
      <c r="K1133" t="str">
        <f>VLOOKUP(Table1[[#This Row],[Loser]],Ranking!C:D,2,FALSE)</f>
        <v>BE</v>
      </c>
      <c r="L1133" s="1">
        <v>82</v>
      </c>
      <c r="N1133" s="1">
        <f>Table1[[#This Row],[Winning Score]]-Table1[[#This Row],[Losing Score]]</f>
        <v>8</v>
      </c>
      <c r="O1133" s="1">
        <f>Table1[[#This Row],[Losing Seed]]-Table1[[#This Row],[Winning Seed]]</f>
        <v>1</v>
      </c>
      <c r="P1133" s="1" t="str">
        <f>IF(Table1[[#This Row],[SeD]]&lt;-2,Table1[[#This Row],[Winning Seed]]&amp; " over " &amp;Table1[[#This Row],[Losing Seed]],"")</f>
        <v/>
      </c>
      <c r="Q1133">
        <f>VLOOKUP(Table1[[#This Row],[Losing Seed]],'Seed History'!$N$4:$O$19,2)</f>
        <v>2.3472222222222223</v>
      </c>
      <c r="R1133" s="1">
        <f>IF(Table1[[#This Row],[Round]]="PI",0,Table1[[#This Row],[Round]]-1)</f>
        <v>3</v>
      </c>
      <c r="S1133">
        <f>Table1[[#This Row],[LAW]]-Table1[[#This Row],[LEW]]</f>
        <v>0.65277777777777768</v>
      </c>
    </row>
    <row r="1134" spans="1:19" x14ac:dyDescent="0.25">
      <c r="A1134" s="66">
        <v>37339</v>
      </c>
      <c r="B1134" s="51">
        <f>YEAR(Table1[[#This Row],[Date]])</f>
        <v>2002</v>
      </c>
      <c r="C1134" s="1">
        <v>4</v>
      </c>
      <c r="D1134" t="s">
        <v>439</v>
      </c>
      <c r="E1134" s="1">
        <v>1</v>
      </c>
      <c r="F1134" t="s">
        <v>37</v>
      </c>
      <c r="G1134" t="str">
        <f>VLOOKUP(Table1[[#This Row],[Winner]],Ranking!C:D,2,FALSE)</f>
        <v>B12</v>
      </c>
      <c r="H1134" s="1">
        <v>104</v>
      </c>
      <c r="I1134" s="1">
        <v>2</v>
      </c>
      <c r="J1134" t="s">
        <v>40</v>
      </c>
      <c r="K1134" t="str">
        <f>VLOOKUP(Table1[[#This Row],[Loser]],Ranking!C:D,2,FALSE)</f>
        <v>P12</v>
      </c>
      <c r="L1134" s="1">
        <v>86</v>
      </c>
      <c r="N1134" s="1">
        <f>Table1[[#This Row],[Winning Score]]-Table1[[#This Row],[Losing Score]]</f>
        <v>18</v>
      </c>
      <c r="O1134" s="1">
        <f>Table1[[#This Row],[Losing Seed]]-Table1[[#This Row],[Winning Seed]]</f>
        <v>1</v>
      </c>
      <c r="P1134" s="1" t="str">
        <f>IF(Table1[[#This Row],[SeD]]&lt;-2,Table1[[#This Row],[Winning Seed]]&amp; " over " &amp;Table1[[#This Row],[Losing Seed]],"")</f>
        <v/>
      </c>
      <c r="Q1134">
        <f>VLOOKUP(Table1[[#This Row],[Losing Seed]],'Seed History'!$N$4:$O$19,2)</f>
        <v>2.3472222222222223</v>
      </c>
      <c r="R1134" s="1">
        <f>IF(Table1[[#This Row],[Round]]="PI",0,Table1[[#This Row],[Round]]-1)</f>
        <v>3</v>
      </c>
      <c r="S1134">
        <f>Table1[[#This Row],[LAW]]-Table1[[#This Row],[LEW]]</f>
        <v>0.65277777777777768</v>
      </c>
    </row>
    <row r="1135" spans="1:19" x14ac:dyDescent="0.25">
      <c r="A1135" s="66">
        <v>37345</v>
      </c>
      <c r="B1135" s="51">
        <f>YEAR(Table1[[#This Row],[Date]])</f>
        <v>2002</v>
      </c>
      <c r="C1135" s="1">
        <v>5</v>
      </c>
      <c r="D1135" t="s">
        <v>467</v>
      </c>
      <c r="E1135" s="1">
        <v>1</v>
      </c>
      <c r="F1135" t="s">
        <v>31</v>
      </c>
      <c r="G1135" t="str">
        <f>VLOOKUP(Table1[[#This Row],[Winner]],Ranking!C:D,2,FALSE)</f>
        <v>B10</v>
      </c>
      <c r="H1135" s="1">
        <v>97</v>
      </c>
      <c r="I1135" s="1">
        <v>1</v>
      </c>
      <c r="J1135" t="s">
        <v>37</v>
      </c>
      <c r="K1135" t="str">
        <f>VLOOKUP(Table1[[#This Row],[Loser]],Ranking!C:D,2,FALSE)</f>
        <v>B12</v>
      </c>
      <c r="L1135" s="1">
        <v>88</v>
      </c>
      <c r="N1135" s="1">
        <f>Table1[[#This Row],[Winning Score]]-Table1[[#This Row],[Losing Score]]</f>
        <v>9</v>
      </c>
      <c r="O1135" s="1">
        <f>Table1[[#This Row],[Losing Seed]]-Table1[[#This Row],[Winning Seed]]</f>
        <v>0</v>
      </c>
      <c r="P1135" s="1" t="str">
        <f>IF(Table1[[#This Row],[SeD]]&lt;-2,Table1[[#This Row],[Winning Seed]]&amp; " over " &amp;Table1[[#This Row],[Losing Seed]],"")</f>
        <v/>
      </c>
      <c r="Q1135">
        <f>VLOOKUP(Table1[[#This Row],[Losing Seed]],'Seed History'!$N$4:$O$19,2)</f>
        <v>3.3263888888888888</v>
      </c>
      <c r="R1135" s="1">
        <f>IF(Table1[[#This Row],[Round]]="PI",0,Table1[[#This Row],[Round]]-1)</f>
        <v>4</v>
      </c>
      <c r="S1135">
        <f>Table1[[#This Row],[LAW]]-Table1[[#This Row],[LEW]]</f>
        <v>0.67361111111111116</v>
      </c>
    </row>
    <row r="1136" spans="1:19" x14ac:dyDescent="0.25">
      <c r="A1136" s="66">
        <v>37345</v>
      </c>
      <c r="B1136" s="51">
        <f>YEAR(Table1[[#This Row],[Date]])</f>
        <v>2002</v>
      </c>
      <c r="C1136" s="1">
        <v>5</v>
      </c>
      <c r="D1136" t="s">
        <v>467</v>
      </c>
      <c r="E1136" s="1">
        <v>5</v>
      </c>
      <c r="F1136" t="s">
        <v>36</v>
      </c>
      <c r="G1136" t="str">
        <f>VLOOKUP(Table1[[#This Row],[Winner]],Ranking!C:D,2,FALSE)</f>
        <v>B10</v>
      </c>
      <c r="H1136" s="1">
        <v>73</v>
      </c>
      <c r="I1136" s="1">
        <v>2</v>
      </c>
      <c r="J1136" t="s">
        <v>58</v>
      </c>
      <c r="K1136" t="str">
        <f>VLOOKUP(Table1[[#This Row],[Loser]],Ranking!C:D,2,FALSE)</f>
        <v>B12</v>
      </c>
      <c r="L1136" s="1">
        <v>64</v>
      </c>
      <c r="N1136" s="1">
        <f>Table1[[#This Row],[Winning Score]]-Table1[[#This Row],[Losing Score]]</f>
        <v>9</v>
      </c>
      <c r="O1136" s="1">
        <f>Table1[[#This Row],[Losing Seed]]-Table1[[#This Row],[Winning Seed]]</f>
        <v>-3</v>
      </c>
      <c r="P1136" s="1" t="str">
        <f>IF(Table1[[#This Row],[SeD]]&lt;-2,Table1[[#This Row],[Winning Seed]]&amp; " over " &amp;Table1[[#This Row],[Losing Seed]],"")</f>
        <v>5 over 2</v>
      </c>
      <c r="Q1136">
        <f>VLOOKUP(Table1[[#This Row],[Losing Seed]],'Seed History'!$N$4:$O$19,2)</f>
        <v>2.3472222222222223</v>
      </c>
      <c r="R1136" s="1">
        <f>IF(Table1[[#This Row],[Round]]="PI",0,Table1[[#This Row],[Round]]-1)</f>
        <v>4</v>
      </c>
      <c r="S1136">
        <f>Table1[[#This Row],[LAW]]-Table1[[#This Row],[LEW]]</f>
        <v>1.6527777777777777</v>
      </c>
    </row>
    <row r="1137" spans="1:19" x14ac:dyDescent="0.25">
      <c r="A1137" s="66">
        <v>37347</v>
      </c>
      <c r="B1137" s="51">
        <f>YEAR(Table1[[#This Row],[Date]])</f>
        <v>2002</v>
      </c>
      <c r="C1137" s="1">
        <v>6</v>
      </c>
      <c r="D1137" t="s">
        <v>468</v>
      </c>
      <c r="E1137" s="1">
        <v>1</v>
      </c>
      <c r="F1137" t="s">
        <v>31</v>
      </c>
      <c r="G1137" t="str">
        <f>VLOOKUP(Table1[[#This Row],[Winner]],Ranking!C:D,2,FALSE)</f>
        <v>B10</v>
      </c>
      <c r="H1137" s="1">
        <v>64</v>
      </c>
      <c r="I1137" s="1">
        <v>5</v>
      </c>
      <c r="J1137" t="s">
        <v>36</v>
      </c>
      <c r="K1137" t="str">
        <f>VLOOKUP(Table1[[#This Row],[Loser]],Ranking!C:D,2,FALSE)</f>
        <v>B10</v>
      </c>
      <c r="L1137" s="1">
        <v>52</v>
      </c>
      <c r="N1137" s="1">
        <f>Table1[[#This Row],[Winning Score]]-Table1[[#This Row],[Losing Score]]</f>
        <v>12</v>
      </c>
      <c r="O1137" s="1">
        <f>Table1[[#This Row],[Losing Seed]]-Table1[[#This Row],[Winning Seed]]</f>
        <v>4</v>
      </c>
      <c r="P1137" s="1" t="str">
        <f>IF(Table1[[#This Row],[SeD]]&lt;-2,Table1[[#This Row],[Winning Seed]]&amp; " over " &amp;Table1[[#This Row],[Losing Seed]],"")</f>
        <v/>
      </c>
      <c r="Q1137">
        <f>VLOOKUP(Table1[[#This Row],[Losing Seed]],'Seed History'!$N$4:$O$19,2)</f>
        <v>1.1180555555555556</v>
      </c>
      <c r="R1137" s="1">
        <f>IF(Table1[[#This Row],[Round]]="PI",0,Table1[[#This Row],[Round]]-1)</f>
        <v>5</v>
      </c>
      <c r="S1137">
        <f>Table1[[#This Row],[LAW]]-Table1[[#This Row],[LEW]]</f>
        <v>3.8819444444444446</v>
      </c>
    </row>
    <row r="1138" spans="1:19" x14ac:dyDescent="0.25">
      <c r="A1138" s="66">
        <v>37698</v>
      </c>
      <c r="B1138" s="51">
        <f>YEAR(Table1[[#This Row],[Date]])</f>
        <v>2003</v>
      </c>
      <c r="C1138" s="1" t="s">
        <v>476</v>
      </c>
      <c r="D1138" t="s">
        <v>63</v>
      </c>
      <c r="E1138" s="1">
        <v>16</v>
      </c>
      <c r="F1138" t="s">
        <v>393</v>
      </c>
      <c r="G1138" t="str">
        <f>VLOOKUP(Table1[[#This Row],[Winner]],Ranking!C:D,2,FALSE)</f>
        <v>BSth</v>
      </c>
      <c r="H1138" s="1">
        <v>92</v>
      </c>
      <c r="I1138" s="1">
        <v>16</v>
      </c>
      <c r="J1138" t="s">
        <v>379</v>
      </c>
      <c r="K1138" t="str">
        <f>VLOOKUP(Table1[[#This Row],[Loser]],Ranking!C:D,2,FALSE)</f>
        <v>SWAC</v>
      </c>
      <c r="L1138" s="1">
        <v>84</v>
      </c>
      <c r="M1138" s="1" t="s">
        <v>462</v>
      </c>
      <c r="N1138" s="1">
        <f>Table1[[#This Row],[Winning Score]]-Table1[[#This Row],[Losing Score]]</f>
        <v>8</v>
      </c>
      <c r="O1138" s="1">
        <f>Table1[[#This Row],[Losing Seed]]-Table1[[#This Row],[Winning Seed]]</f>
        <v>0</v>
      </c>
      <c r="P1138" s="1" t="str">
        <f>IF(Table1[[#This Row],[SeD]]&lt;-2,Table1[[#This Row],[Winning Seed]]&amp; " over " &amp;Table1[[#This Row],[Losing Seed]],"")</f>
        <v/>
      </c>
      <c r="Q1138">
        <f>VLOOKUP(Table1[[#This Row],[Losing Seed]],'Seed History'!$N$4:$O$19,2)</f>
        <v>6.9444444444444441E-3</v>
      </c>
      <c r="R1138" s="1">
        <f>IF(Table1[[#This Row],[Round]]="PI",0,Table1[[#This Row],[Round]]-1)</f>
        <v>0</v>
      </c>
      <c r="S1138">
        <f>Table1[[#This Row],[LAW]]-Table1[[#This Row],[LEW]]</f>
        <v>-6.9444444444444441E-3</v>
      </c>
    </row>
    <row r="1139" spans="1:19" x14ac:dyDescent="0.25">
      <c r="A1139" s="66">
        <v>37700</v>
      </c>
      <c r="B1139" s="51">
        <f>YEAR(Table1[[#This Row],[Date]])</f>
        <v>2003</v>
      </c>
      <c r="C1139" s="1">
        <v>1</v>
      </c>
      <c r="D1139" t="s">
        <v>439</v>
      </c>
      <c r="E1139" s="1">
        <v>13</v>
      </c>
      <c r="F1139" t="s">
        <v>94</v>
      </c>
      <c r="G1139" t="str">
        <f>VLOOKUP(Table1[[#This Row],[Winner]],Ranking!C:D,2,FALSE)</f>
        <v>Amer</v>
      </c>
      <c r="H1139" s="1">
        <v>84</v>
      </c>
      <c r="I1139" s="1">
        <v>4</v>
      </c>
      <c r="J1139" t="s">
        <v>57</v>
      </c>
      <c r="K1139" t="str">
        <f>VLOOKUP(Table1[[#This Row],[Loser]],Ranking!C:D,2,FALSE)</f>
        <v>A10</v>
      </c>
      <c r="L1139" s="1">
        <v>71</v>
      </c>
      <c r="N1139" s="1">
        <f>Table1[[#This Row],[Winning Score]]-Table1[[#This Row],[Losing Score]]</f>
        <v>13</v>
      </c>
      <c r="O1139" s="1">
        <f>Table1[[#This Row],[Losing Seed]]-Table1[[#This Row],[Winning Seed]]</f>
        <v>-9</v>
      </c>
      <c r="P1139" s="1" t="str">
        <f>IF(Table1[[#This Row],[SeD]]&lt;-2,Table1[[#This Row],[Winning Seed]]&amp; " over " &amp;Table1[[#This Row],[Losing Seed]],"")</f>
        <v>13 over 4</v>
      </c>
      <c r="Q1139">
        <f>VLOOKUP(Table1[[#This Row],[Losing Seed]],'Seed History'!$N$4:$O$19,2)</f>
        <v>1.5208333333333333</v>
      </c>
      <c r="R1139" s="1">
        <f>IF(Table1[[#This Row],[Round]]="PI",0,Table1[[#This Row],[Round]]-1)</f>
        <v>0</v>
      </c>
      <c r="S1139">
        <f>Table1[[#This Row],[LAW]]-Table1[[#This Row],[LEW]]</f>
        <v>-1.5208333333333333</v>
      </c>
    </row>
    <row r="1140" spans="1:19" x14ac:dyDescent="0.25">
      <c r="A1140" s="66">
        <v>37700</v>
      </c>
      <c r="B1140" s="51">
        <f>YEAR(Table1[[#This Row],[Date]])</f>
        <v>2003</v>
      </c>
      <c r="C1140" s="1">
        <v>1</v>
      </c>
      <c r="D1140" t="s">
        <v>38</v>
      </c>
      <c r="E1140" s="1">
        <v>11</v>
      </c>
      <c r="F1140" t="s">
        <v>163</v>
      </c>
      <c r="G1140" t="str">
        <f>VLOOKUP(Table1[[#This Row],[Winner]],Ranking!C:D,2,FALSE)</f>
        <v>MAC</v>
      </c>
      <c r="H1140" s="1">
        <v>79</v>
      </c>
      <c r="I1140" s="1">
        <v>6</v>
      </c>
      <c r="J1140" t="s">
        <v>88</v>
      </c>
      <c r="K1140" t="str">
        <f>VLOOKUP(Table1[[#This Row],[Loser]],Ranking!C:D,2,FALSE)</f>
        <v>BE</v>
      </c>
      <c r="L1140" s="1">
        <v>73</v>
      </c>
      <c r="N1140" s="1">
        <f>Table1[[#This Row],[Winning Score]]-Table1[[#This Row],[Losing Score]]</f>
        <v>6</v>
      </c>
      <c r="O1140" s="1">
        <f>Table1[[#This Row],[Losing Seed]]-Table1[[#This Row],[Winning Seed]]</f>
        <v>-5</v>
      </c>
      <c r="P1140" s="1" t="str">
        <f>IF(Table1[[#This Row],[SeD]]&lt;-2,Table1[[#This Row],[Winning Seed]]&amp; " over " &amp;Table1[[#This Row],[Losing Seed]],"")</f>
        <v>11 over 6</v>
      </c>
      <c r="Q1140">
        <f>VLOOKUP(Table1[[#This Row],[Losing Seed]],'Seed History'!$N$4:$O$19,2)</f>
        <v>1.0625</v>
      </c>
      <c r="R1140" s="1">
        <f>IF(Table1[[#This Row],[Round]]="PI",0,Table1[[#This Row],[Round]]-1)</f>
        <v>0</v>
      </c>
      <c r="S1140">
        <f>Table1[[#This Row],[LAW]]-Table1[[#This Row],[LEW]]</f>
        <v>-1.0625</v>
      </c>
    </row>
    <row r="1141" spans="1:19" x14ac:dyDescent="0.25">
      <c r="A1141" s="66">
        <v>37700</v>
      </c>
      <c r="B1141" s="51">
        <f>YEAR(Table1[[#This Row],[Date]])</f>
        <v>2003</v>
      </c>
      <c r="C1141" s="1">
        <v>1</v>
      </c>
      <c r="D1141" t="s">
        <v>49</v>
      </c>
      <c r="E1141" s="1">
        <v>1</v>
      </c>
      <c r="F1141" t="s">
        <v>58</v>
      </c>
      <c r="G1141" t="str">
        <f>VLOOKUP(Table1[[#This Row],[Winner]],Ranking!C:D,2,FALSE)</f>
        <v>B12</v>
      </c>
      <c r="H1141" s="1">
        <v>71</v>
      </c>
      <c r="I1141" s="1">
        <v>16</v>
      </c>
      <c r="J1141" t="s">
        <v>355</v>
      </c>
      <c r="K1141" t="str">
        <f>VLOOKUP(Table1[[#This Row],[Loser]],Ranking!C:D,2,FALSE)</f>
        <v>MEAC</v>
      </c>
      <c r="L1141" s="1">
        <v>54</v>
      </c>
      <c r="N1141" s="1">
        <f>Table1[[#This Row],[Winning Score]]-Table1[[#This Row],[Losing Score]]</f>
        <v>17</v>
      </c>
      <c r="O1141" s="1">
        <f>Table1[[#This Row],[Losing Seed]]-Table1[[#This Row],[Winning Seed]]</f>
        <v>15</v>
      </c>
      <c r="P1141" s="1" t="str">
        <f>IF(Table1[[#This Row],[SeD]]&lt;-2,Table1[[#This Row],[Winning Seed]]&amp; " over " &amp;Table1[[#This Row],[Losing Seed]],"")</f>
        <v/>
      </c>
      <c r="Q1141">
        <f>VLOOKUP(Table1[[#This Row],[Losing Seed]],'Seed History'!$N$4:$O$19,2)</f>
        <v>6.9444444444444441E-3</v>
      </c>
      <c r="R1141" s="1">
        <f>IF(Table1[[#This Row],[Round]]="PI",0,Table1[[#This Row],[Round]]-1)</f>
        <v>0</v>
      </c>
      <c r="S1141">
        <f>Table1[[#This Row],[LAW]]-Table1[[#This Row],[LEW]]</f>
        <v>-6.9444444444444441E-3</v>
      </c>
    </row>
    <row r="1142" spans="1:19" x14ac:dyDescent="0.25">
      <c r="A1142" s="66">
        <v>37700</v>
      </c>
      <c r="B1142" s="51">
        <f>YEAR(Table1[[#This Row],[Date]])</f>
        <v>2003</v>
      </c>
      <c r="C1142" s="1">
        <v>1</v>
      </c>
      <c r="D1142" t="s">
        <v>49</v>
      </c>
      <c r="E1142" s="1">
        <v>8</v>
      </c>
      <c r="F1142" t="s">
        <v>84</v>
      </c>
      <c r="G1142" t="str">
        <f>VLOOKUP(Table1[[#This Row],[Winner]],Ranking!C:D,2,FALSE)</f>
        <v>P12</v>
      </c>
      <c r="H1142" s="1">
        <v>76</v>
      </c>
      <c r="I1142" s="1">
        <v>9</v>
      </c>
      <c r="J1142" t="s">
        <v>301</v>
      </c>
      <c r="K1142" t="e">
        <f>VLOOKUP(Table1[[#This Row],[Loser]],Ranking!C:D,2,FALSE)</f>
        <v>#N/A</v>
      </c>
      <c r="L1142" s="1">
        <v>74</v>
      </c>
      <c r="M1142" s="1" t="s">
        <v>462</v>
      </c>
      <c r="N1142" s="1">
        <f>Table1[[#This Row],[Winning Score]]-Table1[[#This Row],[Losing Score]]</f>
        <v>2</v>
      </c>
      <c r="O1142" s="1">
        <f>Table1[[#This Row],[Losing Seed]]-Table1[[#This Row],[Winning Seed]]</f>
        <v>1</v>
      </c>
      <c r="P1142" s="1" t="str">
        <f>IF(Table1[[#This Row],[SeD]]&lt;-2,Table1[[#This Row],[Winning Seed]]&amp; " over " &amp;Table1[[#This Row],[Losing Seed]],"")</f>
        <v/>
      </c>
      <c r="Q1142">
        <f>VLOOKUP(Table1[[#This Row],[Losing Seed]],'Seed History'!$N$4:$O$19,2)</f>
        <v>0.59027777777777779</v>
      </c>
      <c r="R1142" s="1">
        <f>IF(Table1[[#This Row],[Round]]="PI",0,Table1[[#This Row],[Round]]-1)</f>
        <v>0</v>
      </c>
      <c r="S1142">
        <f>Table1[[#This Row],[LAW]]-Table1[[#This Row],[LEW]]</f>
        <v>-0.59027777777777779</v>
      </c>
    </row>
    <row r="1143" spans="1:19" x14ac:dyDescent="0.25">
      <c r="A1143" s="66">
        <v>37700</v>
      </c>
      <c r="B1143" s="51">
        <f>YEAR(Table1[[#This Row],[Date]])</f>
        <v>2003</v>
      </c>
      <c r="C1143" s="1">
        <v>1</v>
      </c>
      <c r="D1143" t="s">
        <v>439</v>
      </c>
      <c r="E1143" s="1">
        <v>3</v>
      </c>
      <c r="F1143" t="s">
        <v>262</v>
      </c>
      <c r="G1143" t="str">
        <f>VLOOKUP(Table1[[#This Row],[Winner]],Ranking!C:D,2,FALSE)</f>
        <v>BE</v>
      </c>
      <c r="H1143" s="1">
        <v>72</v>
      </c>
      <c r="I1143" s="1">
        <v>14</v>
      </c>
      <c r="J1143" t="s">
        <v>224</v>
      </c>
      <c r="K1143" t="str">
        <f>VLOOKUP(Table1[[#This Row],[Loser]],Ranking!C:D,2,FALSE)</f>
        <v>Pat</v>
      </c>
      <c r="L1143" s="1">
        <v>68</v>
      </c>
      <c r="N1143" s="1">
        <f>Table1[[#This Row],[Winning Score]]-Table1[[#This Row],[Losing Score]]</f>
        <v>4</v>
      </c>
      <c r="O1143" s="1">
        <f>Table1[[#This Row],[Losing Seed]]-Table1[[#This Row],[Winning Seed]]</f>
        <v>11</v>
      </c>
      <c r="P1143" s="1" t="str">
        <f>IF(Table1[[#This Row],[SeD]]&lt;-2,Table1[[#This Row],[Winning Seed]]&amp; " over " &amp;Table1[[#This Row],[Losing Seed]],"")</f>
        <v/>
      </c>
      <c r="Q1143">
        <f>VLOOKUP(Table1[[#This Row],[Losing Seed]],'Seed History'!$N$4:$O$19,2)</f>
        <v>0.16666666666666666</v>
      </c>
      <c r="R1143" s="1">
        <f>IF(Table1[[#This Row],[Round]]="PI",0,Table1[[#This Row],[Round]]-1)</f>
        <v>0</v>
      </c>
      <c r="S1143">
        <f>Table1[[#This Row],[LAW]]-Table1[[#This Row],[LEW]]</f>
        <v>-0.16666666666666666</v>
      </c>
    </row>
    <row r="1144" spans="1:19" x14ac:dyDescent="0.25">
      <c r="A1144" s="66">
        <v>37700</v>
      </c>
      <c r="B1144" s="51">
        <f>YEAR(Table1[[#This Row],[Date]])</f>
        <v>2003</v>
      </c>
      <c r="C1144" s="1">
        <v>1</v>
      </c>
      <c r="D1144" t="s">
        <v>439</v>
      </c>
      <c r="E1144" s="1">
        <v>5</v>
      </c>
      <c r="F1144" t="s">
        <v>39</v>
      </c>
      <c r="G1144" t="str">
        <f>VLOOKUP(Table1[[#This Row],[Winner]],Ranking!C:D,2,FALSE)</f>
        <v>B10</v>
      </c>
      <c r="H1144" s="1">
        <v>81</v>
      </c>
      <c r="I1144" s="1">
        <v>12</v>
      </c>
      <c r="J1144" t="s">
        <v>411</v>
      </c>
      <c r="K1144" t="str">
        <f>VLOOKUP(Table1[[#This Row],[Loser]],Ranking!C:D,2,FALSE)</f>
        <v>BSky</v>
      </c>
      <c r="L1144" s="1">
        <v>74</v>
      </c>
      <c r="N1144" s="1">
        <f>Table1[[#This Row],[Winning Score]]-Table1[[#This Row],[Losing Score]]</f>
        <v>7</v>
      </c>
      <c r="O1144" s="1">
        <f>Table1[[#This Row],[Losing Seed]]-Table1[[#This Row],[Winning Seed]]</f>
        <v>7</v>
      </c>
      <c r="P1144" s="1" t="str">
        <f>IF(Table1[[#This Row],[SeD]]&lt;-2,Table1[[#This Row],[Winning Seed]]&amp; " over " &amp;Table1[[#This Row],[Losing Seed]],"")</f>
        <v/>
      </c>
      <c r="Q1144">
        <f>VLOOKUP(Table1[[#This Row],[Losing Seed]],'Seed History'!$N$4:$O$19,2)</f>
        <v>0.52083333333333337</v>
      </c>
      <c r="R1144" s="1">
        <f>IF(Table1[[#This Row],[Round]]="PI",0,Table1[[#This Row],[Round]]-1)</f>
        <v>0</v>
      </c>
      <c r="S1144">
        <f>Table1[[#This Row],[LAW]]-Table1[[#This Row],[LEW]]</f>
        <v>-0.52083333333333337</v>
      </c>
    </row>
    <row r="1145" spans="1:19" x14ac:dyDescent="0.25">
      <c r="A1145" s="66">
        <v>37700</v>
      </c>
      <c r="B1145" s="51">
        <f>YEAR(Table1[[#This Row],[Date]])</f>
        <v>2003</v>
      </c>
      <c r="C1145" s="1">
        <v>1</v>
      </c>
      <c r="D1145" t="s">
        <v>439</v>
      </c>
      <c r="E1145" s="1">
        <v>6</v>
      </c>
      <c r="F1145" t="s">
        <v>277</v>
      </c>
      <c r="G1145" t="str">
        <f>VLOOKUP(Table1[[#This Row],[Winner]],Ranking!C:D,2,FALSE)</f>
        <v>SEC</v>
      </c>
      <c r="H1145" s="1">
        <v>72</v>
      </c>
      <c r="I1145" s="1">
        <v>11</v>
      </c>
      <c r="J1145" t="s">
        <v>362</v>
      </c>
      <c r="K1145" t="str">
        <f>VLOOKUP(Table1[[#This Row],[Loser]],Ranking!C:D,2,FALSE)</f>
        <v>MVC</v>
      </c>
      <c r="L1145" s="1">
        <v>71</v>
      </c>
      <c r="N1145" s="1">
        <f>Table1[[#This Row],[Winning Score]]-Table1[[#This Row],[Losing Score]]</f>
        <v>1</v>
      </c>
      <c r="O1145" s="1">
        <f>Table1[[#This Row],[Losing Seed]]-Table1[[#This Row],[Winning Seed]]</f>
        <v>5</v>
      </c>
      <c r="P1145" s="1" t="str">
        <f>IF(Table1[[#This Row],[SeD]]&lt;-2,Table1[[#This Row],[Winning Seed]]&amp; " over " &amp;Table1[[#This Row],[Losing Seed]],"")</f>
        <v/>
      </c>
      <c r="Q1145">
        <f>VLOOKUP(Table1[[#This Row],[Losing Seed]],'Seed History'!$N$4:$O$19,2)</f>
        <v>0.63194444444444442</v>
      </c>
      <c r="R1145" s="1">
        <f>IF(Table1[[#This Row],[Round]]="PI",0,Table1[[#This Row],[Round]]-1)</f>
        <v>0</v>
      </c>
      <c r="S1145">
        <f>Table1[[#This Row],[LAW]]-Table1[[#This Row],[LEW]]</f>
        <v>-0.63194444444444442</v>
      </c>
    </row>
    <row r="1146" spans="1:19" x14ac:dyDescent="0.25">
      <c r="A1146" s="66">
        <v>37700</v>
      </c>
      <c r="B1146" s="51">
        <f>YEAR(Table1[[#This Row],[Date]])</f>
        <v>2003</v>
      </c>
      <c r="C1146" s="1">
        <v>1</v>
      </c>
      <c r="D1146" t="s">
        <v>63</v>
      </c>
      <c r="E1146" s="1">
        <v>4</v>
      </c>
      <c r="F1146" t="s">
        <v>369</v>
      </c>
      <c r="G1146" t="str">
        <f>VLOOKUP(Table1[[#This Row],[Winner]],Ranking!C:D,2,FALSE)</f>
        <v>P12</v>
      </c>
      <c r="H1146" s="1">
        <v>77</v>
      </c>
      <c r="I1146" s="1">
        <v>13</v>
      </c>
      <c r="J1146" t="s">
        <v>343</v>
      </c>
      <c r="K1146" t="str">
        <f>VLOOKUP(Table1[[#This Row],[Loser]],Ranking!C:D,2,FALSE)</f>
        <v>WCC</v>
      </c>
      <c r="L1146" s="1">
        <v>69</v>
      </c>
      <c r="N1146" s="1">
        <f>Table1[[#This Row],[Winning Score]]-Table1[[#This Row],[Losing Score]]</f>
        <v>8</v>
      </c>
      <c r="O1146" s="1">
        <f>Table1[[#This Row],[Losing Seed]]-Table1[[#This Row],[Winning Seed]]</f>
        <v>9</v>
      </c>
      <c r="P1146" s="1" t="str">
        <f>IF(Table1[[#This Row],[SeD]]&lt;-2,Table1[[#This Row],[Winning Seed]]&amp; " over " &amp;Table1[[#This Row],[Losing Seed]],"")</f>
        <v/>
      </c>
      <c r="Q1146">
        <f>VLOOKUP(Table1[[#This Row],[Losing Seed]],'Seed History'!$N$4:$O$19,2)</f>
        <v>0.25694444444444442</v>
      </c>
      <c r="R1146" s="1">
        <f>IF(Table1[[#This Row],[Round]]="PI",0,Table1[[#This Row],[Round]]-1)</f>
        <v>0</v>
      </c>
      <c r="S1146">
        <f>Table1[[#This Row],[LAW]]-Table1[[#This Row],[LEW]]</f>
        <v>-0.25694444444444442</v>
      </c>
    </row>
    <row r="1147" spans="1:19" x14ac:dyDescent="0.25">
      <c r="A1147" s="66">
        <v>37700</v>
      </c>
      <c r="B1147" s="51">
        <f>YEAR(Table1[[#This Row],[Date]])</f>
        <v>2003</v>
      </c>
      <c r="C1147" s="1">
        <v>1</v>
      </c>
      <c r="D1147" t="s">
        <v>63</v>
      </c>
      <c r="E1147" s="1">
        <v>5</v>
      </c>
      <c r="F1147" t="s">
        <v>80</v>
      </c>
      <c r="G1147" t="str">
        <f>VLOOKUP(Table1[[#This Row],[Winner]],Ranking!C:D,2,FALSE)</f>
        <v>BE</v>
      </c>
      <c r="H1147" s="1">
        <v>58</v>
      </c>
      <c r="I1147" s="1">
        <v>12</v>
      </c>
      <c r="J1147" t="s">
        <v>72</v>
      </c>
      <c r="K1147" t="str">
        <f>VLOOKUP(Table1[[#This Row],[Loser]],Ranking!C:D,2,FALSE)</f>
        <v>WCC</v>
      </c>
      <c r="L1147" s="1">
        <v>53</v>
      </c>
      <c r="N1147" s="1">
        <f>Table1[[#This Row],[Winning Score]]-Table1[[#This Row],[Losing Score]]</f>
        <v>5</v>
      </c>
      <c r="O1147" s="1">
        <f>Table1[[#This Row],[Losing Seed]]-Table1[[#This Row],[Winning Seed]]</f>
        <v>7</v>
      </c>
      <c r="P1147" s="1" t="str">
        <f>IF(Table1[[#This Row],[SeD]]&lt;-2,Table1[[#This Row],[Winning Seed]]&amp; " over " &amp;Table1[[#This Row],[Losing Seed]],"")</f>
        <v/>
      </c>
      <c r="Q1147">
        <f>VLOOKUP(Table1[[#This Row],[Losing Seed]],'Seed History'!$N$4:$O$19,2)</f>
        <v>0.52083333333333337</v>
      </c>
      <c r="R1147" s="1">
        <f>IF(Table1[[#This Row],[Round]]="PI",0,Table1[[#This Row],[Round]]-1)</f>
        <v>0</v>
      </c>
      <c r="S1147">
        <f>Table1[[#This Row],[LAW]]-Table1[[#This Row],[LEW]]</f>
        <v>-0.52083333333333337</v>
      </c>
    </row>
    <row r="1148" spans="1:19" x14ac:dyDescent="0.25">
      <c r="A1148" s="66">
        <v>37700</v>
      </c>
      <c r="B1148" s="51">
        <f>YEAR(Table1[[#This Row],[Date]])</f>
        <v>2003</v>
      </c>
      <c r="C1148" s="1">
        <v>1</v>
      </c>
      <c r="D1148" t="s">
        <v>38</v>
      </c>
      <c r="E1148" s="1">
        <v>1</v>
      </c>
      <c r="F1148" t="s">
        <v>48</v>
      </c>
      <c r="G1148" t="str">
        <f>VLOOKUP(Table1[[#This Row],[Winner]],Ranking!C:D,2,FALSE)</f>
        <v>P12</v>
      </c>
      <c r="H1148" s="1">
        <v>80</v>
      </c>
      <c r="I1148" s="1">
        <v>16</v>
      </c>
      <c r="J1148" t="s">
        <v>404</v>
      </c>
      <c r="K1148" t="str">
        <f>VLOOKUP(Table1[[#This Row],[Loser]],Ranking!C:D,2,FALSE)</f>
        <v>AE</v>
      </c>
      <c r="L1148" s="1">
        <v>51</v>
      </c>
      <c r="N1148" s="1">
        <f>Table1[[#This Row],[Winning Score]]-Table1[[#This Row],[Losing Score]]</f>
        <v>29</v>
      </c>
      <c r="O1148" s="1">
        <f>Table1[[#This Row],[Losing Seed]]-Table1[[#This Row],[Winning Seed]]</f>
        <v>15</v>
      </c>
      <c r="P1148" s="1" t="str">
        <f>IF(Table1[[#This Row],[SeD]]&lt;-2,Table1[[#This Row],[Winning Seed]]&amp; " over " &amp;Table1[[#This Row],[Losing Seed]],"")</f>
        <v/>
      </c>
      <c r="Q1148">
        <f>VLOOKUP(Table1[[#This Row],[Losing Seed]],'Seed History'!$N$4:$O$19,2)</f>
        <v>6.9444444444444441E-3</v>
      </c>
      <c r="R1148" s="1">
        <f>IF(Table1[[#This Row],[Round]]="PI",0,Table1[[#This Row],[Round]]-1)</f>
        <v>0</v>
      </c>
      <c r="S1148">
        <f>Table1[[#This Row],[LAW]]-Table1[[#This Row],[LEW]]</f>
        <v>-6.9444444444444441E-3</v>
      </c>
    </row>
    <row r="1149" spans="1:19" x14ac:dyDescent="0.25">
      <c r="A1149" s="66">
        <v>37700</v>
      </c>
      <c r="B1149" s="51">
        <f>YEAR(Table1[[#This Row],[Date]])</f>
        <v>2003</v>
      </c>
      <c r="C1149" s="1">
        <v>1</v>
      </c>
      <c r="D1149" t="s">
        <v>38</v>
      </c>
      <c r="E1149" s="1">
        <v>2</v>
      </c>
      <c r="F1149" t="s">
        <v>37</v>
      </c>
      <c r="G1149" t="str">
        <f>VLOOKUP(Table1[[#This Row],[Winner]],Ranking!C:D,2,FALSE)</f>
        <v>B12</v>
      </c>
      <c r="H1149" s="1">
        <v>64</v>
      </c>
      <c r="I1149" s="1">
        <v>15</v>
      </c>
      <c r="J1149" t="s">
        <v>400</v>
      </c>
      <c r="K1149" t="str">
        <f>VLOOKUP(Table1[[#This Row],[Loser]],Ranking!C:D,2,FALSE)</f>
        <v>MWC</v>
      </c>
      <c r="L1149" s="1">
        <v>61</v>
      </c>
      <c r="N1149" s="1">
        <f>Table1[[#This Row],[Winning Score]]-Table1[[#This Row],[Losing Score]]</f>
        <v>3</v>
      </c>
      <c r="O1149" s="1">
        <f>Table1[[#This Row],[Losing Seed]]-Table1[[#This Row],[Winning Seed]]</f>
        <v>13</v>
      </c>
      <c r="P1149" s="1" t="str">
        <f>IF(Table1[[#This Row],[SeD]]&lt;-2,Table1[[#This Row],[Winning Seed]]&amp; " over " &amp;Table1[[#This Row],[Losing Seed]],"")</f>
        <v/>
      </c>
      <c r="Q1149">
        <f>VLOOKUP(Table1[[#This Row],[Losing Seed]],'Seed History'!$N$4:$O$19,2)</f>
        <v>7.6388888888888895E-2</v>
      </c>
      <c r="R1149" s="1">
        <f>IF(Table1[[#This Row],[Round]]="PI",0,Table1[[#This Row],[Round]]-1)</f>
        <v>0</v>
      </c>
      <c r="S1149">
        <f>Table1[[#This Row],[LAW]]-Table1[[#This Row],[LEW]]</f>
        <v>-7.6388888888888895E-2</v>
      </c>
    </row>
    <row r="1150" spans="1:19" x14ac:dyDescent="0.25">
      <c r="A1150" s="66">
        <v>37700</v>
      </c>
      <c r="B1150" s="51">
        <f>YEAR(Table1[[#This Row],[Date]])</f>
        <v>2003</v>
      </c>
      <c r="C1150" s="1">
        <v>1</v>
      </c>
      <c r="D1150" t="s">
        <v>38</v>
      </c>
      <c r="E1150" s="1">
        <v>3</v>
      </c>
      <c r="F1150" t="s">
        <v>64</v>
      </c>
      <c r="G1150" t="str">
        <f>VLOOKUP(Table1[[#This Row],[Winner]],Ranking!C:D,2,FALSE)</f>
        <v>ACC</v>
      </c>
      <c r="H1150" s="1">
        <v>67</v>
      </c>
      <c r="I1150" s="1">
        <v>14</v>
      </c>
      <c r="J1150" t="s">
        <v>176</v>
      </c>
      <c r="K1150" t="str">
        <f>VLOOKUP(Table1[[#This Row],[Loser]],Ranking!C:D,2,FALSE)</f>
        <v>MWC</v>
      </c>
      <c r="L1150" s="1">
        <v>57</v>
      </c>
      <c r="N1150" s="1">
        <f>Table1[[#This Row],[Winning Score]]-Table1[[#This Row],[Losing Score]]</f>
        <v>10</v>
      </c>
      <c r="O1150" s="1">
        <f>Table1[[#This Row],[Losing Seed]]-Table1[[#This Row],[Winning Seed]]</f>
        <v>11</v>
      </c>
      <c r="P1150" s="1" t="str">
        <f>IF(Table1[[#This Row],[SeD]]&lt;-2,Table1[[#This Row],[Winning Seed]]&amp; " over " &amp;Table1[[#This Row],[Losing Seed]],"")</f>
        <v/>
      </c>
      <c r="Q1150">
        <f>VLOOKUP(Table1[[#This Row],[Losing Seed]],'Seed History'!$N$4:$O$19,2)</f>
        <v>0.16666666666666666</v>
      </c>
      <c r="R1150" s="1">
        <f>IF(Table1[[#This Row],[Round]]="PI",0,Table1[[#This Row],[Round]]-1)</f>
        <v>0</v>
      </c>
      <c r="S1150">
        <f>Table1[[#This Row],[LAW]]-Table1[[#This Row],[LEW]]</f>
        <v>-0.16666666666666666</v>
      </c>
    </row>
    <row r="1151" spans="1:19" x14ac:dyDescent="0.25">
      <c r="A1151" s="66">
        <v>37700</v>
      </c>
      <c r="B1151" s="51">
        <f>YEAR(Table1[[#This Row],[Date]])</f>
        <v>2003</v>
      </c>
      <c r="C1151" s="1">
        <v>1</v>
      </c>
      <c r="D1151" t="s">
        <v>38</v>
      </c>
      <c r="E1151" s="1">
        <v>4</v>
      </c>
      <c r="F1151" t="s">
        <v>230</v>
      </c>
      <c r="G1151" t="str">
        <f>VLOOKUP(Table1[[#This Row],[Winner]],Ranking!C:D,2,FALSE)</f>
        <v>B10</v>
      </c>
      <c r="H1151" s="1">
        <v>65</v>
      </c>
      <c r="I1151" s="1">
        <v>13</v>
      </c>
      <c r="J1151" t="s">
        <v>415</v>
      </c>
      <c r="K1151" t="str">
        <f>VLOOKUP(Table1[[#This Row],[Loser]],Ranking!C:D,2,FALSE)</f>
        <v>CUSA</v>
      </c>
      <c r="L1151" s="1">
        <v>60</v>
      </c>
      <c r="N1151" s="1">
        <f>Table1[[#This Row],[Winning Score]]-Table1[[#This Row],[Losing Score]]</f>
        <v>5</v>
      </c>
      <c r="O1151" s="1">
        <f>Table1[[#This Row],[Losing Seed]]-Table1[[#This Row],[Winning Seed]]</f>
        <v>9</v>
      </c>
      <c r="P1151" s="1" t="str">
        <f>IF(Table1[[#This Row],[SeD]]&lt;-2,Table1[[#This Row],[Winning Seed]]&amp; " over " &amp;Table1[[#This Row],[Losing Seed]],"")</f>
        <v/>
      </c>
      <c r="Q1151">
        <f>VLOOKUP(Table1[[#This Row],[Losing Seed]],'Seed History'!$N$4:$O$19,2)</f>
        <v>0.25694444444444442</v>
      </c>
      <c r="R1151" s="1">
        <f>IF(Table1[[#This Row],[Round]]="PI",0,Table1[[#This Row],[Round]]-1)</f>
        <v>0</v>
      </c>
      <c r="S1151">
        <f>Table1[[#This Row],[LAW]]-Table1[[#This Row],[LEW]]</f>
        <v>-0.25694444444444442</v>
      </c>
    </row>
    <row r="1152" spans="1:19" x14ac:dyDescent="0.25">
      <c r="A1152" s="66">
        <v>37700</v>
      </c>
      <c r="B1152" s="51">
        <f>YEAR(Table1[[#This Row],[Date]])</f>
        <v>2003</v>
      </c>
      <c r="C1152" s="1">
        <v>1</v>
      </c>
      <c r="D1152" t="s">
        <v>38</v>
      </c>
      <c r="E1152" s="1">
        <v>5</v>
      </c>
      <c r="F1152" t="s">
        <v>35</v>
      </c>
      <c r="G1152" t="str">
        <f>VLOOKUP(Table1[[#This Row],[Winner]],Ranking!C:D,2,FALSE)</f>
        <v>ACC</v>
      </c>
      <c r="H1152" s="1">
        <v>70</v>
      </c>
      <c r="I1152" s="1">
        <v>12</v>
      </c>
      <c r="J1152" t="s">
        <v>273</v>
      </c>
      <c r="K1152" t="str">
        <f>VLOOKUP(Table1[[#This Row],[Loser]],Ranking!C:D,2,FALSE)</f>
        <v>Horz</v>
      </c>
      <c r="L1152" s="1">
        <v>69</v>
      </c>
      <c r="N1152" s="1">
        <f>Table1[[#This Row],[Winning Score]]-Table1[[#This Row],[Losing Score]]</f>
        <v>1</v>
      </c>
      <c r="O1152" s="1">
        <f>Table1[[#This Row],[Losing Seed]]-Table1[[#This Row],[Winning Seed]]</f>
        <v>7</v>
      </c>
      <c r="P1152" s="1" t="str">
        <f>IF(Table1[[#This Row],[SeD]]&lt;-2,Table1[[#This Row],[Winning Seed]]&amp; " over " &amp;Table1[[#This Row],[Losing Seed]],"")</f>
        <v/>
      </c>
      <c r="Q1152">
        <f>VLOOKUP(Table1[[#This Row],[Losing Seed]],'Seed History'!$N$4:$O$19,2)</f>
        <v>0.52083333333333337</v>
      </c>
      <c r="R1152" s="1">
        <f>IF(Table1[[#This Row],[Round]]="PI",0,Table1[[#This Row],[Round]]-1)</f>
        <v>0</v>
      </c>
      <c r="S1152">
        <f>Table1[[#This Row],[LAW]]-Table1[[#This Row],[LEW]]</f>
        <v>-0.52083333333333337</v>
      </c>
    </row>
    <row r="1153" spans="1:19" x14ac:dyDescent="0.25">
      <c r="A1153" s="66">
        <v>37700</v>
      </c>
      <c r="B1153" s="51">
        <f>YEAR(Table1[[#This Row],[Date]])</f>
        <v>2003</v>
      </c>
      <c r="C1153" s="1">
        <v>1</v>
      </c>
      <c r="D1153" t="s">
        <v>38</v>
      </c>
      <c r="E1153" s="1">
        <v>10</v>
      </c>
      <c r="F1153" t="s">
        <v>125</v>
      </c>
      <c r="G1153" t="str">
        <f>VLOOKUP(Table1[[#This Row],[Winner]],Ranking!C:D,2,FALSE)</f>
        <v>P12</v>
      </c>
      <c r="H1153" s="1">
        <v>84</v>
      </c>
      <c r="I1153" s="1">
        <v>7</v>
      </c>
      <c r="J1153" t="s">
        <v>267</v>
      </c>
      <c r="K1153" t="str">
        <f>VLOOKUP(Table1[[#This Row],[Loser]],Ranking!C:D,2,FALSE)</f>
        <v>Amer</v>
      </c>
      <c r="L1153" s="1">
        <v>71</v>
      </c>
      <c r="N1153" s="1">
        <f>Table1[[#This Row],[Winning Score]]-Table1[[#This Row],[Losing Score]]</f>
        <v>13</v>
      </c>
      <c r="O1153" s="1">
        <f>Table1[[#This Row],[Losing Seed]]-Table1[[#This Row],[Winning Seed]]</f>
        <v>-3</v>
      </c>
      <c r="P1153" s="1" t="str">
        <f>IF(Table1[[#This Row],[SeD]]&lt;-2,Table1[[#This Row],[Winning Seed]]&amp; " over " &amp;Table1[[#This Row],[Losing Seed]],"")</f>
        <v>10 over 7</v>
      </c>
      <c r="Q1153">
        <f>VLOOKUP(Table1[[#This Row],[Losing Seed]],'Seed History'!$N$4:$O$19,2)</f>
        <v>0.90277777777777779</v>
      </c>
      <c r="R1153" s="1">
        <f>IF(Table1[[#This Row],[Round]]="PI",0,Table1[[#This Row],[Round]]-1)</f>
        <v>0</v>
      </c>
      <c r="S1153">
        <f>Table1[[#This Row],[LAW]]-Table1[[#This Row],[LEW]]</f>
        <v>-0.90277777777777779</v>
      </c>
    </row>
    <row r="1154" spans="1:19" x14ac:dyDescent="0.25">
      <c r="A1154" s="66">
        <v>37700</v>
      </c>
      <c r="B1154" s="51">
        <f>YEAR(Table1[[#This Row],[Date]])</f>
        <v>2003</v>
      </c>
      <c r="C1154" s="1">
        <v>1</v>
      </c>
      <c r="D1154" t="s">
        <v>38</v>
      </c>
      <c r="E1154" s="1">
        <v>9</v>
      </c>
      <c r="F1154" t="s">
        <v>71</v>
      </c>
      <c r="G1154" t="str">
        <f>VLOOKUP(Table1[[#This Row],[Winner]],Ranking!C:D,2,FALSE)</f>
        <v>WCC</v>
      </c>
      <c r="H1154" s="1">
        <v>74</v>
      </c>
      <c r="I1154" s="1">
        <v>8</v>
      </c>
      <c r="J1154" t="s">
        <v>28</v>
      </c>
      <c r="K1154" t="str">
        <f>VLOOKUP(Table1[[#This Row],[Loser]],Ranking!C:D,2,FALSE)</f>
        <v>Amer</v>
      </c>
      <c r="L1154" s="1">
        <v>69</v>
      </c>
      <c r="N1154" s="1">
        <f>Table1[[#This Row],[Winning Score]]-Table1[[#This Row],[Losing Score]]</f>
        <v>5</v>
      </c>
      <c r="O1154" s="1">
        <f>Table1[[#This Row],[Losing Seed]]-Table1[[#This Row],[Winning Seed]]</f>
        <v>-1</v>
      </c>
      <c r="P1154" s="1" t="str">
        <f>IF(Table1[[#This Row],[SeD]]&lt;-2,Table1[[#This Row],[Winning Seed]]&amp; " over " &amp;Table1[[#This Row],[Losing Seed]],"")</f>
        <v/>
      </c>
      <c r="Q1154">
        <f>VLOOKUP(Table1[[#This Row],[Losing Seed]],'Seed History'!$N$4:$O$19,2)</f>
        <v>0.70833333333333337</v>
      </c>
      <c r="R1154" s="1">
        <f>IF(Table1[[#This Row],[Round]]="PI",0,Table1[[#This Row],[Round]]-1)</f>
        <v>0</v>
      </c>
      <c r="S1154">
        <f>Table1[[#This Row],[LAW]]-Table1[[#This Row],[LEW]]</f>
        <v>-0.70833333333333337</v>
      </c>
    </row>
    <row r="1155" spans="1:19" x14ac:dyDescent="0.25">
      <c r="A1155" s="66">
        <v>37701</v>
      </c>
      <c r="B1155" s="51">
        <f>YEAR(Table1[[#This Row],[Date]])</f>
        <v>2003</v>
      </c>
      <c r="C1155" s="1">
        <v>1</v>
      </c>
      <c r="D1155" t="s">
        <v>49</v>
      </c>
      <c r="E1155" s="1">
        <v>12</v>
      </c>
      <c r="F1155" t="s">
        <v>33</v>
      </c>
      <c r="G1155" t="str">
        <f>VLOOKUP(Table1[[#This Row],[Winner]],Ranking!C:D,2,FALSE)</f>
        <v>BE</v>
      </c>
      <c r="H1155" s="1">
        <v>47</v>
      </c>
      <c r="I1155" s="1">
        <v>5</v>
      </c>
      <c r="J1155" t="s">
        <v>275</v>
      </c>
      <c r="K1155" t="str">
        <f>VLOOKUP(Table1[[#This Row],[Loser]],Ranking!C:D,2,FALSE)</f>
        <v>SEC</v>
      </c>
      <c r="L1155" s="1">
        <v>46</v>
      </c>
      <c r="N1155" s="1">
        <f>Table1[[#This Row],[Winning Score]]-Table1[[#This Row],[Losing Score]]</f>
        <v>1</v>
      </c>
      <c r="O1155" s="1">
        <f>Table1[[#This Row],[Losing Seed]]-Table1[[#This Row],[Winning Seed]]</f>
        <v>-7</v>
      </c>
      <c r="P1155" s="1" t="str">
        <f>IF(Table1[[#This Row],[SeD]]&lt;-2,Table1[[#This Row],[Winning Seed]]&amp; " over " &amp;Table1[[#This Row],[Losing Seed]],"")</f>
        <v>12 over 5</v>
      </c>
      <c r="Q1155">
        <f>VLOOKUP(Table1[[#This Row],[Losing Seed]],'Seed History'!$N$4:$O$19,2)</f>
        <v>1.1180555555555556</v>
      </c>
      <c r="R1155" s="1">
        <f>IF(Table1[[#This Row],[Round]]="PI",0,Table1[[#This Row],[Round]]-1)</f>
        <v>0</v>
      </c>
      <c r="S1155">
        <f>Table1[[#This Row],[LAW]]-Table1[[#This Row],[LEW]]</f>
        <v>-1.1180555555555556</v>
      </c>
    </row>
    <row r="1156" spans="1:19" x14ac:dyDescent="0.25">
      <c r="A1156" s="66">
        <v>37701</v>
      </c>
      <c r="B1156" s="51">
        <f>YEAR(Table1[[#This Row],[Date]])</f>
        <v>2003</v>
      </c>
      <c r="C1156" s="1">
        <v>1</v>
      </c>
      <c r="D1156" t="s">
        <v>49</v>
      </c>
      <c r="E1156" s="1">
        <v>2</v>
      </c>
      <c r="F1156" t="s">
        <v>408</v>
      </c>
      <c r="G1156" t="str">
        <f>VLOOKUP(Table1[[#This Row],[Winner]],Ranking!C:D,2,FALSE)</f>
        <v>ACC</v>
      </c>
      <c r="H1156" s="1">
        <v>76</v>
      </c>
      <c r="I1156" s="1">
        <v>15</v>
      </c>
      <c r="J1156" t="s">
        <v>192</v>
      </c>
      <c r="K1156" t="str">
        <f>VLOOKUP(Table1[[#This Row],[Loser]],Ranking!C:D,2,FALSE)</f>
        <v>SC</v>
      </c>
      <c r="L1156" s="1">
        <v>73</v>
      </c>
      <c r="N1156" s="1">
        <f>Table1[[#This Row],[Winning Score]]-Table1[[#This Row],[Losing Score]]</f>
        <v>3</v>
      </c>
      <c r="O1156" s="1">
        <f>Table1[[#This Row],[Losing Seed]]-Table1[[#This Row],[Winning Seed]]</f>
        <v>13</v>
      </c>
      <c r="P1156" s="1" t="str">
        <f>IF(Table1[[#This Row],[SeD]]&lt;-2,Table1[[#This Row],[Winning Seed]]&amp; " over " &amp;Table1[[#This Row],[Losing Seed]],"")</f>
        <v/>
      </c>
      <c r="Q1156">
        <f>VLOOKUP(Table1[[#This Row],[Losing Seed]],'Seed History'!$N$4:$O$19,2)</f>
        <v>7.6388888888888895E-2</v>
      </c>
      <c r="R1156" s="1">
        <f>IF(Table1[[#This Row],[Round]]="PI",0,Table1[[#This Row],[Round]]-1)</f>
        <v>0</v>
      </c>
      <c r="S1156">
        <f>Table1[[#This Row],[LAW]]-Table1[[#This Row],[LEW]]</f>
        <v>-7.6388888888888895E-2</v>
      </c>
    </row>
    <row r="1157" spans="1:19" x14ac:dyDescent="0.25">
      <c r="A1157" s="66">
        <v>37701</v>
      </c>
      <c r="B1157" s="51">
        <f>YEAR(Table1[[#This Row],[Date]])</f>
        <v>2003</v>
      </c>
      <c r="C1157" s="1">
        <v>1</v>
      </c>
      <c r="D1157" t="s">
        <v>49</v>
      </c>
      <c r="E1157" s="1">
        <v>3</v>
      </c>
      <c r="F1157" t="s">
        <v>86</v>
      </c>
      <c r="G1157" t="str">
        <f>VLOOKUP(Table1[[#This Row],[Winner]],Ranking!C:D,2,FALSE)</f>
        <v>ACC</v>
      </c>
      <c r="H1157" s="1">
        <v>76</v>
      </c>
      <c r="I1157" s="1">
        <v>14</v>
      </c>
      <c r="J1157" t="s">
        <v>73</v>
      </c>
      <c r="K1157" t="str">
        <f>VLOOKUP(Table1[[#This Row],[Loser]],Ranking!C:D,2,FALSE)</f>
        <v>MAAC</v>
      </c>
      <c r="L1157" s="1">
        <v>65</v>
      </c>
      <c r="N1157" s="1">
        <f>Table1[[#This Row],[Winning Score]]-Table1[[#This Row],[Losing Score]]</f>
        <v>11</v>
      </c>
      <c r="O1157" s="1">
        <f>Table1[[#This Row],[Losing Seed]]-Table1[[#This Row],[Winning Seed]]</f>
        <v>11</v>
      </c>
      <c r="P1157" s="1" t="str">
        <f>IF(Table1[[#This Row],[SeD]]&lt;-2,Table1[[#This Row],[Winning Seed]]&amp; " over " &amp;Table1[[#This Row],[Losing Seed]],"")</f>
        <v/>
      </c>
      <c r="Q1157">
        <f>VLOOKUP(Table1[[#This Row],[Losing Seed]],'Seed History'!$N$4:$O$19,2)</f>
        <v>0.16666666666666666</v>
      </c>
      <c r="R1157" s="1">
        <f>IF(Table1[[#This Row],[Round]]="PI",0,Table1[[#This Row],[Round]]-1)</f>
        <v>0</v>
      </c>
      <c r="S1157">
        <f>Table1[[#This Row],[LAW]]-Table1[[#This Row],[LEW]]</f>
        <v>-0.16666666666666666</v>
      </c>
    </row>
    <row r="1158" spans="1:19" x14ac:dyDescent="0.25">
      <c r="A1158" s="66">
        <v>37701</v>
      </c>
      <c r="B1158" s="51">
        <f>YEAR(Table1[[#This Row],[Date]])</f>
        <v>2003</v>
      </c>
      <c r="C1158" s="1">
        <v>1</v>
      </c>
      <c r="D1158" t="s">
        <v>49</v>
      </c>
      <c r="E1158" s="1">
        <v>4</v>
      </c>
      <c r="F1158" t="s">
        <v>54</v>
      </c>
      <c r="G1158" t="str">
        <f>VLOOKUP(Table1[[#This Row],[Winner]],Ranking!C:D,2,FALSE)</f>
        <v>ACC</v>
      </c>
      <c r="H1158" s="1">
        <v>86</v>
      </c>
      <c r="I1158" s="1">
        <v>13</v>
      </c>
      <c r="J1158" t="s">
        <v>130</v>
      </c>
      <c r="K1158" t="str">
        <f>VLOOKUP(Table1[[#This Row],[Loser]],Ranking!C:D,2,FALSE)</f>
        <v>OVC</v>
      </c>
      <c r="L1158" s="1">
        <v>64</v>
      </c>
      <c r="N1158" s="1">
        <f>Table1[[#This Row],[Winning Score]]-Table1[[#This Row],[Losing Score]]</f>
        <v>22</v>
      </c>
      <c r="O1158" s="1">
        <f>Table1[[#This Row],[Losing Seed]]-Table1[[#This Row],[Winning Seed]]</f>
        <v>9</v>
      </c>
      <c r="P1158" s="1" t="str">
        <f>IF(Table1[[#This Row],[SeD]]&lt;-2,Table1[[#This Row],[Winning Seed]]&amp; " over " &amp;Table1[[#This Row],[Losing Seed]],"")</f>
        <v/>
      </c>
      <c r="Q1158">
        <f>VLOOKUP(Table1[[#This Row],[Losing Seed]],'Seed History'!$N$4:$O$19,2)</f>
        <v>0.25694444444444442</v>
      </c>
      <c r="R1158" s="1">
        <f>IF(Table1[[#This Row],[Round]]="PI",0,Table1[[#This Row],[Round]]-1)</f>
        <v>0</v>
      </c>
      <c r="S1158">
        <f>Table1[[#This Row],[LAW]]-Table1[[#This Row],[LEW]]</f>
        <v>-0.25694444444444442</v>
      </c>
    </row>
    <row r="1159" spans="1:19" x14ac:dyDescent="0.25">
      <c r="A1159" s="66">
        <v>37701</v>
      </c>
      <c r="B1159" s="51">
        <f>YEAR(Table1[[#This Row],[Date]])</f>
        <v>2003</v>
      </c>
      <c r="C1159" s="1">
        <v>1</v>
      </c>
      <c r="D1159" t="s">
        <v>49</v>
      </c>
      <c r="E1159" s="1">
        <v>6</v>
      </c>
      <c r="F1159" t="s">
        <v>316</v>
      </c>
      <c r="G1159" t="str">
        <f>VLOOKUP(Table1[[#This Row],[Winner]],Ranking!C:D,2,FALSE)</f>
        <v>B12</v>
      </c>
      <c r="H1159" s="1">
        <v>77</v>
      </c>
      <c r="I1159" s="1">
        <v>11</v>
      </c>
      <c r="J1159" t="s">
        <v>321</v>
      </c>
      <c r="K1159" t="str">
        <f>VLOOKUP(Table1[[#This Row],[Loser]],Ranking!C:D,2,FALSE)</f>
        <v>Ivy</v>
      </c>
      <c r="L1159" s="1">
        <v>63</v>
      </c>
      <c r="N1159" s="1">
        <f>Table1[[#This Row],[Winning Score]]-Table1[[#This Row],[Losing Score]]</f>
        <v>14</v>
      </c>
      <c r="O1159" s="1">
        <f>Table1[[#This Row],[Losing Seed]]-Table1[[#This Row],[Winning Seed]]</f>
        <v>5</v>
      </c>
      <c r="P1159" s="1" t="str">
        <f>IF(Table1[[#This Row],[SeD]]&lt;-2,Table1[[#This Row],[Winning Seed]]&amp; " over " &amp;Table1[[#This Row],[Losing Seed]],"")</f>
        <v/>
      </c>
      <c r="Q1159">
        <f>VLOOKUP(Table1[[#This Row],[Losing Seed]],'Seed History'!$N$4:$O$19,2)</f>
        <v>0.63194444444444442</v>
      </c>
      <c r="R1159" s="1">
        <f>IF(Table1[[#This Row],[Round]]="PI",0,Table1[[#This Row],[Round]]-1)</f>
        <v>0</v>
      </c>
      <c r="S1159">
        <f>Table1[[#This Row],[LAW]]-Table1[[#This Row],[LEW]]</f>
        <v>-0.63194444444444442</v>
      </c>
    </row>
    <row r="1160" spans="1:19" x14ac:dyDescent="0.25">
      <c r="A1160" s="66">
        <v>37701</v>
      </c>
      <c r="B1160" s="51">
        <f>YEAR(Table1[[#This Row],[Date]])</f>
        <v>2003</v>
      </c>
      <c r="C1160" s="1">
        <v>1</v>
      </c>
      <c r="D1160" t="s">
        <v>439</v>
      </c>
      <c r="E1160" s="1">
        <v>1</v>
      </c>
      <c r="F1160" t="s">
        <v>26</v>
      </c>
      <c r="G1160" t="str">
        <f>VLOOKUP(Table1[[#This Row],[Winner]],Ranking!C:D,2,FALSE)</f>
        <v>SEC</v>
      </c>
      <c r="H1160" s="1">
        <v>95</v>
      </c>
      <c r="I1160" s="1">
        <v>16</v>
      </c>
      <c r="J1160" t="s">
        <v>238</v>
      </c>
      <c r="K1160" t="str">
        <f>VLOOKUP(Table1[[#This Row],[Loser]],Ranking!C:D,2,FALSE)</f>
        <v>Horz</v>
      </c>
      <c r="L1160" s="1">
        <v>64</v>
      </c>
      <c r="N1160" s="1">
        <f>Table1[[#This Row],[Winning Score]]-Table1[[#This Row],[Losing Score]]</f>
        <v>31</v>
      </c>
      <c r="O1160" s="1">
        <f>Table1[[#This Row],[Losing Seed]]-Table1[[#This Row],[Winning Seed]]</f>
        <v>15</v>
      </c>
      <c r="P1160" s="1" t="str">
        <f>IF(Table1[[#This Row],[SeD]]&lt;-2,Table1[[#This Row],[Winning Seed]]&amp; " over " &amp;Table1[[#This Row],[Losing Seed]],"")</f>
        <v/>
      </c>
      <c r="Q1160">
        <f>VLOOKUP(Table1[[#This Row],[Losing Seed]],'Seed History'!$N$4:$O$19,2)</f>
        <v>6.9444444444444441E-3</v>
      </c>
      <c r="R1160" s="1">
        <f>IF(Table1[[#This Row],[Round]]="PI",0,Table1[[#This Row],[Round]]-1)</f>
        <v>0</v>
      </c>
      <c r="S1160">
        <f>Table1[[#This Row],[LAW]]-Table1[[#This Row],[LEW]]</f>
        <v>-6.9444444444444441E-3</v>
      </c>
    </row>
    <row r="1161" spans="1:19" x14ac:dyDescent="0.25">
      <c r="A1161" s="66">
        <v>37701</v>
      </c>
      <c r="B1161" s="51">
        <f>YEAR(Table1[[#This Row],[Date]])</f>
        <v>2003</v>
      </c>
      <c r="C1161" s="1">
        <v>1</v>
      </c>
      <c r="D1161" t="s">
        <v>439</v>
      </c>
      <c r="E1161" s="1">
        <v>2</v>
      </c>
      <c r="F1161" t="s">
        <v>83</v>
      </c>
      <c r="G1161" t="str">
        <f>VLOOKUP(Table1[[#This Row],[Winner]],Ranking!C:D,2,FALSE)</f>
        <v>ACC</v>
      </c>
      <c r="H1161" s="1">
        <v>87</v>
      </c>
      <c r="I1161" s="1">
        <v>15</v>
      </c>
      <c r="J1161" t="s">
        <v>407</v>
      </c>
      <c r="K1161" t="str">
        <f>VLOOKUP(Table1[[#This Row],[Loser]],Ranking!C:D,2,FALSE)</f>
        <v>NEC</v>
      </c>
      <c r="L1161" s="1">
        <v>61</v>
      </c>
      <c r="N1161" s="1">
        <f>Table1[[#This Row],[Winning Score]]-Table1[[#This Row],[Losing Score]]</f>
        <v>26</v>
      </c>
      <c r="O1161" s="1">
        <f>Table1[[#This Row],[Losing Seed]]-Table1[[#This Row],[Winning Seed]]</f>
        <v>13</v>
      </c>
      <c r="P1161" s="1" t="str">
        <f>IF(Table1[[#This Row],[SeD]]&lt;-2,Table1[[#This Row],[Winning Seed]]&amp; " over " &amp;Table1[[#This Row],[Losing Seed]],"")</f>
        <v/>
      </c>
      <c r="Q1161">
        <f>VLOOKUP(Table1[[#This Row],[Losing Seed]],'Seed History'!$N$4:$O$19,2)</f>
        <v>7.6388888888888895E-2</v>
      </c>
      <c r="R1161" s="1">
        <f>IF(Table1[[#This Row],[Round]]="PI",0,Table1[[#This Row],[Round]]-1)</f>
        <v>0</v>
      </c>
      <c r="S1161">
        <f>Table1[[#This Row],[LAW]]-Table1[[#This Row],[LEW]]</f>
        <v>-7.6388888888888895E-2</v>
      </c>
    </row>
    <row r="1162" spans="1:19" x14ac:dyDescent="0.25">
      <c r="A1162" s="66">
        <v>37701</v>
      </c>
      <c r="B1162" s="51">
        <f>YEAR(Table1[[#This Row],[Date]])</f>
        <v>2003</v>
      </c>
      <c r="C1162" s="1">
        <v>1</v>
      </c>
      <c r="D1162" t="s">
        <v>439</v>
      </c>
      <c r="E1162" s="1">
        <v>7</v>
      </c>
      <c r="F1162" t="s">
        <v>36</v>
      </c>
      <c r="G1162" t="str">
        <f>VLOOKUP(Table1[[#This Row],[Winner]],Ranking!C:D,2,FALSE)</f>
        <v>B10</v>
      </c>
      <c r="H1162" s="1">
        <v>67</v>
      </c>
      <c r="I1162" s="1">
        <v>10</v>
      </c>
      <c r="J1162" t="s">
        <v>113</v>
      </c>
      <c r="K1162" t="str">
        <f>VLOOKUP(Table1[[#This Row],[Loser]],Ranking!C:D,2,FALSE)</f>
        <v>SEC</v>
      </c>
      <c r="L1162" s="1">
        <v>62</v>
      </c>
      <c r="N1162" s="1">
        <f>Table1[[#This Row],[Winning Score]]-Table1[[#This Row],[Losing Score]]</f>
        <v>5</v>
      </c>
      <c r="O1162" s="1">
        <f>Table1[[#This Row],[Losing Seed]]-Table1[[#This Row],[Winning Seed]]</f>
        <v>3</v>
      </c>
      <c r="P1162" s="1" t="str">
        <f>IF(Table1[[#This Row],[SeD]]&lt;-2,Table1[[#This Row],[Winning Seed]]&amp; " over " &amp;Table1[[#This Row],[Losing Seed]],"")</f>
        <v/>
      </c>
      <c r="Q1162">
        <f>VLOOKUP(Table1[[#This Row],[Losing Seed]],'Seed History'!$N$4:$O$19,2)</f>
        <v>0.61805555555555558</v>
      </c>
      <c r="R1162" s="1">
        <f>IF(Table1[[#This Row],[Round]]="PI",0,Table1[[#This Row],[Round]]-1)</f>
        <v>0</v>
      </c>
      <c r="S1162">
        <f>Table1[[#This Row],[LAW]]-Table1[[#This Row],[LEW]]</f>
        <v>-0.61805555555555558</v>
      </c>
    </row>
    <row r="1163" spans="1:19" x14ac:dyDescent="0.25">
      <c r="A1163" s="66">
        <v>37701</v>
      </c>
      <c r="B1163" s="51">
        <f>YEAR(Table1[[#This Row],[Date]])</f>
        <v>2003</v>
      </c>
      <c r="C1163" s="1">
        <v>1</v>
      </c>
      <c r="D1163" t="s">
        <v>63</v>
      </c>
      <c r="E1163" s="1">
        <v>1</v>
      </c>
      <c r="F1163" t="s">
        <v>34</v>
      </c>
      <c r="G1163" t="str">
        <f>VLOOKUP(Table1[[#This Row],[Winner]],Ranking!C:D,2,FALSE)</f>
        <v>B12</v>
      </c>
      <c r="H1163" s="1">
        <v>82</v>
      </c>
      <c r="I1163" s="1">
        <v>16</v>
      </c>
      <c r="J1163" t="s">
        <v>393</v>
      </c>
      <c r="K1163" t="str">
        <f>VLOOKUP(Table1[[#This Row],[Loser]],Ranking!C:D,2,FALSE)</f>
        <v>BSth</v>
      </c>
      <c r="L1163" s="1">
        <v>61</v>
      </c>
      <c r="N1163" s="1">
        <f>Table1[[#This Row],[Winning Score]]-Table1[[#This Row],[Losing Score]]</f>
        <v>21</v>
      </c>
      <c r="O1163" s="1">
        <f>Table1[[#This Row],[Losing Seed]]-Table1[[#This Row],[Winning Seed]]</f>
        <v>15</v>
      </c>
      <c r="P1163" s="1" t="str">
        <f>IF(Table1[[#This Row],[SeD]]&lt;-2,Table1[[#This Row],[Winning Seed]]&amp; " over " &amp;Table1[[#This Row],[Losing Seed]],"")</f>
        <v/>
      </c>
      <c r="Q1163">
        <f>VLOOKUP(Table1[[#This Row],[Losing Seed]],'Seed History'!$N$4:$O$19,2)</f>
        <v>6.9444444444444441E-3</v>
      </c>
      <c r="R1163" s="1">
        <f>IF(Table1[[#This Row],[Round]]="PI",0,Table1[[#This Row],[Round]]-1)</f>
        <v>0</v>
      </c>
      <c r="S1163">
        <f>Table1[[#This Row],[LAW]]-Table1[[#This Row],[LEW]]</f>
        <v>-6.9444444444444441E-3</v>
      </c>
    </row>
    <row r="1164" spans="1:19" x14ac:dyDescent="0.25">
      <c r="A1164" s="66">
        <v>37701</v>
      </c>
      <c r="B1164" s="51">
        <f>YEAR(Table1[[#This Row],[Date]])</f>
        <v>2003</v>
      </c>
      <c r="C1164" s="1">
        <v>1</v>
      </c>
      <c r="D1164" t="s">
        <v>63</v>
      </c>
      <c r="E1164" s="1">
        <v>2</v>
      </c>
      <c r="F1164" t="s">
        <v>81</v>
      </c>
      <c r="G1164" t="str">
        <f>VLOOKUP(Table1[[#This Row],[Winner]],Ranking!C:D,2,FALSE)</f>
        <v>SEC</v>
      </c>
      <c r="H1164" s="1">
        <v>85</v>
      </c>
      <c r="I1164" s="1">
        <v>15</v>
      </c>
      <c r="J1164" t="s">
        <v>341</v>
      </c>
      <c r="K1164" t="str">
        <f>VLOOKUP(Table1[[#This Row],[Loser]],Ranking!C:D,2,FALSE)</f>
        <v>Slnd</v>
      </c>
      <c r="L1164" s="1">
        <v>55</v>
      </c>
      <c r="N1164" s="1">
        <f>Table1[[#This Row],[Winning Score]]-Table1[[#This Row],[Losing Score]]</f>
        <v>30</v>
      </c>
      <c r="O1164" s="1">
        <f>Table1[[#This Row],[Losing Seed]]-Table1[[#This Row],[Winning Seed]]</f>
        <v>13</v>
      </c>
      <c r="P1164" s="1" t="str">
        <f>IF(Table1[[#This Row],[SeD]]&lt;-2,Table1[[#This Row],[Winning Seed]]&amp; " over " &amp;Table1[[#This Row],[Losing Seed]],"")</f>
        <v/>
      </c>
      <c r="Q1164">
        <f>VLOOKUP(Table1[[#This Row],[Losing Seed]],'Seed History'!$N$4:$O$19,2)</f>
        <v>7.6388888888888895E-2</v>
      </c>
      <c r="R1164" s="1">
        <f>IF(Table1[[#This Row],[Round]]="PI",0,Table1[[#This Row],[Round]]-1)</f>
        <v>0</v>
      </c>
      <c r="S1164">
        <f>Table1[[#This Row],[LAW]]-Table1[[#This Row],[LEW]]</f>
        <v>-7.6388888888888895E-2</v>
      </c>
    </row>
    <row r="1165" spans="1:19" x14ac:dyDescent="0.25">
      <c r="A1165" s="66">
        <v>37701</v>
      </c>
      <c r="B1165" s="51">
        <f>YEAR(Table1[[#This Row],[Date]])</f>
        <v>2003</v>
      </c>
      <c r="C1165" s="1">
        <v>1</v>
      </c>
      <c r="D1165" t="s">
        <v>63</v>
      </c>
      <c r="E1165" s="1">
        <v>3</v>
      </c>
      <c r="F1165" t="s">
        <v>44</v>
      </c>
      <c r="G1165" t="str">
        <f>VLOOKUP(Table1[[#This Row],[Winner]],Ranking!C:D,2,FALSE)</f>
        <v>BE</v>
      </c>
      <c r="H1165" s="1">
        <v>71</v>
      </c>
      <c r="I1165" s="1">
        <v>14</v>
      </c>
      <c r="J1165" t="s">
        <v>384</v>
      </c>
      <c r="K1165" t="str">
        <f>VLOOKUP(Table1[[#This Row],[Loser]],Ranking!C:D,2,FALSE)</f>
        <v>SB</v>
      </c>
      <c r="L1165" s="1">
        <v>59</v>
      </c>
      <c r="N1165" s="1">
        <f>Table1[[#This Row],[Winning Score]]-Table1[[#This Row],[Losing Score]]</f>
        <v>12</v>
      </c>
      <c r="O1165" s="1">
        <f>Table1[[#This Row],[Losing Seed]]-Table1[[#This Row],[Winning Seed]]</f>
        <v>11</v>
      </c>
      <c r="P1165" s="1" t="str">
        <f>IF(Table1[[#This Row],[SeD]]&lt;-2,Table1[[#This Row],[Winning Seed]]&amp; " over " &amp;Table1[[#This Row],[Losing Seed]],"")</f>
        <v/>
      </c>
      <c r="Q1165">
        <f>VLOOKUP(Table1[[#This Row],[Losing Seed]],'Seed History'!$N$4:$O$19,2)</f>
        <v>0.16666666666666666</v>
      </c>
      <c r="R1165" s="1">
        <f>IF(Table1[[#This Row],[Round]]="PI",0,Table1[[#This Row],[Round]]-1)</f>
        <v>0</v>
      </c>
      <c r="S1165">
        <f>Table1[[#This Row],[LAW]]-Table1[[#This Row],[LEW]]</f>
        <v>-0.16666666666666666</v>
      </c>
    </row>
    <row r="1166" spans="1:19" x14ac:dyDescent="0.25">
      <c r="A1166" s="66">
        <v>37701</v>
      </c>
      <c r="B1166" s="51">
        <f>YEAR(Table1[[#This Row],[Date]])</f>
        <v>2003</v>
      </c>
      <c r="C1166" s="1">
        <v>1</v>
      </c>
      <c r="D1166" t="s">
        <v>63</v>
      </c>
      <c r="E1166" s="1">
        <v>6</v>
      </c>
      <c r="F1166" t="s">
        <v>31</v>
      </c>
      <c r="G1166" t="str">
        <f>VLOOKUP(Table1[[#This Row],[Winner]],Ranking!C:D,2,FALSE)</f>
        <v>B10</v>
      </c>
      <c r="H1166" s="1">
        <v>75</v>
      </c>
      <c r="I1166" s="1">
        <v>11</v>
      </c>
      <c r="J1166" t="s">
        <v>395</v>
      </c>
      <c r="K1166" t="str">
        <f>VLOOKUP(Table1[[#This Row],[Loser]],Ranking!C:D,2,FALSE)</f>
        <v>CAA</v>
      </c>
      <c r="L1166" s="1">
        <v>73</v>
      </c>
      <c r="N1166" s="1">
        <f>Table1[[#This Row],[Winning Score]]-Table1[[#This Row],[Losing Score]]</f>
        <v>2</v>
      </c>
      <c r="O1166" s="1">
        <f>Table1[[#This Row],[Losing Seed]]-Table1[[#This Row],[Winning Seed]]</f>
        <v>5</v>
      </c>
      <c r="P1166" s="1" t="str">
        <f>IF(Table1[[#This Row],[SeD]]&lt;-2,Table1[[#This Row],[Winning Seed]]&amp; " over " &amp;Table1[[#This Row],[Losing Seed]],"")</f>
        <v/>
      </c>
      <c r="Q1166">
        <f>VLOOKUP(Table1[[#This Row],[Losing Seed]],'Seed History'!$N$4:$O$19,2)</f>
        <v>0.63194444444444442</v>
      </c>
      <c r="R1166" s="1">
        <f>IF(Table1[[#This Row],[Round]]="PI",0,Table1[[#This Row],[Round]]-1)</f>
        <v>0</v>
      </c>
      <c r="S1166">
        <f>Table1[[#This Row],[LAW]]-Table1[[#This Row],[LEW]]</f>
        <v>-0.63194444444444442</v>
      </c>
    </row>
    <row r="1167" spans="1:19" x14ac:dyDescent="0.25">
      <c r="A1167" s="66">
        <v>37701</v>
      </c>
      <c r="B1167" s="51">
        <f>YEAR(Table1[[#This Row],[Date]])</f>
        <v>2003</v>
      </c>
      <c r="C1167" s="1">
        <v>1</v>
      </c>
      <c r="D1167" t="s">
        <v>63</v>
      </c>
      <c r="E1167" s="1">
        <v>7</v>
      </c>
      <c r="F1167" t="s">
        <v>271</v>
      </c>
      <c r="G1167" t="str">
        <f>VLOOKUP(Table1[[#This Row],[Winner]],Ranking!C:D,2,FALSE)</f>
        <v>B10</v>
      </c>
      <c r="H1167" s="1">
        <v>79</v>
      </c>
      <c r="I1167" s="1">
        <v>10</v>
      </c>
      <c r="J1167" t="s">
        <v>95</v>
      </c>
      <c r="K1167" t="str">
        <f>VLOOKUP(Table1[[#This Row],[Loser]],Ranking!C:D,2,FALSE)</f>
        <v>P12</v>
      </c>
      <c r="L1167" s="1">
        <v>64</v>
      </c>
      <c r="N1167" s="1">
        <f>Table1[[#This Row],[Winning Score]]-Table1[[#This Row],[Losing Score]]</f>
        <v>15</v>
      </c>
      <c r="O1167" s="1">
        <f>Table1[[#This Row],[Losing Seed]]-Table1[[#This Row],[Winning Seed]]</f>
        <v>3</v>
      </c>
      <c r="P1167" s="1" t="str">
        <f>IF(Table1[[#This Row],[SeD]]&lt;-2,Table1[[#This Row],[Winning Seed]]&amp; " over " &amp;Table1[[#This Row],[Losing Seed]],"")</f>
        <v/>
      </c>
      <c r="Q1167">
        <f>VLOOKUP(Table1[[#This Row],[Losing Seed]],'Seed History'!$N$4:$O$19,2)</f>
        <v>0.61805555555555558</v>
      </c>
      <c r="R1167" s="1">
        <f>IF(Table1[[#This Row],[Round]]="PI",0,Table1[[#This Row],[Round]]-1)</f>
        <v>0</v>
      </c>
      <c r="S1167">
        <f>Table1[[#This Row],[LAW]]-Table1[[#This Row],[LEW]]</f>
        <v>-0.61805555555555558</v>
      </c>
    </row>
    <row r="1168" spans="1:19" x14ac:dyDescent="0.25">
      <c r="A1168" s="66">
        <v>37701</v>
      </c>
      <c r="B1168" s="51">
        <f>YEAR(Table1[[#This Row],[Date]])</f>
        <v>2003</v>
      </c>
      <c r="C1168" s="1">
        <v>1</v>
      </c>
      <c r="D1168" t="s">
        <v>49</v>
      </c>
      <c r="E1168" s="1">
        <v>10</v>
      </c>
      <c r="F1168" t="s">
        <v>129</v>
      </c>
      <c r="G1168" t="str">
        <f>VLOOKUP(Table1[[#This Row],[Winner]],Ranking!C:D,2,FALSE)</f>
        <v>SEC</v>
      </c>
      <c r="H1168" s="1">
        <v>65</v>
      </c>
      <c r="I1168" s="1">
        <v>7</v>
      </c>
      <c r="J1168" t="s">
        <v>337</v>
      </c>
      <c r="K1168" t="str">
        <f>VLOOKUP(Table1[[#This Row],[Loser]],Ranking!C:D,2,FALSE)</f>
        <v>A10</v>
      </c>
      <c r="L1168" s="1">
        <v>63</v>
      </c>
      <c r="M1168" s="1" t="s">
        <v>462</v>
      </c>
      <c r="N1168" s="1">
        <f>Table1[[#This Row],[Winning Score]]-Table1[[#This Row],[Losing Score]]</f>
        <v>2</v>
      </c>
      <c r="O1168" s="1">
        <f>Table1[[#This Row],[Losing Seed]]-Table1[[#This Row],[Winning Seed]]</f>
        <v>-3</v>
      </c>
      <c r="P1168" s="1" t="str">
        <f>IF(Table1[[#This Row],[SeD]]&lt;-2,Table1[[#This Row],[Winning Seed]]&amp; " over " &amp;Table1[[#This Row],[Losing Seed]],"")</f>
        <v>10 over 7</v>
      </c>
      <c r="Q1168">
        <f>VLOOKUP(Table1[[#This Row],[Losing Seed]],'Seed History'!$N$4:$O$19,2)</f>
        <v>0.90277777777777779</v>
      </c>
      <c r="R1168" s="1">
        <f>IF(Table1[[#This Row],[Round]]="PI",0,Table1[[#This Row],[Round]]-1)</f>
        <v>0</v>
      </c>
      <c r="S1168">
        <f>Table1[[#This Row],[LAW]]-Table1[[#This Row],[LEW]]</f>
        <v>-0.90277777777777779</v>
      </c>
    </row>
    <row r="1169" spans="1:19" x14ac:dyDescent="0.25">
      <c r="A1169" s="66">
        <v>37701</v>
      </c>
      <c r="B1169" s="51">
        <f>YEAR(Table1[[#This Row],[Date]])</f>
        <v>2003</v>
      </c>
      <c r="C1169" s="1">
        <v>1</v>
      </c>
      <c r="D1169" t="s">
        <v>439</v>
      </c>
      <c r="E1169" s="1">
        <v>9</v>
      </c>
      <c r="F1169" t="s">
        <v>65</v>
      </c>
      <c r="G1169" t="str">
        <f>VLOOKUP(Table1[[#This Row],[Winner]],Ranking!C:D,2,FALSE)</f>
        <v>P12</v>
      </c>
      <c r="H1169" s="1">
        <v>60</v>
      </c>
      <c r="I1169" s="1">
        <v>8</v>
      </c>
      <c r="J1169" t="s">
        <v>40</v>
      </c>
      <c r="K1169" t="str">
        <f>VLOOKUP(Table1[[#This Row],[Loser]],Ranking!C:D,2,FALSE)</f>
        <v>P12</v>
      </c>
      <c r="L1169" s="1">
        <v>58</v>
      </c>
      <c r="N1169" s="1">
        <f>Table1[[#This Row],[Winning Score]]-Table1[[#This Row],[Losing Score]]</f>
        <v>2</v>
      </c>
      <c r="O1169" s="1">
        <f>Table1[[#This Row],[Losing Seed]]-Table1[[#This Row],[Winning Seed]]</f>
        <v>-1</v>
      </c>
      <c r="P1169" s="1" t="str">
        <f>IF(Table1[[#This Row],[SeD]]&lt;-2,Table1[[#This Row],[Winning Seed]]&amp; " over " &amp;Table1[[#This Row],[Losing Seed]],"")</f>
        <v/>
      </c>
      <c r="Q1169">
        <f>VLOOKUP(Table1[[#This Row],[Losing Seed]],'Seed History'!$N$4:$O$19,2)</f>
        <v>0.70833333333333337</v>
      </c>
      <c r="R1169" s="1">
        <f>IF(Table1[[#This Row],[Round]]="PI",0,Table1[[#This Row],[Round]]-1)</f>
        <v>0</v>
      </c>
      <c r="S1169">
        <f>Table1[[#This Row],[LAW]]-Table1[[#This Row],[LEW]]</f>
        <v>-0.70833333333333337</v>
      </c>
    </row>
    <row r="1170" spans="1:19" x14ac:dyDescent="0.25">
      <c r="A1170" s="66">
        <v>37701</v>
      </c>
      <c r="B1170" s="51">
        <f>YEAR(Table1[[#This Row],[Date]])</f>
        <v>2003</v>
      </c>
      <c r="C1170" s="1">
        <v>1</v>
      </c>
      <c r="D1170" t="s">
        <v>63</v>
      </c>
      <c r="E1170" s="1">
        <v>9</v>
      </c>
      <c r="F1170" t="s">
        <v>29</v>
      </c>
      <c r="G1170" t="str">
        <f>VLOOKUP(Table1[[#This Row],[Winner]],Ranking!C:D,2,FALSE)</f>
        <v>B10</v>
      </c>
      <c r="H1170" s="1">
        <v>80</v>
      </c>
      <c r="I1170" s="1">
        <v>8</v>
      </c>
      <c r="J1170" t="s">
        <v>52</v>
      </c>
      <c r="K1170" t="str">
        <f>VLOOKUP(Table1[[#This Row],[Loser]],Ranking!C:D,2,FALSE)</f>
        <v>SEC</v>
      </c>
      <c r="L1170" s="1">
        <v>56</v>
      </c>
      <c r="N1170" s="1">
        <f>Table1[[#This Row],[Winning Score]]-Table1[[#This Row],[Losing Score]]</f>
        <v>24</v>
      </c>
      <c r="O1170" s="1">
        <f>Table1[[#This Row],[Losing Seed]]-Table1[[#This Row],[Winning Seed]]</f>
        <v>-1</v>
      </c>
      <c r="P1170" s="1" t="str">
        <f>IF(Table1[[#This Row],[SeD]]&lt;-2,Table1[[#This Row],[Winning Seed]]&amp; " over " &amp;Table1[[#This Row],[Losing Seed]],"")</f>
        <v/>
      </c>
      <c r="Q1170">
        <f>VLOOKUP(Table1[[#This Row],[Losing Seed]],'Seed History'!$N$4:$O$19,2)</f>
        <v>0.70833333333333337</v>
      </c>
      <c r="R1170" s="1">
        <f>IF(Table1[[#This Row],[Round]]="PI",0,Table1[[#This Row],[Round]]-1)</f>
        <v>0</v>
      </c>
      <c r="S1170">
        <f>Table1[[#This Row],[LAW]]-Table1[[#This Row],[LEW]]</f>
        <v>-0.70833333333333337</v>
      </c>
    </row>
    <row r="1171" spans="1:19" x14ac:dyDescent="0.25">
      <c r="A1171" s="66">
        <v>37702</v>
      </c>
      <c r="B1171" s="51">
        <f>YEAR(Table1[[#This Row],[Date]])</f>
        <v>2003</v>
      </c>
      <c r="C1171" s="1">
        <v>2</v>
      </c>
      <c r="D1171" t="s">
        <v>49</v>
      </c>
      <c r="E1171" s="1">
        <v>1</v>
      </c>
      <c r="F1171" t="s">
        <v>58</v>
      </c>
      <c r="G1171" t="str">
        <f>VLOOKUP(Table1[[#This Row],[Winner]],Ranking!C:D,2,FALSE)</f>
        <v>B12</v>
      </c>
      <c r="H1171" s="1">
        <v>74</v>
      </c>
      <c r="I1171" s="1">
        <v>8</v>
      </c>
      <c r="J1171" t="s">
        <v>84</v>
      </c>
      <c r="K1171" t="str">
        <f>VLOOKUP(Table1[[#This Row],[Loser]],Ranking!C:D,2,FALSE)</f>
        <v>P12</v>
      </c>
      <c r="L1171" s="1">
        <v>65</v>
      </c>
      <c r="N1171" s="1">
        <f>Table1[[#This Row],[Winning Score]]-Table1[[#This Row],[Losing Score]]</f>
        <v>9</v>
      </c>
      <c r="O1171" s="1">
        <f>Table1[[#This Row],[Losing Seed]]-Table1[[#This Row],[Winning Seed]]</f>
        <v>7</v>
      </c>
      <c r="P1171" s="1" t="str">
        <f>IF(Table1[[#This Row],[SeD]]&lt;-2,Table1[[#This Row],[Winning Seed]]&amp; " over " &amp;Table1[[#This Row],[Losing Seed]],"")</f>
        <v/>
      </c>
      <c r="Q1171">
        <f>VLOOKUP(Table1[[#This Row],[Losing Seed]],'Seed History'!$N$4:$O$19,2)</f>
        <v>0.70833333333333337</v>
      </c>
      <c r="R1171" s="1">
        <f>IF(Table1[[#This Row],[Round]]="PI",0,Table1[[#This Row],[Round]]-1)</f>
        <v>1</v>
      </c>
      <c r="S1171">
        <f>Table1[[#This Row],[LAW]]-Table1[[#This Row],[LEW]]</f>
        <v>0.29166666666666663</v>
      </c>
    </row>
    <row r="1172" spans="1:19" x14ac:dyDescent="0.25">
      <c r="A1172" s="66">
        <v>37702</v>
      </c>
      <c r="B1172" s="51">
        <f>YEAR(Table1[[#This Row],[Date]])</f>
        <v>2003</v>
      </c>
      <c r="C1172" s="1">
        <v>2</v>
      </c>
      <c r="D1172" t="s">
        <v>439</v>
      </c>
      <c r="E1172" s="1">
        <v>3</v>
      </c>
      <c r="F1172" t="s">
        <v>262</v>
      </c>
      <c r="G1172" t="str">
        <f>VLOOKUP(Table1[[#This Row],[Winner]],Ranking!C:D,2,FALSE)</f>
        <v>BE</v>
      </c>
      <c r="H1172" s="1">
        <v>101</v>
      </c>
      <c r="I1172" s="1">
        <v>6</v>
      </c>
      <c r="J1172" t="s">
        <v>277</v>
      </c>
      <c r="K1172" t="str">
        <f>VLOOKUP(Table1[[#This Row],[Loser]],Ranking!C:D,2,FALSE)</f>
        <v>SEC</v>
      </c>
      <c r="L1172" s="1">
        <v>92</v>
      </c>
      <c r="M1172" s="1" t="s">
        <v>462</v>
      </c>
      <c r="N1172" s="1">
        <f>Table1[[#This Row],[Winning Score]]-Table1[[#This Row],[Losing Score]]</f>
        <v>9</v>
      </c>
      <c r="O1172" s="1">
        <f>Table1[[#This Row],[Losing Seed]]-Table1[[#This Row],[Winning Seed]]</f>
        <v>3</v>
      </c>
      <c r="P1172" s="1" t="str">
        <f>IF(Table1[[#This Row],[SeD]]&lt;-2,Table1[[#This Row],[Winning Seed]]&amp; " over " &amp;Table1[[#This Row],[Losing Seed]],"")</f>
        <v/>
      </c>
      <c r="Q1172">
        <f>VLOOKUP(Table1[[#This Row],[Losing Seed]],'Seed History'!$N$4:$O$19,2)</f>
        <v>1.0625</v>
      </c>
      <c r="R1172" s="1">
        <f>IF(Table1[[#This Row],[Round]]="PI",0,Table1[[#This Row],[Round]]-1)</f>
        <v>1</v>
      </c>
      <c r="S1172">
        <f>Table1[[#This Row],[LAW]]-Table1[[#This Row],[LEW]]</f>
        <v>-6.25E-2</v>
      </c>
    </row>
    <row r="1173" spans="1:19" x14ac:dyDescent="0.25">
      <c r="A1173" s="66">
        <v>37702</v>
      </c>
      <c r="B1173" s="51">
        <f>YEAR(Table1[[#This Row],[Date]])</f>
        <v>2003</v>
      </c>
      <c r="C1173" s="1">
        <v>2</v>
      </c>
      <c r="D1173" t="s">
        <v>439</v>
      </c>
      <c r="E1173" s="1">
        <v>5</v>
      </c>
      <c r="F1173" t="s">
        <v>39</v>
      </c>
      <c r="G1173" t="str">
        <f>VLOOKUP(Table1[[#This Row],[Winner]],Ranking!C:D,2,FALSE)</f>
        <v>B10</v>
      </c>
      <c r="H1173" s="1">
        <v>61</v>
      </c>
      <c r="I1173" s="1">
        <v>13</v>
      </c>
      <c r="J1173" t="s">
        <v>94</v>
      </c>
      <c r="K1173" t="str">
        <f>VLOOKUP(Table1[[#This Row],[Loser]],Ranking!C:D,2,FALSE)</f>
        <v>Amer</v>
      </c>
      <c r="L1173" s="1">
        <v>60</v>
      </c>
      <c r="N1173" s="1">
        <f>Table1[[#This Row],[Winning Score]]-Table1[[#This Row],[Losing Score]]</f>
        <v>1</v>
      </c>
      <c r="O1173" s="1">
        <f>Table1[[#This Row],[Losing Seed]]-Table1[[#This Row],[Winning Seed]]</f>
        <v>8</v>
      </c>
      <c r="P1173" s="1" t="str">
        <f>IF(Table1[[#This Row],[SeD]]&lt;-2,Table1[[#This Row],[Winning Seed]]&amp; " over " &amp;Table1[[#This Row],[Losing Seed]],"")</f>
        <v/>
      </c>
      <c r="Q1173">
        <f>VLOOKUP(Table1[[#This Row],[Losing Seed]],'Seed History'!$N$4:$O$19,2)</f>
        <v>0.25694444444444442</v>
      </c>
      <c r="R1173" s="1">
        <f>IF(Table1[[#This Row],[Round]]="PI",0,Table1[[#This Row],[Round]]-1)</f>
        <v>1</v>
      </c>
      <c r="S1173">
        <f>Table1[[#This Row],[LAW]]-Table1[[#This Row],[LEW]]</f>
        <v>0.74305555555555558</v>
      </c>
    </row>
    <row r="1174" spans="1:19" x14ac:dyDescent="0.25">
      <c r="A1174" s="66">
        <v>37702</v>
      </c>
      <c r="B1174" s="51">
        <f>YEAR(Table1[[#This Row],[Date]])</f>
        <v>2003</v>
      </c>
      <c r="C1174" s="1">
        <v>2</v>
      </c>
      <c r="D1174" t="s">
        <v>38</v>
      </c>
      <c r="E1174" s="1">
        <v>1</v>
      </c>
      <c r="F1174" t="s">
        <v>48</v>
      </c>
      <c r="G1174" t="str">
        <f>VLOOKUP(Table1[[#This Row],[Winner]],Ranking!C:D,2,FALSE)</f>
        <v>P12</v>
      </c>
      <c r="H1174" s="1">
        <v>96</v>
      </c>
      <c r="I1174" s="1">
        <v>9</v>
      </c>
      <c r="J1174" t="s">
        <v>71</v>
      </c>
      <c r="K1174" t="str">
        <f>VLOOKUP(Table1[[#This Row],[Loser]],Ranking!C:D,2,FALSE)</f>
        <v>WCC</v>
      </c>
      <c r="L1174" s="1">
        <v>95</v>
      </c>
      <c r="M1174" s="1" t="s">
        <v>463</v>
      </c>
      <c r="N1174" s="1">
        <f>Table1[[#This Row],[Winning Score]]-Table1[[#This Row],[Losing Score]]</f>
        <v>1</v>
      </c>
      <c r="O1174" s="1">
        <f>Table1[[#This Row],[Losing Seed]]-Table1[[#This Row],[Winning Seed]]</f>
        <v>8</v>
      </c>
      <c r="P1174" s="1" t="str">
        <f>IF(Table1[[#This Row],[SeD]]&lt;-2,Table1[[#This Row],[Winning Seed]]&amp; " over " &amp;Table1[[#This Row],[Losing Seed]],"")</f>
        <v/>
      </c>
      <c r="Q1174">
        <f>VLOOKUP(Table1[[#This Row],[Losing Seed]],'Seed History'!$N$4:$O$19,2)</f>
        <v>0.59027777777777779</v>
      </c>
      <c r="R1174" s="1">
        <f>IF(Table1[[#This Row],[Round]]="PI",0,Table1[[#This Row],[Round]]-1)</f>
        <v>1</v>
      </c>
      <c r="S1174">
        <f>Table1[[#This Row],[LAW]]-Table1[[#This Row],[LEW]]</f>
        <v>0.40972222222222221</v>
      </c>
    </row>
    <row r="1175" spans="1:19" x14ac:dyDescent="0.25">
      <c r="A1175" s="66">
        <v>37702</v>
      </c>
      <c r="B1175" s="51">
        <f>YEAR(Table1[[#This Row],[Date]])</f>
        <v>2003</v>
      </c>
      <c r="C1175" s="1">
        <v>2</v>
      </c>
      <c r="D1175" t="s">
        <v>38</v>
      </c>
      <c r="E1175" s="1">
        <v>2</v>
      </c>
      <c r="F1175" t="s">
        <v>37</v>
      </c>
      <c r="G1175" t="str">
        <f>VLOOKUP(Table1[[#This Row],[Winner]],Ranking!C:D,2,FALSE)</f>
        <v>B12</v>
      </c>
      <c r="H1175" s="1">
        <v>108</v>
      </c>
      <c r="I1175" s="1">
        <v>10</v>
      </c>
      <c r="J1175" t="s">
        <v>125</v>
      </c>
      <c r="K1175" t="str">
        <f>VLOOKUP(Table1[[#This Row],[Loser]],Ranking!C:D,2,FALSE)</f>
        <v>P12</v>
      </c>
      <c r="L1175" s="1">
        <v>76</v>
      </c>
      <c r="N1175" s="1">
        <f>Table1[[#This Row],[Winning Score]]-Table1[[#This Row],[Losing Score]]</f>
        <v>32</v>
      </c>
      <c r="O1175" s="1">
        <f>Table1[[#This Row],[Losing Seed]]-Table1[[#This Row],[Winning Seed]]</f>
        <v>8</v>
      </c>
      <c r="P1175" s="1" t="str">
        <f>IF(Table1[[#This Row],[SeD]]&lt;-2,Table1[[#This Row],[Winning Seed]]&amp; " over " &amp;Table1[[#This Row],[Losing Seed]],"")</f>
        <v/>
      </c>
      <c r="Q1175">
        <f>VLOOKUP(Table1[[#This Row],[Losing Seed]],'Seed History'!$N$4:$O$19,2)</f>
        <v>0.61805555555555558</v>
      </c>
      <c r="R1175" s="1">
        <f>IF(Table1[[#This Row],[Round]]="PI",0,Table1[[#This Row],[Round]]-1)</f>
        <v>1</v>
      </c>
      <c r="S1175">
        <f>Table1[[#This Row],[LAW]]-Table1[[#This Row],[LEW]]</f>
        <v>0.38194444444444442</v>
      </c>
    </row>
    <row r="1176" spans="1:19" x14ac:dyDescent="0.25">
      <c r="A1176" s="66">
        <v>37702</v>
      </c>
      <c r="B1176" s="51">
        <f>YEAR(Table1[[#This Row],[Date]])</f>
        <v>2003</v>
      </c>
      <c r="C1176" s="1">
        <v>2</v>
      </c>
      <c r="D1176" t="s">
        <v>38</v>
      </c>
      <c r="E1176" s="1">
        <v>3</v>
      </c>
      <c r="F1176" t="s">
        <v>64</v>
      </c>
      <c r="G1176" t="str">
        <f>VLOOKUP(Table1[[#This Row],[Winner]],Ranking!C:D,2,FALSE)</f>
        <v>ACC</v>
      </c>
      <c r="H1176" s="1">
        <v>86</v>
      </c>
      <c r="I1176" s="1">
        <v>11</v>
      </c>
      <c r="J1176" t="s">
        <v>163</v>
      </c>
      <c r="K1176" t="str">
        <f>VLOOKUP(Table1[[#This Row],[Loser]],Ranking!C:D,2,FALSE)</f>
        <v>MAC</v>
      </c>
      <c r="L1176" s="1">
        <v>60</v>
      </c>
      <c r="N1176" s="1">
        <f>Table1[[#This Row],[Winning Score]]-Table1[[#This Row],[Losing Score]]</f>
        <v>26</v>
      </c>
      <c r="O1176" s="1">
        <f>Table1[[#This Row],[Losing Seed]]-Table1[[#This Row],[Winning Seed]]</f>
        <v>8</v>
      </c>
      <c r="P1176" s="1" t="str">
        <f>IF(Table1[[#This Row],[SeD]]&lt;-2,Table1[[#This Row],[Winning Seed]]&amp; " over " &amp;Table1[[#This Row],[Losing Seed]],"")</f>
        <v/>
      </c>
      <c r="Q1176">
        <f>VLOOKUP(Table1[[#This Row],[Losing Seed]],'Seed History'!$N$4:$O$19,2)</f>
        <v>0.63194444444444442</v>
      </c>
      <c r="R1176" s="1">
        <f>IF(Table1[[#This Row],[Round]]="PI",0,Table1[[#This Row],[Round]]-1)</f>
        <v>1</v>
      </c>
      <c r="S1176">
        <f>Table1[[#This Row],[LAW]]-Table1[[#This Row],[LEW]]</f>
        <v>0.36805555555555558</v>
      </c>
    </row>
    <row r="1177" spans="1:19" x14ac:dyDescent="0.25">
      <c r="A1177" s="66">
        <v>37702</v>
      </c>
      <c r="B1177" s="51">
        <f>YEAR(Table1[[#This Row],[Date]])</f>
        <v>2003</v>
      </c>
      <c r="C1177" s="1">
        <v>2</v>
      </c>
      <c r="D1177" t="s">
        <v>63</v>
      </c>
      <c r="E1177" s="1">
        <v>5</v>
      </c>
      <c r="F1177" t="s">
        <v>80</v>
      </c>
      <c r="G1177" t="str">
        <f>VLOOKUP(Table1[[#This Row],[Winner]],Ranking!C:D,2,FALSE)</f>
        <v>BE</v>
      </c>
      <c r="H1177" s="1">
        <v>85</v>
      </c>
      <c r="I1177" s="1">
        <v>4</v>
      </c>
      <c r="J1177" t="s">
        <v>369</v>
      </c>
      <c r="K1177" t="str">
        <f>VLOOKUP(Table1[[#This Row],[Loser]],Ranking!C:D,2,FALSE)</f>
        <v>P12</v>
      </c>
      <c r="L1177" s="1">
        <v>74</v>
      </c>
      <c r="N1177" s="1">
        <f>Table1[[#This Row],[Winning Score]]-Table1[[#This Row],[Losing Score]]</f>
        <v>11</v>
      </c>
      <c r="O1177" s="1">
        <f>Table1[[#This Row],[Losing Seed]]-Table1[[#This Row],[Winning Seed]]</f>
        <v>-1</v>
      </c>
      <c r="P1177" s="1" t="str">
        <f>IF(Table1[[#This Row],[SeD]]&lt;-2,Table1[[#This Row],[Winning Seed]]&amp; " over " &amp;Table1[[#This Row],[Losing Seed]],"")</f>
        <v/>
      </c>
      <c r="Q1177">
        <f>VLOOKUP(Table1[[#This Row],[Losing Seed]],'Seed History'!$N$4:$O$19,2)</f>
        <v>1.5208333333333333</v>
      </c>
      <c r="R1177" s="1">
        <f>IF(Table1[[#This Row],[Round]]="PI",0,Table1[[#This Row],[Round]]-1)</f>
        <v>1</v>
      </c>
      <c r="S1177">
        <f>Table1[[#This Row],[LAW]]-Table1[[#This Row],[LEW]]</f>
        <v>-0.52083333333333326</v>
      </c>
    </row>
    <row r="1178" spans="1:19" x14ac:dyDescent="0.25">
      <c r="A1178" s="66">
        <v>37702</v>
      </c>
      <c r="B1178" s="51">
        <f>YEAR(Table1[[#This Row],[Date]])</f>
        <v>2003</v>
      </c>
      <c r="C1178" s="1">
        <v>2</v>
      </c>
      <c r="D1178" t="s">
        <v>38</v>
      </c>
      <c r="E1178" s="1">
        <v>5</v>
      </c>
      <c r="F1178" t="s">
        <v>35</v>
      </c>
      <c r="G1178" t="str">
        <f>VLOOKUP(Table1[[#This Row],[Winner]],Ranking!C:D,2,FALSE)</f>
        <v>ACC</v>
      </c>
      <c r="H1178" s="1">
        <v>68</v>
      </c>
      <c r="I1178" s="1">
        <v>4</v>
      </c>
      <c r="J1178" t="s">
        <v>230</v>
      </c>
      <c r="K1178" t="str">
        <f>VLOOKUP(Table1[[#This Row],[Loser]],Ranking!C:D,2,FALSE)</f>
        <v>B10</v>
      </c>
      <c r="L1178" s="1">
        <v>60</v>
      </c>
      <c r="N1178" s="1">
        <f>Table1[[#This Row],[Winning Score]]-Table1[[#This Row],[Losing Score]]</f>
        <v>8</v>
      </c>
      <c r="O1178" s="1">
        <f>Table1[[#This Row],[Losing Seed]]-Table1[[#This Row],[Winning Seed]]</f>
        <v>-1</v>
      </c>
      <c r="P1178" s="1" t="str">
        <f>IF(Table1[[#This Row],[SeD]]&lt;-2,Table1[[#This Row],[Winning Seed]]&amp; " over " &amp;Table1[[#This Row],[Losing Seed]],"")</f>
        <v/>
      </c>
      <c r="Q1178">
        <f>VLOOKUP(Table1[[#This Row],[Losing Seed]],'Seed History'!$N$4:$O$19,2)</f>
        <v>1.5208333333333333</v>
      </c>
      <c r="R1178" s="1">
        <f>IF(Table1[[#This Row],[Round]]="PI",0,Table1[[#This Row],[Round]]-1)</f>
        <v>1</v>
      </c>
      <c r="S1178">
        <f>Table1[[#This Row],[LAW]]-Table1[[#This Row],[LEW]]</f>
        <v>-0.52083333333333326</v>
      </c>
    </row>
    <row r="1179" spans="1:19" x14ac:dyDescent="0.25">
      <c r="A1179" s="66">
        <v>37703</v>
      </c>
      <c r="B1179" s="51">
        <f>YEAR(Table1[[#This Row],[Date]])</f>
        <v>2003</v>
      </c>
      <c r="C1179" s="1">
        <v>2</v>
      </c>
      <c r="D1179" t="s">
        <v>49</v>
      </c>
      <c r="E1179" s="1">
        <v>10</v>
      </c>
      <c r="F1179" t="s">
        <v>129</v>
      </c>
      <c r="G1179" t="str">
        <f>VLOOKUP(Table1[[#This Row],[Winner]],Ranking!C:D,2,FALSE)</f>
        <v>SEC</v>
      </c>
      <c r="H1179" s="1">
        <v>68</v>
      </c>
      <c r="I1179" s="1">
        <v>2</v>
      </c>
      <c r="J1179" t="s">
        <v>408</v>
      </c>
      <c r="K1179" t="str">
        <f>VLOOKUP(Table1[[#This Row],[Loser]],Ranking!C:D,2,FALSE)</f>
        <v>ACC</v>
      </c>
      <c r="L1179" s="1">
        <v>62</v>
      </c>
      <c r="N1179" s="1">
        <f>Table1[[#This Row],[Winning Score]]-Table1[[#This Row],[Losing Score]]</f>
        <v>6</v>
      </c>
      <c r="O1179" s="1">
        <f>Table1[[#This Row],[Losing Seed]]-Table1[[#This Row],[Winning Seed]]</f>
        <v>-8</v>
      </c>
      <c r="P1179" s="1" t="str">
        <f>IF(Table1[[#This Row],[SeD]]&lt;-2,Table1[[#This Row],[Winning Seed]]&amp; " over " &amp;Table1[[#This Row],[Losing Seed]],"")</f>
        <v>10 over 2</v>
      </c>
      <c r="Q1179">
        <f>VLOOKUP(Table1[[#This Row],[Losing Seed]],'Seed History'!$N$4:$O$19,2)</f>
        <v>2.3472222222222223</v>
      </c>
      <c r="R1179" s="1">
        <f>IF(Table1[[#This Row],[Round]]="PI",0,Table1[[#This Row],[Round]]-1)</f>
        <v>1</v>
      </c>
      <c r="S1179">
        <f>Table1[[#This Row],[LAW]]-Table1[[#This Row],[LEW]]</f>
        <v>-1.3472222222222223</v>
      </c>
    </row>
    <row r="1180" spans="1:19" x14ac:dyDescent="0.25">
      <c r="A1180" s="66">
        <v>37703</v>
      </c>
      <c r="B1180" s="51">
        <f>YEAR(Table1[[#This Row],[Date]])</f>
        <v>2003</v>
      </c>
      <c r="C1180" s="1">
        <v>2</v>
      </c>
      <c r="D1180" t="s">
        <v>49</v>
      </c>
      <c r="E1180" s="1">
        <v>12</v>
      </c>
      <c r="F1180" t="s">
        <v>33</v>
      </c>
      <c r="G1180" t="str">
        <f>VLOOKUP(Table1[[#This Row],[Winner]],Ranking!C:D,2,FALSE)</f>
        <v>BE</v>
      </c>
      <c r="H1180" s="1">
        <v>79</v>
      </c>
      <c r="I1180" s="1">
        <v>4</v>
      </c>
      <c r="J1180" t="s">
        <v>54</v>
      </c>
      <c r="K1180" t="str">
        <f>VLOOKUP(Table1[[#This Row],[Loser]],Ranking!C:D,2,FALSE)</f>
        <v>ACC</v>
      </c>
      <c r="L1180" s="1">
        <v>71</v>
      </c>
      <c r="N1180" s="1">
        <f>Table1[[#This Row],[Winning Score]]-Table1[[#This Row],[Losing Score]]</f>
        <v>8</v>
      </c>
      <c r="O1180" s="1">
        <f>Table1[[#This Row],[Losing Seed]]-Table1[[#This Row],[Winning Seed]]</f>
        <v>-8</v>
      </c>
      <c r="P1180" s="1" t="str">
        <f>IF(Table1[[#This Row],[SeD]]&lt;-2,Table1[[#This Row],[Winning Seed]]&amp; " over " &amp;Table1[[#This Row],[Losing Seed]],"")</f>
        <v>12 over 4</v>
      </c>
      <c r="Q1180">
        <f>VLOOKUP(Table1[[#This Row],[Losing Seed]],'Seed History'!$N$4:$O$19,2)</f>
        <v>1.5208333333333333</v>
      </c>
      <c r="R1180" s="1">
        <f>IF(Table1[[#This Row],[Round]]="PI",0,Table1[[#This Row],[Round]]-1)</f>
        <v>1</v>
      </c>
      <c r="S1180">
        <f>Table1[[#This Row],[LAW]]-Table1[[#This Row],[LEW]]</f>
        <v>-0.52083333333333326</v>
      </c>
    </row>
    <row r="1181" spans="1:19" x14ac:dyDescent="0.25">
      <c r="A1181" s="66">
        <v>37703</v>
      </c>
      <c r="B1181" s="51">
        <f>YEAR(Table1[[#This Row],[Date]])</f>
        <v>2003</v>
      </c>
      <c r="C1181" s="1">
        <v>2</v>
      </c>
      <c r="D1181" t="s">
        <v>63</v>
      </c>
      <c r="E1181" s="1">
        <v>7</v>
      </c>
      <c r="F1181" t="s">
        <v>271</v>
      </c>
      <c r="G1181" t="str">
        <f>VLOOKUP(Table1[[#This Row],[Winner]],Ranking!C:D,2,FALSE)</f>
        <v>B10</v>
      </c>
      <c r="H1181" s="1">
        <v>68</v>
      </c>
      <c r="I1181" s="1">
        <v>2</v>
      </c>
      <c r="J1181" t="s">
        <v>81</v>
      </c>
      <c r="K1181" t="str">
        <f>VLOOKUP(Table1[[#This Row],[Loser]],Ranking!C:D,2,FALSE)</f>
        <v>SEC</v>
      </c>
      <c r="L1181" s="1">
        <v>46</v>
      </c>
      <c r="N1181" s="1">
        <f>Table1[[#This Row],[Winning Score]]-Table1[[#This Row],[Losing Score]]</f>
        <v>22</v>
      </c>
      <c r="O1181" s="1">
        <f>Table1[[#This Row],[Losing Seed]]-Table1[[#This Row],[Winning Seed]]</f>
        <v>-5</v>
      </c>
      <c r="P1181" s="1" t="str">
        <f>IF(Table1[[#This Row],[SeD]]&lt;-2,Table1[[#This Row],[Winning Seed]]&amp; " over " &amp;Table1[[#This Row],[Losing Seed]],"")</f>
        <v>7 over 2</v>
      </c>
      <c r="Q1181">
        <f>VLOOKUP(Table1[[#This Row],[Losing Seed]],'Seed History'!$N$4:$O$19,2)</f>
        <v>2.3472222222222223</v>
      </c>
      <c r="R1181" s="1">
        <f>IF(Table1[[#This Row],[Round]]="PI",0,Table1[[#This Row],[Round]]-1)</f>
        <v>1</v>
      </c>
      <c r="S1181">
        <f>Table1[[#This Row],[LAW]]-Table1[[#This Row],[LEW]]</f>
        <v>-1.3472222222222223</v>
      </c>
    </row>
    <row r="1182" spans="1:19" x14ac:dyDescent="0.25">
      <c r="A1182" s="66">
        <v>37703</v>
      </c>
      <c r="B1182" s="51">
        <f>YEAR(Table1[[#This Row],[Date]])</f>
        <v>2003</v>
      </c>
      <c r="C1182" s="1">
        <v>2</v>
      </c>
      <c r="D1182" t="s">
        <v>49</v>
      </c>
      <c r="E1182" s="1">
        <v>3</v>
      </c>
      <c r="F1182" t="s">
        <v>86</v>
      </c>
      <c r="G1182" t="str">
        <f>VLOOKUP(Table1[[#This Row],[Winner]],Ranking!C:D,2,FALSE)</f>
        <v>ACC</v>
      </c>
      <c r="H1182" s="1">
        <v>68</v>
      </c>
      <c r="I1182" s="1">
        <v>6</v>
      </c>
      <c r="J1182" t="s">
        <v>316</v>
      </c>
      <c r="K1182" t="str">
        <f>VLOOKUP(Table1[[#This Row],[Loser]],Ranking!C:D,2,FALSE)</f>
        <v>B12</v>
      </c>
      <c r="L1182" s="1">
        <v>56</v>
      </c>
      <c r="N1182" s="1">
        <f>Table1[[#This Row],[Winning Score]]-Table1[[#This Row],[Losing Score]]</f>
        <v>12</v>
      </c>
      <c r="O1182" s="1">
        <f>Table1[[#This Row],[Losing Seed]]-Table1[[#This Row],[Winning Seed]]</f>
        <v>3</v>
      </c>
      <c r="P1182" s="1" t="str">
        <f>IF(Table1[[#This Row],[SeD]]&lt;-2,Table1[[#This Row],[Winning Seed]]&amp; " over " &amp;Table1[[#This Row],[Losing Seed]],"")</f>
        <v/>
      </c>
      <c r="Q1182">
        <f>VLOOKUP(Table1[[#This Row],[Losing Seed]],'Seed History'!$N$4:$O$19,2)</f>
        <v>1.0625</v>
      </c>
      <c r="R1182" s="1">
        <f>IF(Table1[[#This Row],[Round]]="PI",0,Table1[[#This Row],[Round]]-1)</f>
        <v>1</v>
      </c>
      <c r="S1182">
        <f>Table1[[#This Row],[LAW]]-Table1[[#This Row],[LEW]]</f>
        <v>-6.25E-2</v>
      </c>
    </row>
    <row r="1183" spans="1:19" x14ac:dyDescent="0.25">
      <c r="A1183" s="66">
        <v>37703</v>
      </c>
      <c r="B1183" s="51">
        <f>YEAR(Table1[[#This Row],[Date]])</f>
        <v>2003</v>
      </c>
      <c r="C1183" s="1">
        <v>2</v>
      </c>
      <c r="D1183" t="s">
        <v>439</v>
      </c>
      <c r="E1183" s="1">
        <v>1</v>
      </c>
      <c r="F1183" t="s">
        <v>26</v>
      </c>
      <c r="G1183" t="str">
        <f>VLOOKUP(Table1[[#This Row],[Winner]],Ranking!C:D,2,FALSE)</f>
        <v>SEC</v>
      </c>
      <c r="H1183" s="1">
        <v>74</v>
      </c>
      <c r="I1183" s="1">
        <v>9</v>
      </c>
      <c r="J1183" t="s">
        <v>65</v>
      </c>
      <c r="K1183" t="str">
        <f>VLOOKUP(Table1[[#This Row],[Loser]],Ranking!C:D,2,FALSE)</f>
        <v>P12</v>
      </c>
      <c r="L1183" s="1">
        <v>54</v>
      </c>
      <c r="N1183" s="1">
        <f>Table1[[#This Row],[Winning Score]]-Table1[[#This Row],[Losing Score]]</f>
        <v>20</v>
      </c>
      <c r="O1183" s="1">
        <f>Table1[[#This Row],[Losing Seed]]-Table1[[#This Row],[Winning Seed]]</f>
        <v>8</v>
      </c>
      <c r="P1183" s="1" t="str">
        <f>IF(Table1[[#This Row],[SeD]]&lt;-2,Table1[[#This Row],[Winning Seed]]&amp; " over " &amp;Table1[[#This Row],[Losing Seed]],"")</f>
        <v/>
      </c>
      <c r="Q1183">
        <f>VLOOKUP(Table1[[#This Row],[Losing Seed]],'Seed History'!$N$4:$O$19,2)</f>
        <v>0.59027777777777779</v>
      </c>
      <c r="R1183" s="1">
        <f>IF(Table1[[#This Row],[Round]]="PI",0,Table1[[#This Row],[Round]]-1)</f>
        <v>1</v>
      </c>
      <c r="S1183">
        <f>Table1[[#This Row],[LAW]]-Table1[[#This Row],[LEW]]</f>
        <v>0.40972222222222221</v>
      </c>
    </row>
    <row r="1184" spans="1:19" x14ac:dyDescent="0.25">
      <c r="A1184" s="66">
        <v>37703</v>
      </c>
      <c r="B1184" s="51">
        <f>YEAR(Table1[[#This Row],[Date]])</f>
        <v>2003</v>
      </c>
      <c r="C1184" s="1">
        <v>2</v>
      </c>
      <c r="D1184" t="s">
        <v>439</v>
      </c>
      <c r="E1184" s="1">
        <v>2</v>
      </c>
      <c r="F1184" t="s">
        <v>83</v>
      </c>
      <c r="G1184" t="str">
        <f>VLOOKUP(Table1[[#This Row],[Winner]],Ranking!C:D,2,FALSE)</f>
        <v>ACC</v>
      </c>
      <c r="H1184" s="1">
        <v>74</v>
      </c>
      <c r="I1184" s="1">
        <v>7</v>
      </c>
      <c r="J1184" t="s">
        <v>36</v>
      </c>
      <c r="K1184" t="str">
        <f>VLOOKUP(Table1[[#This Row],[Loser]],Ranking!C:D,2,FALSE)</f>
        <v>B10</v>
      </c>
      <c r="L1184" s="1">
        <v>52</v>
      </c>
      <c r="N1184" s="1">
        <f>Table1[[#This Row],[Winning Score]]-Table1[[#This Row],[Losing Score]]</f>
        <v>22</v>
      </c>
      <c r="O1184" s="1">
        <f>Table1[[#This Row],[Losing Seed]]-Table1[[#This Row],[Winning Seed]]</f>
        <v>5</v>
      </c>
      <c r="P1184" s="1" t="str">
        <f>IF(Table1[[#This Row],[SeD]]&lt;-2,Table1[[#This Row],[Winning Seed]]&amp; " over " &amp;Table1[[#This Row],[Losing Seed]],"")</f>
        <v/>
      </c>
      <c r="Q1184">
        <f>VLOOKUP(Table1[[#This Row],[Losing Seed]],'Seed History'!$N$4:$O$19,2)</f>
        <v>0.90277777777777779</v>
      </c>
      <c r="R1184" s="1">
        <f>IF(Table1[[#This Row],[Round]]="PI",0,Table1[[#This Row],[Round]]-1)</f>
        <v>1</v>
      </c>
      <c r="S1184">
        <f>Table1[[#This Row],[LAW]]-Table1[[#This Row],[LEW]]</f>
        <v>9.722222222222221E-2</v>
      </c>
    </row>
    <row r="1185" spans="1:19" x14ac:dyDescent="0.25">
      <c r="A1185" s="66">
        <v>37703</v>
      </c>
      <c r="B1185" s="51">
        <f>YEAR(Table1[[#This Row],[Date]])</f>
        <v>2003</v>
      </c>
      <c r="C1185" s="1">
        <v>2</v>
      </c>
      <c r="D1185" t="s">
        <v>63</v>
      </c>
      <c r="E1185" s="1">
        <v>1</v>
      </c>
      <c r="F1185" t="s">
        <v>34</v>
      </c>
      <c r="G1185" t="str">
        <f>VLOOKUP(Table1[[#This Row],[Winner]],Ranking!C:D,2,FALSE)</f>
        <v>B12</v>
      </c>
      <c r="H1185" s="1">
        <v>77</v>
      </c>
      <c r="I1185" s="1">
        <v>9</v>
      </c>
      <c r="J1185" t="s">
        <v>29</v>
      </c>
      <c r="K1185" t="str">
        <f>VLOOKUP(Table1[[#This Row],[Loser]],Ranking!C:D,2,FALSE)</f>
        <v>B10</v>
      </c>
      <c r="L1185" s="1">
        <v>67</v>
      </c>
      <c r="N1185" s="1">
        <f>Table1[[#This Row],[Winning Score]]-Table1[[#This Row],[Losing Score]]</f>
        <v>10</v>
      </c>
      <c r="O1185" s="1">
        <f>Table1[[#This Row],[Losing Seed]]-Table1[[#This Row],[Winning Seed]]</f>
        <v>8</v>
      </c>
      <c r="P1185" s="1" t="str">
        <f>IF(Table1[[#This Row],[SeD]]&lt;-2,Table1[[#This Row],[Winning Seed]]&amp; " over " &amp;Table1[[#This Row],[Losing Seed]],"")</f>
        <v/>
      </c>
      <c r="Q1185">
        <f>VLOOKUP(Table1[[#This Row],[Losing Seed]],'Seed History'!$N$4:$O$19,2)</f>
        <v>0.59027777777777779</v>
      </c>
      <c r="R1185" s="1">
        <f>IF(Table1[[#This Row],[Round]]="PI",0,Table1[[#This Row],[Round]]-1)</f>
        <v>1</v>
      </c>
      <c r="S1185">
        <f>Table1[[#This Row],[LAW]]-Table1[[#This Row],[LEW]]</f>
        <v>0.40972222222222221</v>
      </c>
    </row>
    <row r="1186" spans="1:19" x14ac:dyDescent="0.25">
      <c r="A1186" s="66">
        <v>37703</v>
      </c>
      <c r="B1186" s="51">
        <f>YEAR(Table1[[#This Row],[Date]])</f>
        <v>2003</v>
      </c>
      <c r="C1186" s="1">
        <v>2</v>
      </c>
      <c r="D1186" t="s">
        <v>63</v>
      </c>
      <c r="E1186" s="1">
        <v>6</v>
      </c>
      <c r="F1186" t="s">
        <v>31</v>
      </c>
      <c r="G1186" t="str">
        <f>VLOOKUP(Table1[[#This Row],[Winner]],Ranking!C:D,2,FALSE)</f>
        <v>B10</v>
      </c>
      <c r="H1186" s="1">
        <v>77</v>
      </c>
      <c r="I1186" s="1">
        <v>3</v>
      </c>
      <c r="J1186" t="s">
        <v>44</v>
      </c>
      <c r="K1186" t="str">
        <f>VLOOKUP(Table1[[#This Row],[Loser]],Ranking!C:D,2,FALSE)</f>
        <v>BE</v>
      </c>
      <c r="L1186" s="1">
        <v>64</v>
      </c>
      <c r="N1186" s="1">
        <f>Table1[[#This Row],[Winning Score]]-Table1[[#This Row],[Losing Score]]</f>
        <v>13</v>
      </c>
      <c r="O1186" s="1">
        <f>Table1[[#This Row],[Losing Seed]]-Table1[[#This Row],[Winning Seed]]</f>
        <v>-3</v>
      </c>
      <c r="P1186" s="1" t="str">
        <f>IF(Table1[[#This Row],[SeD]]&lt;-2,Table1[[#This Row],[Winning Seed]]&amp; " over " &amp;Table1[[#This Row],[Losing Seed]],"")</f>
        <v>6 over 3</v>
      </c>
      <c r="Q1186">
        <f>VLOOKUP(Table1[[#This Row],[Losing Seed]],'Seed History'!$N$4:$O$19,2)</f>
        <v>1.8472222222222223</v>
      </c>
      <c r="R1186" s="1">
        <f>IF(Table1[[#This Row],[Round]]="PI",0,Table1[[#This Row],[Round]]-1)</f>
        <v>1</v>
      </c>
      <c r="S1186">
        <f>Table1[[#This Row],[LAW]]-Table1[[#This Row],[LEW]]</f>
        <v>-0.84722222222222232</v>
      </c>
    </row>
    <row r="1187" spans="1:19" x14ac:dyDescent="0.25">
      <c r="A1187" s="66">
        <v>37707</v>
      </c>
      <c r="B1187" s="51">
        <f>YEAR(Table1[[#This Row],[Date]])</f>
        <v>2003</v>
      </c>
      <c r="C1187" s="1">
        <v>3</v>
      </c>
      <c r="D1187" t="s">
        <v>439</v>
      </c>
      <c r="E1187" s="1">
        <v>1</v>
      </c>
      <c r="F1187" t="s">
        <v>26</v>
      </c>
      <c r="G1187" t="str">
        <f>VLOOKUP(Table1[[#This Row],[Winner]],Ranking!C:D,2,FALSE)</f>
        <v>SEC</v>
      </c>
      <c r="H1187" s="1">
        <v>63</v>
      </c>
      <c r="I1187" s="1">
        <v>5</v>
      </c>
      <c r="J1187" t="s">
        <v>39</v>
      </c>
      <c r="K1187" t="str">
        <f>VLOOKUP(Table1[[#This Row],[Loser]],Ranking!C:D,2,FALSE)</f>
        <v>B10</v>
      </c>
      <c r="L1187" s="1">
        <v>57</v>
      </c>
      <c r="N1187" s="1">
        <f>Table1[[#This Row],[Winning Score]]-Table1[[#This Row],[Losing Score]]</f>
        <v>6</v>
      </c>
      <c r="O1187" s="1">
        <f>Table1[[#This Row],[Losing Seed]]-Table1[[#This Row],[Winning Seed]]</f>
        <v>4</v>
      </c>
      <c r="P1187" s="1" t="str">
        <f>IF(Table1[[#This Row],[SeD]]&lt;-2,Table1[[#This Row],[Winning Seed]]&amp; " over " &amp;Table1[[#This Row],[Losing Seed]],"")</f>
        <v/>
      </c>
      <c r="Q1187">
        <f>VLOOKUP(Table1[[#This Row],[Losing Seed]],'Seed History'!$N$4:$O$19,2)</f>
        <v>1.1180555555555556</v>
      </c>
      <c r="R1187" s="1">
        <f>IF(Table1[[#This Row],[Round]]="PI",0,Table1[[#This Row],[Round]]-1)</f>
        <v>2</v>
      </c>
      <c r="S1187">
        <f>Table1[[#This Row],[LAW]]-Table1[[#This Row],[LEW]]</f>
        <v>0.88194444444444442</v>
      </c>
    </row>
    <row r="1188" spans="1:19" x14ac:dyDescent="0.25">
      <c r="A1188" s="66">
        <v>37707</v>
      </c>
      <c r="B1188" s="51">
        <f>YEAR(Table1[[#This Row],[Date]])</f>
        <v>2003</v>
      </c>
      <c r="C1188" s="1">
        <v>3</v>
      </c>
      <c r="D1188" t="s">
        <v>38</v>
      </c>
      <c r="E1188" s="1">
        <v>1</v>
      </c>
      <c r="F1188" t="s">
        <v>48</v>
      </c>
      <c r="G1188" t="str">
        <f>VLOOKUP(Table1[[#This Row],[Winner]],Ranking!C:D,2,FALSE)</f>
        <v>P12</v>
      </c>
      <c r="H1188" s="1">
        <v>88</v>
      </c>
      <c r="I1188" s="1">
        <v>5</v>
      </c>
      <c r="J1188" t="s">
        <v>35</v>
      </c>
      <c r="K1188" t="str">
        <f>VLOOKUP(Table1[[#This Row],[Loser]],Ranking!C:D,2,FALSE)</f>
        <v>ACC</v>
      </c>
      <c r="L1188" s="1">
        <v>71</v>
      </c>
      <c r="N1188" s="1">
        <f>Table1[[#This Row],[Winning Score]]-Table1[[#This Row],[Losing Score]]</f>
        <v>17</v>
      </c>
      <c r="O1188" s="1">
        <f>Table1[[#This Row],[Losing Seed]]-Table1[[#This Row],[Winning Seed]]</f>
        <v>4</v>
      </c>
      <c r="P1188" s="1" t="str">
        <f>IF(Table1[[#This Row],[SeD]]&lt;-2,Table1[[#This Row],[Winning Seed]]&amp; " over " &amp;Table1[[#This Row],[Losing Seed]],"")</f>
        <v/>
      </c>
      <c r="Q1188">
        <f>VLOOKUP(Table1[[#This Row],[Losing Seed]],'Seed History'!$N$4:$O$19,2)</f>
        <v>1.1180555555555556</v>
      </c>
      <c r="R1188" s="1">
        <f>IF(Table1[[#This Row],[Round]]="PI",0,Table1[[#This Row],[Round]]-1)</f>
        <v>2</v>
      </c>
      <c r="S1188">
        <f>Table1[[#This Row],[LAW]]-Table1[[#This Row],[LEW]]</f>
        <v>0.88194444444444442</v>
      </c>
    </row>
    <row r="1189" spans="1:19" x14ac:dyDescent="0.25">
      <c r="A1189" s="66">
        <v>37707</v>
      </c>
      <c r="B1189" s="51">
        <f>YEAR(Table1[[#This Row],[Date]])</f>
        <v>2003</v>
      </c>
      <c r="C1189" s="1">
        <v>3</v>
      </c>
      <c r="D1189" t="s">
        <v>38</v>
      </c>
      <c r="E1189" s="1">
        <v>2</v>
      </c>
      <c r="F1189" t="s">
        <v>37</v>
      </c>
      <c r="G1189" t="str">
        <f>VLOOKUP(Table1[[#This Row],[Winner]],Ranking!C:D,2,FALSE)</f>
        <v>B12</v>
      </c>
      <c r="H1189" s="1">
        <v>69</v>
      </c>
      <c r="I1189" s="1">
        <v>3</v>
      </c>
      <c r="J1189" t="s">
        <v>64</v>
      </c>
      <c r="K1189" t="str">
        <f>VLOOKUP(Table1[[#This Row],[Loser]],Ranking!C:D,2,FALSE)</f>
        <v>ACC</v>
      </c>
      <c r="L1189" s="1">
        <v>65</v>
      </c>
      <c r="N1189" s="1">
        <f>Table1[[#This Row],[Winning Score]]-Table1[[#This Row],[Losing Score]]</f>
        <v>4</v>
      </c>
      <c r="O1189" s="1">
        <f>Table1[[#This Row],[Losing Seed]]-Table1[[#This Row],[Winning Seed]]</f>
        <v>1</v>
      </c>
      <c r="P1189" s="1" t="str">
        <f>IF(Table1[[#This Row],[SeD]]&lt;-2,Table1[[#This Row],[Winning Seed]]&amp; " over " &amp;Table1[[#This Row],[Losing Seed]],"")</f>
        <v/>
      </c>
      <c r="Q1189">
        <f>VLOOKUP(Table1[[#This Row],[Losing Seed]],'Seed History'!$N$4:$O$19,2)</f>
        <v>1.8472222222222223</v>
      </c>
      <c r="R1189" s="1">
        <f>IF(Table1[[#This Row],[Round]]="PI",0,Table1[[#This Row],[Round]]-1)</f>
        <v>2</v>
      </c>
      <c r="S1189">
        <f>Table1[[#This Row],[LAW]]-Table1[[#This Row],[LEW]]</f>
        <v>0.15277777777777768</v>
      </c>
    </row>
    <row r="1190" spans="1:19" x14ac:dyDescent="0.25">
      <c r="A1190" s="66">
        <v>37707</v>
      </c>
      <c r="B1190" s="51">
        <f>YEAR(Table1[[#This Row],[Date]])</f>
        <v>2003</v>
      </c>
      <c r="C1190" s="1">
        <v>3</v>
      </c>
      <c r="D1190" t="s">
        <v>439</v>
      </c>
      <c r="E1190" s="1">
        <v>3</v>
      </c>
      <c r="F1190" t="s">
        <v>262</v>
      </c>
      <c r="G1190" t="str">
        <f>VLOOKUP(Table1[[#This Row],[Winner]],Ranking!C:D,2,FALSE)</f>
        <v>BE</v>
      </c>
      <c r="H1190" s="1">
        <v>77</v>
      </c>
      <c r="I1190" s="1">
        <v>2</v>
      </c>
      <c r="J1190" t="s">
        <v>83</v>
      </c>
      <c r="K1190" t="str">
        <f>VLOOKUP(Table1[[#This Row],[Loser]],Ranking!C:D,2,FALSE)</f>
        <v>ACC</v>
      </c>
      <c r="L1190" s="1">
        <v>74</v>
      </c>
      <c r="N1190" s="1">
        <f>Table1[[#This Row],[Winning Score]]-Table1[[#This Row],[Losing Score]]</f>
        <v>3</v>
      </c>
      <c r="O1190" s="1">
        <f>Table1[[#This Row],[Losing Seed]]-Table1[[#This Row],[Winning Seed]]</f>
        <v>-1</v>
      </c>
      <c r="P1190" s="1" t="str">
        <f>IF(Table1[[#This Row],[SeD]]&lt;-2,Table1[[#This Row],[Winning Seed]]&amp; " over " &amp;Table1[[#This Row],[Losing Seed]],"")</f>
        <v/>
      </c>
      <c r="Q1190">
        <f>VLOOKUP(Table1[[#This Row],[Losing Seed]],'Seed History'!$N$4:$O$19,2)</f>
        <v>2.3472222222222223</v>
      </c>
      <c r="R1190" s="1">
        <f>IF(Table1[[#This Row],[Round]]="PI",0,Table1[[#This Row],[Round]]-1)</f>
        <v>2</v>
      </c>
      <c r="S1190">
        <f>Table1[[#This Row],[LAW]]-Table1[[#This Row],[LEW]]</f>
        <v>-0.34722222222222232</v>
      </c>
    </row>
    <row r="1191" spans="1:19" x14ac:dyDescent="0.25">
      <c r="A1191" s="66">
        <v>37708</v>
      </c>
      <c r="B1191" s="51">
        <f>YEAR(Table1[[#This Row],[Date]])</f>
        <v>2003</v>
      </c>
      <c r="C1191" s="1">
        <v>3</v>
      </c>
      <c r="D1191" t="s">
        <v>49</v>
      </c>
      <c r="E1191" s="1">
        <v>1</v>
      </c>
      <c r="F1191" t="s">
        <v>58</v>
      </c>
      <c r="G1191" t="str">
        <f>VLOOKUP(Table1[[#This Row],[Winner]],Ranking!C:D,2,FALSE)</f>
        <v>B12</v>
      </c>
      <c r="H1191" s="1">
        <v>65</v>
      </c>
      <c r="I1191" s="1">
        <v>12</v>
      </c>
      <c r="J1191" t="s">
        <v>33</v>
      </c>
      <c r="K1191" t="str">
        <f>VLOOKUP(Table1[[#This Row],[Loser]],Ranking!C:D,2,FALSE)</f>
        <v>BE</v>
      </c>
      <c r="L1191" s="1">
        <v>54</v>
      </c>
      <c r="N1191" s="1">
        <f>Table1[[#This Row],[Winning Score]]-Table1[[#This Row],[Losing Score]]</f>
        <v>11</v>
      </c>
      <c r="O1191" s="1">
        <f>Table1[[#This Row],[Losing Seed]]-Table1[[#This Row],[Winning Seed]]</f>
        <v>11</v>
      </c>
      <c r="P1191" s="1" t="str">
        <f>IF(Table1[[#This Row],[SeD]]&lt;-2,Table1[[#This Row],[Winning Seed]]&amp; " over " &amp;Table1[[#This Row],[Losing Seed]],"")</f>
        <v/>
      </c>
      <c r="Q1191">
        <f>VLOOKUP(Table1[[#This Row],[Losing Seed]],'Seed History'!$N$4:$O$19,2)</f>
        <v>0.52083333333333337</v>
      </c>
      <c r="R1191" s="1">
        <f>IF(Table1[[#This Row],[Round]]="PI",0,Table1[[#This Row],[Round]]-1)</f>
        <v>2</v>
      </c>
      <c r="S1191">
        <f>Table1[[#This Row],[LAW]]-Table1[[#This Row],[LEW]]</f>
        <v>1.4791666666666665</v>
      </c>
    </row>
    <row r="1192" spans="1:19" x14ac:dyDescent="0.25">
      <c r="A1192" s="66">
        <v>37708</v>
      </c>
      <c r="B1192" s="51">
        <f>YEAR(Table1[[#This Row],[Date]])</f>
        <v>2003</v>
      </c>
      <c r="C1192" s="1">
        <v>3</v>
      </c>
      <c r="D1192" t="s">
        <v>49</v>
      </c>
      <c r="E1192" s="1">
        <v>3</v>
      </c>
      <c r="F1192" t="s">
        <v>86</v>
      </c>
      <c r="G1192" t="str">
        <f>VLOOKUP(Table1[[#This Row],[Winner]],Ranking!C:D,2,FALSE)</f>
        <v>ACC</v>
      </c>
      <c r="H1192" s="1">
        <v>79</v>
      </c>
      <c r="I1192" s="1">
        <v>10</v>
      </c>
      <c r="J1192" t="s">
        <v>129</v>
      </c>
      <c r="K1192" t="str">
        <f>VLOOKUP(Table1[[#This Row],[Loser]],Ranking!C:D,2,FALSE)</f>
        <v>SEC</v>
      </c>
      <c r="L1192" s="1">
        <v>78</v>
      </c>
      <c r="N1192" s="1">
        <f>Table1[[#This Row],[Winning Score]]-Table1[[#This Row],[Losing Score]]</f>
        <v>1</v>
      </c>
      <c r="O1192" s="1">
        <f>Table1[[#This Row],[Losing Seed]]-Table1[[#This Row],[Winning Seed]]</f>
        <v>7</v>
      </c>
      <c r="P1192" s="1" t="str">
        <f>IF(Table1[[#This Row],[SeD]]&lt;-2,Table1[[#This Row],[Winning Seed]]&amp; " over " &amp;Table1[[#This Row],[Losing Seed]],"")</f>
        <v/>
      </c>
      <c r="Q1192">
        <f>VLOOKUP(Table1[[#This Row],[Losing Seed]],'Seed History'!$N$4:$O$19,2)</f>
        <v>0.61805555555555558</v>
      </c>
      <c r="R1192" s="1">
        <f>IF(Table1[[#This Row],[Round]]="PI",0,Table1[[#This Row],[Round]]-1)</f>
        <v>2</v>
      </c>
      <c r="S1192">
        <f>Table1[[#This Row],[LAW]]-Table1[[#This Row],[LEW]]</f>
        <v>1.3819444444444444</v>
      </c>
    </row>
    <row r="1193" spans="1:19" x14ac:dyDescent="0.25">
      <c r="A1193" s="66">
        <v>37708</v>
      </c>
      <c r="B1193" s="51">
        <f>YEAR(Table1[[#This Row],[Date]])</f>
        <v>2003</v>
      </c>
      <c r="C1193" s="1">
        <v>3</v>
      </c>
      <c r="D1193" t="s">
        <v>63</v>
      </c>
      <c r="E1193" s="1">
        <v>1</v>
      </c>
      <c r="F1193" t="s">
        <v>34</v>
      </c>
      <c r="G1193" t="str">
        <f>VLOOKUP(Table1[[#This Row],[Winner]],Ranking!C:D,2,FALSE)</f>
        <v>B12</v>
      </c>
      <c r="H1193" s="1">
        <v>82</v>
      </c>
      <c r="I1193" s="1">
        <v>5</v>
      </c>
      <c r="J1193" t="s">
        <v>80</v>
      </c>
      <c r="K1193" t="str">
        <f>VLOOKUP(Table1[[#This Row],[Loser]],Ranking!C:D,2,FALSE)</f>
        <v>BE</v>
      </c>
      <c r="L1193" s="1">
        <v>78</v>
      </c>
      <c r="N1193" s="1">
        <f>Table1[[#This Row],[Winning Score]]-Table1[[#This Row],[Losing Score]]</f>
        <v>4</v>
      </c>
      <c r="O1193" s="1">
        <f>Table1[[#This Row],[Losing Seed]]-Table1[[#This Row],[Winning Seed]]</f>
        <v>4</v>
      </c>
      <c r="P1193" s="1" t="str">
        <f>IF(Table1[[#This Row],[SeD]]&lt;-2,Table1[[#This Row],[Winning Seed]]&amp; " over " &amp;Table1[[#This Row],[Losing Seed]],"")</f>
        <v/>
      </c>
      <c r="Q1193">
        <f>VLOOKUP(Table1[[#This Row],[Losing Seed]],'Seed History'!$N$4:$O$19,2)</f>
        <v>1.1180555555555556</v>
      </c>
      <c r="R1193" s="1">
        <f>IF(Table1[[#This Row],[Round]]="PI",0,Table1[[#This Row],[Round]]-1)</f>
        <v>2</v>
      </c>
      <c r="S1193">
        <f>Table1[[#This Row],[LAW]]-Table1[[#This Row],[LEW]]</f>
        <v>0.88194444444444442</v>
      </c>
    </row>
    <row r="1194" spans="1:19" x14ac:dyDescent="0.25">
      <c r="A1194" s="66">
        <v>37708</v>
      </c>
      <c r="B1194" s="51">
        <f>YEAR(Table1[[#This Row],[Date]])</f>
        <v>2003</v>
      </c>
      <c r="C1194" s="1">
        <v>3</v>
      </c>
      <c r="D1194" t="s">
        <v>63</v>
      </c>
      <c r="E1194" s="1">
        <v>7</v>
      </c>
      <c r="F1194" t="s">
        <v>271</v>
      </c>
      <c r="G1194" t="str">
        <f>VLOOKUP(Table1[[#This Row],[Winner]],Ranking!C:D,2,FALSE)</f>
        <v>B10</v>
      </c>
      <c r="H1194" s="1">
        <v>60</v>
      </c>
      <c r="I1194" s="1">
        <v>6</v>
      </c>
      <c r="J1194" t="s">
        <v>31</v>
      </c>
      <c r="K1194" t="str">
        <f>VLOOKUP(Table1[[#This Row],[Loser]],Ranking!C:D,2,FALSE)</f>
        <v>B10</v>
      </c>
      <c r="L1194" s="1">
        <v>58</v>
      </c>
      <c r="N1194" s="1">
        <f>Table1[[#This Row],[Winning Score]]-Table1[[#This Row],[Losing Score]]</f>
        <v>2</v>
      </c>
      <c r="O1194" s="1">
        <f>Table1[[#This Row],[Losing Seed]]-Table1[[#This Row],[Winning Seed]]</f>
        <v>-1</v>
      </c>
      <c r="P1194" s="1" t="str">
        <f>IF(Table1[[#This Row],[SeD]]&lt;-2,Table1[[#This Row],[Winning Seed]]&amp; " over " &amp;Table1[[#This Row],[Losing Seed]],"")</f>
        <v/>
      </c>
      <c r="Q1194">
        <f>VLOOKUP(Table1[[#This Row],[Losing Seed]],'Seed History'!$N$4:$O$19,2)</f>
        <v>1.0625</v>
      </c>
      <c r="R1194" s="1">
        <f>IF(Table1[[#This Row],[Round]]="PI",0,Table1[[#This Row],[Round]]-1)</f>
        <v>2</v>
      </c>
      <c r="S1194">
        <f>Table1[[#This Row],[LAW]]-Table1[[#This Row],[LEW]]</f>
        <v>0.9375</v>
      </c>
    </row>
    <row r="1195" spans="1:19" x14ac:dyDescent="0.25">
      <c r="A1195" s="66">
        <v>37709</v>
      </c>
      <c r="B1195" s="51">
        <f>YEAR(Table1[[#This Row],[Date]])</f>
        <v>2003</v>
      </c>
      <c r="C1195" s="1">
        <v>4</v>
      </c>
      <c r="D1195" t="s">
        <v>439</v>
      </c>
      <c r="E1195" s="1">
        <v>3</v>
      </c>
      <c r="F1195" t="s">
        <v>262</v>
      </c>
      <c r="G1195" t="str">
        <f>VLOOKUP(Table1[[#This Row],[Winner]],Ranking!C:D,2,FALSE)</f>
        <v>BE</v>
      </c>
      <c r="H1195" s="1">
        <v>83</v>
      </c>
      <c r="I1195" s="1">
        <v>1</v>
      </c>
      <c r="J1195" t="s">
        <v>26</v>
      </c>
      <c r="K1195" t="str">
        <f>VLOOKUP(Table1[[#This Row],[Loser]],Ranking!C:D,2,FALSE)</f>
        <v>SEC</v>
      </c>
      <c r="L1195" s="1">
        <v>69</v>
      </c>
      <c r="N1195" s="1">
        <f>Table1[[#This Row],[Winning Score]]-Table1[[#This Row],[Losing Score]]</f>
        <v>14</v>
      </c>
      <c r="O1195" s="1">
        <f>Table1[[#This Row],[Losing Seed]]-Table1[[#This Row],[Winning Seed]]</f>
        <v>-2</v>
      </c>
      <c r="P1195" s="1" t="str">
        <f>IF(Table1[[#This Row],[SeD]]&lt;-2,Table1[[#This Row],[Winning Seed]]&amp; " over " &amp;Table1[[#This Row],[Losing Seed]],"")</f>
        <v/>
      </c>
      <c r="Q1195">
        <f>VLOOKUP(Table1[[#This Row],[Losing Seed]],'Seed History'!$N$4:$O$19,2)</f>
        <v>3.3263888888888888</v>
      </c>
      <c r="R1195" s="1">
        <f>IF(Table1[[#This Row],[Round]]="PI",0,Table1[[#This Row],[Round]]-1)</f>
        <v>3</v>
      </c>
      <c r="S1195">
        <f>Table1[[#This Row],[LAW]]-Table1[[#This Row],[LEW]]</f>
        <v>-0.32638888888888884</v>
      </c>
    </row>
    <row r="1196" spans="1:19" x14ac:dyDescent="0.25">
      <c r="A1196" s="66">
        <v>37709</v>
      </c>
      <c r="B1196" s="51">
        <f>YEAR(Table1[[#This Row],[Date]])</f>
        <v>2003</v>
      </c>
      <c r="C1196" s="1">
        <v>4</v>
      </c>
      <c r="D1196" t="s">
        <v>38</v>
      </c>
      <c r="E1196" s="1">
        <v>2</v>
      </c>
      <c r="F1196" t="s">
        <v>37</v>
      </c>
      <c r="G1196" t="str">
        <f>VLOOKUP(Table1[[#This Row],[Winner]],Ranking!C:D,2,FALSE)</f>
        <v>B12</v>
      </c>
      <c r="H1196" s="1">
        <v>78</v>
      </c>
      <c r="I1196" s="1">
        <v>1</v>
      </c>
      <c r="J1196" t="s">
        <v>48</v>
      </c>
      <c r="K1196" t="str">
        <f>VLOOKUP(Table1[[#This Row],[Loser]],Ranking!C:D,2,FALSE)</f>
        <v>P12</v>
      </c>
      <c r="L1196" s="1">
        <v>75</v>
      </c>
      <c r="N1196" s="1">
        <f>Table1[[#This Row],[Winning Score]]-Table1[[#This Row],[Losing Score]]</f>
        <v>3</v>
      </c>
      <c r="O1196" s="1">
        <f>Table1[[#This Row],[Losing Seed]]-Table1[[#This Row],[Winning Seed]]</f>
        <v>-1</v>
      </c>
      <c r="P1196" s="1" t="str">
        <f>IF(Table1[[#This Row],[SeD]]&lt;-2,Table1[[#This Row],[Winning Seed]]&amp; " over " &amp;Table1[[#This Row],[Losing Seed]],"")</f>
        <v/>
      </c>
      <c r="Q1196">
        <f>VLOOKUP(Table1[[#This Row],[Losing Seed]],'Seed History'!$N$4:$O$19,2)</f>
        <v>3.3263888888888888</v>
      </c>
      <c r="R1196" s="1">
        <f>IF(Table1[[#This Row],[Round]]="PI",0,Table1[[#This Row],[Round]]-1)</f>
        <v>3</v>
      </c>
      <c r="S1196">
        <f>Table1[[#This Row],[LAW]]-Table1[[#This Row],[LEW]]</f>
        <v>-0.32638888888888884</v>
      </c>
    </row>
    <row r="1197" spans="1:19" x14ac:dyDescent="0.25">
      <c r="A1197" s="66">
        <v>37710</v>
      </c>
      <c r="B1197" s="51">
        <f>YEAR(Table1[[#This Row],[Date]])</f>
        <v>2003</v>
      </c>
      <c r="C1197" s="1">
        <v>4</v>
      </c>
      <c r="D1197" t="s">
        <v>63</v>
      </c>
      <c r="E1197" s="1">
        <v>1</v>
      </c>
      <c r="F1197" t="s">
        <v>34</v>
      </c>
      <c r="G1197" t="str">
        <f>VLOOKUP(Table1[[#This Row],[Winner]],Ranking!C:D,2,FALSE)</f>
        <v>B12</v>
      </c>
      <c r="H1197" s="1">
        <v>85</v>
      </c>
      <c r="I1197" s="1">
        <v>7</v>
      </c>
      <c r="J1197" t="s">
        <v>271</v>
      </c>
      <c r="K1197" t="str">
        <f>VLOOKUP(Table1[[#This Row],[Loser]],Ranking!C:D,2,FALSE)</f>
        <v>B10</v>
      </c>
      <c r="L1197" s="1">
        <v>76</v>
      </c>
      <c r="N1197" s="1">
        <f>Table1[[#This Row],[Winning Score]]-Table1[[#This Row],[Losing Score]]</f>
        <v>9</v>
      </c>
      <c r="O1197" s="1">
        <f>Table1[[#This Row],[Losing Seed]]-Table1[[#This Row],[Winning Seed]]</f>
        <v>6</v>
      </c>
      <c r="P1197" s="1" t="str">
        <f>IF(Table1[[#This Row],[SeD]]&lt;-2,Table1[[#This Row],[Winning Seed]]&amp; " over " &amp;Table1[[#This Row],[Losing Seed]],"")</f>
        <v/>
      </c>
      <c r="Q1197">
        <f>VLOOKUP(Table1[[#This Row],[Losing Seed]],'Seed History'!$N$4:$O$19,2)</f>
        <v>0.90277777777777779</v>
      </c>
      <c r="R1197" s="1">
        <f>IF(Table1[[#This Row],[Round]]="PI",0,Table1[[#This Row],[Round]]-1)</f>
        <v>3</v>
      </c>
      <c r="S1197">
        <f>Table1[[#This Row],[LAW]]-Table1[[#This Row],[LEW]]</f>
        <v>2.0972222222222223</v>
      </c>
    </row>
    <row r="1198" spans="1:19" x14ac:dyDescent="0.25">
      <c r="A1198" s="66">
        <v>37710</v>
      </c>
      <c r="B1198" s="51">
        <f>YEAR(Table1[[#This Row],[Date]])</f>
        <v>2003</v>
      </c>
      <c r="C1198" s="1">
        <v>4</v>
      </c>
      <c r="D1198" t="s">
        <v>49</v>
      </c>
      <c r="E1198" s="1">
        <v>3</v>
      </c>
      <c r="F1198" t="s">
        <v>86</v>
      </c>
      <c r="G1198" t="str">
        <f>VLOOKUP(Table1[[#This Row],[Winner]],Ranking!C:D,2,FALSE)</f>
        <v>ACC</v>
      </c>
      <c r="H1198" s="1">
        <v>63</v>
      </c>
      <c r="I1198" s="1">
        <v>1</v>
      </c>
      <c r="J1198" t="s">
        <v>58</v>
      </c>
      <c r="K1198" t="str">
        <f>VLOOKUP(Table1[[#This Row],[Loser]],Ranking!C:D,2,FALSE)</f>
        <v>B12</v>
      </c>
      <c r="L1198" s="1">
        <v>47</v>
      </c>
      <c r="N1198" s="1">
        <f>Table1[[#This Row],[Winning Score]]-Table1[[#This Row],[Losing Score]]</f>
        <v>16</v>
      </c>
      <c r="O1198" s="1">
        <f>Table1[[#This Row],[Losing Seed]]-Table1[[#This Row],[Winning Seed]]</f>
        <v>-2</v>
      </c>
      <c r="P1198" s="1" t="str">
        <f>IF(Table1[[#This Row],[SeD]]&lt;-2,Table1[[#This Row],[Winning Seed]]&amp; " over " &amp;Table1[[#This Row],[Losing Seed]],"")</f>
        <v/>
      </c>
      <c r="Q1198">
        <f>VLOOKUP(Table1[[#This Row],[Losing Seed]],'Seed History'!$N$4:$O$19,2)</f>
        <v>3.3263888888888888</v>
      </c>
      <c r="R1198" s="1">
        <f>IF(Table1[[#This Row],[Round]]="PI",0,Table1[[#This Row],[Round]]-1)</f>
        <v>3</v>
      </c>
      <c r="S1198">
        <f>Table1[[#This Row],[LAW]]-Table1[[#This Row],[LEW]]</f>
        <v>-0.32638888888888884</v>
      </c>
    </row>
    <row r="1199" spans="1:19" x14ac:dyDescent="0.25">
      <c r="A1199" s="66">
        <v>37716</v>
      </c>
      <c r="B1199" s="51">
        <f>YEAR(Table1[[#This Row],[Date]])</f>
        <v>2003</v>
      </c>
      <c r="C1199" s="1">
        <v>5</v>
      </c>
      <c r="D1199" t="s">
        <v>467</v>
      </c>
      <c r="E1199" s="1">
        <v>2</v>
      </c>
      <c r="F1199" t="s">
        <v>37</v>
      </c>
      <c r="G1199" t="str">
        <f>VLOOKUP(Table1[[#This Row],[Winner]],Ranking!C:D,2,FALSE)</f>
        <v>B12</v>
      </c>
      <c r="H1199" s="1">
        <v>94</v>
      </c>
      <c r="I1199" s="1">
        <v>3</v>
      </c>
      <c r="J1199" t="s">
        <v>262</v>
      </c>
      <c r="K1199" t="str">
        <f>VLOOKUP(Table1[[#This Row],[Loser]],Ranking!C:D,2,FALSE)</f>
        <v>BE</v>
      </c>
      <c r="L1199" s="1">
        <v>61</v>
      </c>
      <c r="N1199" s="1">
        <f>Table1[[#This Row],[Winning Score]]-Table1[[#This Row],[Losing Score]]</f>
        <v>33</v>
      </c>
      <c r="O1199" s="1">
        <f>Table1[[#This Row],[Losing Seed]]-Table1[[#This Row],[Winning Seed]]</f>
        <v>1</v>
      </c>
      <c r="P1199" s="1" t="str">
        <f>IF(Table1[[#This Row],[SeD]]&lt;-2,Table1[[#This Row],[Winning Seed]]&amp; " over " &amp;Table1[[#This Row],[Losing Seed]],"")</f>
        <v/>
      </c>
      <c r="Q1199">
        <f>VLOOKUP(Table1[[#This Row],[Losing Seed]],'Seed History'!$N$4:$O$19,2)</f>
        <v>1.8472222222222223</v>
      </c>
      <c r="R1199" s="1">
        <f>IF(Table1[[#This Row],[Round]]="PI",0,Table1[[#This Row],[Round]]-1)</f>
        <v>4</v>
      </c>
      <c r="S1199">
        <f>Table1[[#This Row],[LAW]]-Table1[[#This Row],[LEW]]</f>
        <v>2.1527777777777777</v>
      </c>
    </row>
    <row r="1200" spans="1:19" x14ac:dyDescent="0.25">
      <c r="A1200" s="66">
        <v>37716</v>
      </c>
      <c r="B1200" s="51">
        <f>YEAR(Table1[[#This Row],[Date]])</f>
        <v>2003</v>
      </c>
      <c r="C1200" s="1">
        <v>5</v>
      </c>
      <c r="D1200" t="s">
        <v>467</v>
      </c>
      <c r="E1200" s="1">
        <v>3</v>
      </c>
      <c r="F1200" t="s">
        <v>86</v>
      </c>
      <c r="G1200" t="str">
        <f>VLOOKUP(Table1[[#This Row],[Winner]],Ranking!C:D,2,FALSE)</f>
        <v>ACC</v>
      </c>
      <c r="H1200" s="1">
        <v>95</v>
      </c>
      <c r="I1200" s="1">
        <v>1</v>
      </c>
      <c r="J1200" t="s">
        <v>34</v>
      </c>
      <c r="K1200" t="str">
        <f>VLOOKUP(Table1[[#This Row],[Loser]],Ranking!C:D,2,FALSE)</f>
        <v>B12</v>
      </c>
      <c r="L1200" s="1">
        <v>84</v>
      </c>
      <c r="N1200" s="1">
        <f>Table1[[#This Row],[Winning Score]]-Table1[[#This Row],[Losing Score]]</f>
        <v>11</v>
      </c>
      <c r="O1200" s="1">
        <f>Table1[[#This Row],[Losing Seed]]-Table1[[#This Row],[Winning Seed]]</f>
        <v>-2</v>
      </c>
      <c r="P1200" s="1" t="str">
        <f>IF(Table1[[#This Row],[SeD]]&lt;-2,Table1[[#This Row],[Winning Seed]]&amp; " over " &amp;Table1[[#This Row],[Losing Seed]],"")</f>
        <v/>
      </c>
      <c r="Q1200">
        <f>VLOOKUP(Table1[[#This Row],[Losing Seed]],'Seed History'!$N$4:$O$19,2)</f>
        <v>3.3263888888888888</v>
      </c>
      <c r="R1200" s="1">
        <f>IF(Table1[[#This Row],[Round]]="PI",0,Table1[[#This Row],[Round]]-1)</f>
        <v>4</v>
      </c>
      <c r="S1200">
        <f>Table1[[#This Row],[LAW]]-Table1[[#This Row],[LEW]]</f>
        <v>0.67361111111111116</v>
      </c>
    </row>
    <row r="1201" spans="1:19" x14ac:dyDescent="0.25">
      <c r="A1201" s="66">
        <v>37718</v>
      </c>
      <c r="B1201" s="51">
        <f>YEAR(Table1[[#This Row],[Date]])</f>
        <v>2003</v>
      </c>
      <c r="C1201" s="1">
        <v>6</v>
      </c>
      <c r="D1201" t="s">
        <v>468</v>
      </c>
      <c r="E1201" s="1">
        <v>3</v>
      </c>
      <c r="F1201" t="s">
        <v>86</v>
      </c>
      <c r="G1201" t="str">
        <f>VLOOKUP(Table1[[#This Row],[Winner]],Ranking!C:D,2,FALSE)</f>
        <v>ACC</v>
      </c>
      <c r="H1201" s="1">
        <v>81</v>
      </c>
      <c r="I1201" s="1">
        <v>2</v>
      </c>
      <c r="J1201" t="s">
        <v>37</v>
      </c>
      <c r="K1201" t="str">
        <f>VLOOKUP(Table1[[#This Row],[Loser]],Ranking!C:D,2,FALSE)</f>
        <v>B12</v>
      </c>
      <c r="L1201" s="1">
        <v>78</v>
      </c>
      <c r="N1201" s="1">
        <f>Table1[[#This Row],[Winning Score]]-Table1[[#This Row],[Losing Score]]</f>
        <v>3</v>
      </c>
      <c r="O1201" s="1">
        <f>Table1[[#This Row],[Losing Seed]]-Table1[[#This Row],[Winning Seed]]</f>
        <v>-1</v>
      </c>
      <c r="P1201" s="1" t="str">
        <f>IF(Table1[[#This Row],[SeD]]&lt;-2,Table1[[#This Row],[Winning Seed]]&amp; " over " &amp;Table1[[#This Row],[Losing Seed]],"")</f>
        <v/>
      </c>
      <c r="Q1201">
        <f>VLOOKUP(Table1[[#This Row],[Losing Seed]],'Seed History'!$N$4:$O$19,2)</f>
        <v>2.3472222222222223</v>
      </c>
      <c r="R1201" s="1">
        <f>IF(Table1[[#This Row],[Round]]="PI",0,Table1[[#This Row],[Round]]-1)</f>
        <v>5</v>
      </c>
      <c r="S1201">
        <f>Table1[[#This Row],[LAW]]-Table1[[#This Row],[LEW]]</f>
        <v>2.6527777777777777</v>
      </c>
    </row>
    <row r="1202" spans="1:19" x14ac:dyDescent="0.25">
      <c r="A1202" s="66">
        <v>38062</v>
      </c>
      <c r="B1202" s="51">
        <f>YEAR(Table1[[#This Row],[Date]])</f>
        <v>2004</v>
      </c>
      <c r="C1202" s="1" t="s">
        <v>476</v>
      </c>
      <c r="D1202" t="s">
        <v>439</v>
      </c>
      <c r="E1202" s="1">
        <v>16</v>
      </c>
      <c r="F1202" t="s">
        <v>203</v>
      </c>
      <c r="G1202" t="str">
        <f>VLOOKUP(Table1[[#This Row],[Winner]],Ranking!C:D,2,FALSE)</f>
        <v>MEAC</v>
      </c>
      <c r="H1202" s="1">
        <v>72</v>
      </c>
      <c r="I1202" s="1">
        <v>16</v>
      </c>
      <c r="J1202" t="s">
        <v>248</v>
      </c>
      <c r="K1202" t="str">
        <f>VLOOKUP(Table1[[#This Row],[Loser]],Ranking!C:D,2,FALSE)</f>
        <v>Pat</v>
      </c>
      <c r="L1202" s="1">
        <v>57</v>
      </c>
      <c r="N1202" s="1">
        <f>Table1[[#This Row],[Winning Score]]-Table1[[#This Row],[Losing Score]]</f>
        <v>15</v>
      </c>
      <c r="O1202" s="1">
        <f>Table1[[#This Row],[Losing Seed]]-Table1[[#This Row],[Winning Seed]]</f>
        <v>0</v>
      </c>
      <c r="P1202" s="1" t="str">
        <f>IF(Table1[[#This Row],[SeD]]&lt;-2,Table1[[#This Row],[Winning Seed]]&amp; " over " &amp;Table1[[#This Row],[Losing Seed]],"")</f>
        <v/>
      </c>
      <c r="Q1202">
        <f>VLOOKUP(Table1[[#This Row],[Losing Seed]],'Seed History'!$N$4:$O$19,2)</f>
        <v>6.9444444444444441E-3</v>
      </c>
      <c r="R1202" s="1">
        <f>IF(Table1[[#This Row],[Round]]="PI",0,Table1[[#This Row],[Round]]-1)</f>
        <v>0</v>
      </c>
      <c r="S1202">
        <f>Table1[[#This Row],[LAW]]-Table1[[#This Row],[LEW]]</f>
        <v>-6.9444444444444441E-3</v>
      </c>
    </row>
    <row r="1203" spans="1:19" x14ac:dyDescent="0.25">
      <c r="A1203" s="66">
        <v>38064</v>
      </c>
      <c r="B1203" s="51">
        <f>YEAR(Table1[[#This Row],[Date]])</f>
        <v>2004</v>
      </c>
      <c r="C1203" s="1">
        <v>1</v>
      </c>
      <c r="D1203" t="s">
        <v>49</v>
      </c>
      <c r="E1203" s="1">
        <v>12</v>
      </c>
      <c r="F1203" t="s">
        <v>73</v>
      </c>
      <c r="G1203" t="str">
        <f>VLOOKUP(Table1[[#This Row],[Winner]],Ranking!C:D,2,FALSE)</f>
        <v>MAAC</v>
      </c>
      <c r="H1203" s="1">
        <v>75</v>
      </c>
      <c r="I1203" s="1">
        <v>5</v>
      </c>
      <c r="J1203" t="s">
        <v>81</v>
      </c>
      <c r="K1203" t="str">
        <f>VLOOKUP(Table1[[#This Row],[Loser]],Ranking!C:D,2,FALSE)</f>
        <v>SEC</v>
      </c>
      <c r="L1203" s="1">
        <v>60</v>
      </c>
      <c r="N1203" s="1">
        <f>Table1[[#This Row],[Winning Score]]-Table1[[#This Row],[Losing Score]]</f>
        <v>15</v>
      </c>
      <c r="O1203" s="1">
        <f>Table1[[#This Row],[Losing Seed]]-Table1[[#This Row],[Winning Seed]]</f>
        <v>-7</v>
      </c>
      <c r="P1203" s="1" t="str">
        <f>IF(Table1[[#This Row],[SeD]]&lt;-2,Table1[[#This Row],[Winning Seed]]&amp; " over " &amp;Table1[[#This Row],[Losing Seed]],"")</f>
        <v>12 over 5</v>
      </c>
      <c r="Q1203">
        <f>VLOOKUP(Table1[[#This Row],[Losing Seed]],'Seed History'!$N$4:$O$19,2)</f>
        <v>1.1180555555555556</v>
      </c>
      <c r="R1203" s="1">
        <f>IF(Table1[[#This Row],[Round]]="PI",0,Table1[[#This Row],[Round]]-1)</f>
        <v>0</v>
      </c>
      <c r="S1203">
        <f>Table1[[#This Row],[LAW]]-Table1[[#This Row],[LEW]]</f>
        <v>-1.1180555555555556</v>
      </c>
    </row>
    <row r="1204" spans="1:19" x14ac:dyDescent="0.25">
      <c r="A1204" s="66">
        <v>38064</v>
      </c>
      <c r="B1204" s="51">
        <f>YEAR(Table1[[#This Row],[Date]])</f>
        <v>2004</v>
      </c>
      <c r="C1204" s="1">
        <v>1</v>
      </c>
      <c r="D1204" t="s">
        <v>49</v>
      </c>
      <c r="E1204" s="1">
        <v>1</v>
      </c>
      <c r="F1204" t="s">
        <v>337</v>
      </c>
      <c r="G1204" t="str">
        <f>VLOOKUP(Table1[[#This Row],[Winner]],Ranking!C:D,2,FALSE)</f>
        <v>A10</v>
      </c>
      <c r="H1204" s="1">
        <v>82</v>
      </c>
      <c r="I1204" s="1">
        <v>16</v>
      </c>
      <c r="J1204" t="s">
        <v>249</v>
      </c>
      <c r="K1204" t="str">
        <f>VLOOKUP(Table1[[#This Row],[Loser]],Ranking!C:D,2,FALSE)</f>
        <v>ASun</v>
      </c>
      <c r="L1204" s="1">
        <v>63</v>
      </c>
      <c r="N1204" s="1">
        <f>Table1[[#This Row],[Winning Score]]-Table1[[#This Row],[Losing Score]]</f>
        <v>19</v>
      </c>
      <c r="O1204" s="1">
        <f>Table1[[#This Row],[Losing Seed]]-Table1[[#This Row],[Winning Seed]]</f>
        <v>15</v>
      </c>
      <c r="P1204" s="1" t="str">
        <f>IF(Table1[[#This Row],[SeD]]&lt;-2,Table1[[#This Row],[Winning Seed]]&amp; " over " &amp;Table1[[#This Row],[Losing Seed]],"")</f>
        <v/>
      </c>
      <c r="Q1204">
        <f>VLOOKUP(Table1[[#This Row],[Losing Seed]],'Seed History'!$N$4:$O$19,2)</f>
        <v>6.9444444444444441E-3</v>
      </c>
      <c r="R1204" s="1">
        <f>IF(Table1[[#This Row],[Round]]="PI",0,Table1[[#This Row],[Round]]-1)</f>
        <v>0</v>
      </c>
      <c r="S1204">
        <f>Table1[[#This Row],[LAW]]-Table1[[#This Row],[LEW]]</f>
        <v>-6.9444444444444441E-3</v>
      </c>
    </row>
    <row r="1205" spans="1:19" x14ac:dyDescent="0.25">
      <c r="A1205" s="66">
        <v>38064</v>
      </c>
      <c r="B1205" s="51">
        <f>YEAR(Table1[[#This Row],[Date]])</f>
        <v>2004</v>
      </c>
      <c r="C1205" s="1">
        <v>1</v>
      </c>
      <c r="D1205" t="s">
        <v>49</v>
      </c>
      <c r="E1205" s="1">
        <v>4</v>
      </c>
      <c r="F1205" t="s">
        <v>408</v>
      </c>
      <c r="G1205" t="str">
        <f>VLOOKUP(Table1[[#This Row],[Winner]],Ranking!C:D,2,FALSE)</f>
        <v>ACC</v>
      </c>
      <c r="H1205" s="1">
        <v>79</v>
      </c>
      <c r="I1205" s="1">
        <v>13</v>
      </c>
      <c r="J1205" t="s">
        <v>47</v>
      </c>
      <c r="K1205" t="str">
        <f>VLOOKUP(Table1[[#This Row],[Loser]],Ranking!C:D,2,FALSE)</f>
        <v>A10</v>
      </c>
      <c r="L1205" s="1">
        <v>78</v>
      </c>
      <c r="N1205" s="1">
        <f>Table1[[#This Row],[Winning Score]]-Table1[[#This Row],[Losing Score]]</f>
        <v>1</v>
      </c>
      <c r="O1205" s="1">
        <f>Table1[[#This Row],[Losing Seed]]-Table1[[#This Row],[Winning Seed]]</f>
        <v>9</v>
      </c>
      <c r="P1205" s="1" t="str">
        <f>IF(Table1[[#This Row],[SeD]]&lt;-2,Table1[[#This Row],[Winning Seed]]&amp; " over " &amp;Table1[[#This Row],[Losing Seed]],"")</f>
        <v/>
      </c>
      <c r="Q1205">
        <f>VLOOKUP(Table1[[#This Row],[Losing Seed]],'Seed History'!$N$4:$O$19,2)</f>
        <v>0.25694444444444442</v>
      </c>
      <c r="R1205" s="1">
        <f>IF(Table1[[#This Row],[Round]]="PI",0,Table1[[#This Row],[Round]]-1)</f>
        <v>0</v>
      </c>
      <c r="S1205">
        <f>Table1[[#This Row],[LAW]]-Table1[[#This Row],[LEW]]</f>
        <v>-0.25694444444444442</v>
      </c>
    </row>
    <row r="1206" spans="1:19" x14ac:dyDescent="0.25">
      <c r="A1206" s="66">
        <v>38064</v>
      </c>
      <c r="B1206" s="51">
        <f>YEAR(Table1[[#This Row],[Date]])</f>
        <v>2004</v>
      </c>
      <c r="C1206" s="1">
        <v>1</v>
      </c>
      <c r="D1206" t="s">
        <v>49</v>
      </c>
      <c r="E1206" s="1">
        <v>8</v>
      </c>
      <c r="F1206" t="s">
        <v>92</v>
      </c>
      <c r="G1206" t="str">
        <f>VLOOKUP(Table1[[#This Row],[Winner]],Ranking!C:D,2,FALSE)</f>
        <v>B12</v>
      </c>
      <c r="H1206" s="1">
        <v>76</v>
      </c>
      <c r="I1206" s="1">
        <v>9</v>
      </c>
      <c r="J1206" t="s">
        <v>165</v>
      </c>
      <c r="K1206" t="str">
        <f>VLOOKUP(Table1[[#This Row],[Loser]],Ranking!C:D,2,FALSE)</f>
        <v>CUSA</v>
      </c>
      <c r="L1206" s="1">
        <v>73</v>
      </c>
      <c r="N1206" s="1">
        <f>Table1[[#This Row],[Winning Score]]-Table1[[#This Row],[Losing Score]]</f>
        <v>3</v>
      </c>
      <c r="O1206" s="1">
        <f>Table1[[#This Row],[Losing Seed]]-Table1[[#This Row],[Winning Seed]]</f>
        <v>1</v>
      </c>
      <c r="P1206" s="1" t="str">
        <f>IF(Table1[[#This Row],[SeD]]&lt;-2,Table1[[#This Row],[Winning Seed]]&amp; " over " &amp;Table1[[#This Row],[Losing Seed]],"")</f>
        <v/>
      </c>
      <c r="Q1206">
        <f>VLOOKUP(Table1[[#This Row],[Losing Seed]],'Seed History'!$N$4:$O$19,2)</f>
        <v>0.59027777777777779</v>
      </c>
      <c r="R1206" s="1">
        <f>IF(Table1[[#This Row],[Round]]="PI",0,Table1[[#This Row],[Round]]-1)</f>
        <v>0</v>
      </c>
      <c r="S1206">
        <f>Table1[[#This Row],[LAW]]-Table1[[#This Row],[LEW]]</f>
        <v>-0.59027777777777779</v>
      </c>
    </row>
    <row r="1207" spans="1:19" x14ac:dyDescent="0.25">
      <c r="A1207" s="66">
        <v>38064</v>
      </c>
      <c r="B1207" s="51">
        <f>YEAR(Table1[[#This Row],[Date]])</f>
        <v>2004</v>
      </c>
      <c r="C1207" s="1">
        <v>1</v>
      </c>
      <c r="D1207" t="s">
        <v>439</v>
      </c>
      <c r="E1207" s="1">
        <v>2</v>
      </c>
      <c r="F1207" t="s">
        <v>71</v>
      </c>
      <c r="G1207" t="str">
        <f>VLOOKUP(Table1[[#This Row],[Winner]],Ranking!C:D,2,FALSE)</f>
        <v>WCC</v>
      </c>
      <c r="H1207" s="1">
        <v>76</v>
      </c>
      <c r="I1207" s="1">
        <v>15</v>
      </c>
      <c r="J1207" t="s">
        <v>32</v>
      </c>
      <c r="K1207" t="str">
        <f>VLOOKUP(Table1[[#This Row],[Loser]],Ranking!C:D,2,FALSE)</f>
        <v>MVC</v>
      </c>
      <c r="L1207" s="1">
        <v>49</v>
      </c>
      <c r="N1207" s="1">
        <f>Table1[[#This Row],[Winning Score]]-Table1[[#This Row],[Losing Score]]</f>
        <v>27</v>
      </c>
      <c r="O1207" s="1">
        <f>Table1[[#This Row],[Losing Seed]]-Table1[[#This Row],[Winning Seed]]</f>
        <v>13</v>
      </c>
      <c r="P1207" s="1" t="str">
        <f>IF(Table1[[#This Row],[SeD]]&lt;-2,Table1[[#This Row],[Winning Seed]]&amp; " over " &amp;Table1[[#This Row],[Losing Seed]],"")</f>
        <v/>
      </c>
      <c r="Q1207">
        <f>VLOOKUP(Table1[[#This Row],[Losing Seed]],'Seed History'!$N$4:$O$19,2)</f>
        <v>7.6388888888888895E-2</v>
      </c>
      <c r="R1207" s="1">
        <f>IF(Table1[[#This Row],[Round]]="PI",0,Table1[[#This Row],[Round]]-1)</f>
        <v>0</v>
      </c>
      <c r="S1207">
        <f>Table1[[#This Row],[LAW]]-Table1[[#This Row],[LEW]]</f>
        <v>-7.6388888888888895E-2</v>
      </c>
    </row>
    <row r="1208" spans="1:19" x14ac:dyDescent="0.25">
      <c r="A1208" s="66">
        <v>38064</v>
      </c>
      <c r="B1208" s="51">
        <f>YEAR(Table1[[#This Row],[Date]])</f>
        <v>2004</v>
      </c>
      <c r="C1208" s="1">
        <v>1</v>
      </c>
      <c r="D1208" t="s">
        <v>63</v>
      </c>
      <c r="E1208" s="1">
        <v>1</v>
      </c>
      <c r="F1208" t="s">
        <v>64</v>
      </c>
      <c r="G1208" t="str">
        <f>VLOOKUP(Table1[[#This Row],[Winner]],Ranking!C:D,2,FALSE)</f>
        <v>ACC</v>
      </c>
      <c r="H1208" s="1">
        <v>96</v>
      </c>
      <c r="I1208" s="1">
        <v>16</v>
      </c>
      <c r="J1208" t="s">
        <v>117</v>
      </c>
      <c r="K1208" t="str">
        <f>VLOOKUP(Table1[[#This Row],[Loser]],Ranking!C:D,2,FALSE)</f>
        <v>SWAC</v>
      </c>
      <c r="L1208" s="1">
        <v>61</v>
      </c>
      <c r="N1208" s="1">
        <f>Table1[[#This Row],[Winning Score]]-Table1[[#This Row],[Losing Score]]</f>
        <v>35</v>
      </c>
      <c r="O1208" s="1">
        <f>Table1[[#This Row],[Losing Seed]]-Table1[[#This Row],[Winning Seed]]</f>
        <v>15</v>
      </c>
      <c r="P1208" s="1" t="str">
        <f>IF(Table1[[#This Row],[SeD]]&lt;-2,Table1[[#This Row],[Winning Seed]]&amp; " over " &amp;Table1[[#This Row],[Losing Seed]],"")</f>
        <v/>
      </c>
      <c r="Q1208">
        <f>VLOOKUP(Table1[[#This Row],[Losing Seed]],'Seed History'!$N$4:$O$19,2)</f>
        <v>6.9444444444444441E-3</v>
      </c>
      <c r="R1208" s="1">
        <f>IF(Table1[[#This Row],[Round]]="PI",0,Table1[[#This Row],[Round]]-1)</f>
        <v>0</v>
      </c>
      <c r="S1208">
        <f>Table1[[#This Row],[LAW]]-Table1[[#This Row],[LEW]]</f>
        <v>-6.9444444444444441E-3</v>
      </c>
    </row>
    <row r="1209" spans="1:19" x14ac:dyDescent="0.25">
      <c r="A1209" s="66">
        <v>38064</v>
      </c>
      <c r="B1209" s="51">
        <f>YEAR(Table1[[#This Row],[Date]])</f>
        <v>2004</v>
      </c>
      <c r="C1209" s="1">
        <v>1</v>
      </c>
      <c r="D1209" t="s">
        <v>63</v>
      </c>
      <c r="E1209" s="1">
        <v>3</v>
      </c>
      <c r="F1209" t="s">
        <v>34</v>
      </c>
      <c r="G1209" t="str">
        <f>VLOOKUP(Table1[[#This Row],[Winner]],Ranking!C:D,2,FALSE)</f>
        <v>B12</v>
      </c>
      <c r="H1209" s="1">
        <v>66</v>
      </c>
      <c r="I1209" s="1">
        <v>14</v>
      </c>
      <c r="J1209" t="s">
        <v>91</v>
      </c>
      <c r="K1209" t="str">
        <f>VLOOKUP(Table1[[#This Row],[Loser]],Ranking!C:D,2,FALSE)</f>
        <v>Ivy</v>
      </c>
      <c r="L1209" s="1">
        <v>49</v>
      </c>
      <c r="N1209" s="1">
        <f>Table1[[#This Row],[Winning Score]]-Table1[[#This Row],[Losing Score]]</f>
        <v>17</v>
      </c>
      <c r="O1209" s="1">
        <f>Table1[[#This Row],[Losing Seed]]-Table1[[#This Row],[Winning Seed]]</f>
        <v>11</v>
      </c>
      <c r="P1209" s="1" t="str">
        <f>IF(Table1[[#This Row],[SeD]]&lt;-2,Table1[[#This Row],[Winning Seed]]&amp; " over " &amp;Table1[[#This Row],[Losing Seed]],"")</f>
        <v/>
      </c>
      <c r="Q1209">
        <f>VLOOKUP(Table1[[#This Row],[Losing Seed]],'Seed History'!$N$4:$O$19,2)</f>
        <v>0.16666666666666666</v>
      </c>
      <c r="R1209" s="1">
        <f>IF(Table1[[#This Row],[Round]]="PI",0,Table1[[#This Row],[Round]]-1)</f>
        <v>0</v>
      </c>
      <c r="S1209">
        <f>Table1[[#This Row],[LAW]]-Table1[[#This Row],[LEW]]</f>
        <v>-0.16666666666666666</v>
      </c>
    </row>
    <row r="1210" spans="1:19" x14ac:dyDescent="0.25">
      <c r="A1210" s="66">
        <v>38064</v>
      </c>
      <c r="B1210" s="51">
        <f>YEAR(Table1[[#This Row],[Date]])</f>
        <v>2004</v>
      </c>
      <c r="C1210" s="1">
        <v>1</v>
      </c>
      <c r="D1210" t="s">
        <v>63</v>
      </c>
      <c r="E1210" s="1">
        <v>6</v>
      </c>
      <c r="F1210" t="s">
        <v>298</v>
      </c>
      <c r="G1210" t="str">
        <f>VLOOKUP(Table1[[#This Row],[Winner]],Ranking!C:D,2,FALSE)</f>
        <v>ACC</v>
      </c>
      <c r="H1210" s="1">
        <v>63</v>
      </c>
      <c r="I1210" s="1">
        <v>11</v>
      </c>
      <c r="J1210" t="s">
        <v>109</v>
      </c>
      <c r="K1210" t="str">
        <f>VLOOKUP(Table1[[#This Row],[Loser]],Ranking!C:D,2,FALSE)</f>
        <v>MWC</v>
      </c>
      <c r="L1210" s="1">
        <v>52</v>
      </c>
      <c r="N1210" s="1">
        <f>Table1[[#This Row],[Winning Score]]-Table1[[#This Row],[Losing Score]]</f>
        <v>11</v>
      </c>
      <c r="O1210" s="1">
        <f>Table1[[#This Row],[Losing Seed]]-Table1[[#This Row],[Winning Seed]]</f>
        <v>5</v>
      </c>
      <c r="P1210" s="1" t="str">
        <f>IF(Table1[[#This Row],[SeD]]&lt;-2,Table1[[#This Row],[Winning Seed]]&amp; " over " &amp;Table1[[#This Row],[Losing Seed]],"")</f>
        <v/>
      </c>
      <c r="Q1210">
        <f>VLOOKUP(Table1[[#This Row],[Losing Seed]],'Seed History'!$N$4:$O$19,2)</f>
        <v>0.63194444444444442</v>
      </c>
      <c r="R1210" s="1">
        <f>IF(Table1[[#This Row],[Round]]="PI",0,Table1[[#This Row],[Round]]-1)</f>
        <v>0</v>
      </c>
      <c r="S1210">
        <f>Table1[[#This Row],[LAW]]-Table1[[#This Row],[LEW]]</f>
        <v>-0.63194444444444442</v>
      </c>
    </row>
    <row r="1211" spans="1:19" x14ac:dyDescent="0.25">
      <c r="A1211" s="66">
        <v>38064</v>
      </c>
      <c r="B1211" s="51">
        <f>YEAR(Table1[[#This Row],[Date]])</f>
        <v>2004</v>
      </c>
      <c r="C1211" s="1">
        <v>1</v>
      </c>
      <c r="D1211" t="s">
        <v>63</v>
      </c>
      <c r="E1211" s="1">
        <v>8</v>
      </c>
      <c r="F1211" t="s">
        <v>87</v>
      </c>
      <c r="G1211" t="str">
        <f>VLOOKUP(Table1[[#This Row],[Winner]],Ranking!C:D,2,FALSE)</f>
        <v>BE</v>
      </c>
      <c r="H1211" s="1">
        <v>80</v>
      </c>
      <c r="I1211" s="1">
        <v>9</v>
      </c>
      <c r="J1211" t="s">
        <v>48</v>
      </c>
      <c r="K1211" t="str">
        <f>VLOOKUP(Table1[[#This Row],[Loser]],Ranking!C:D,2,FALSE)</f>
        <v>P12</v>
      </c>
      <c r="L1211" s="1">
        <v>76</v>
      </c>
      <c r="N1211" s="1">
        <f>Table1[[#This Row],[Winning Score]]-Table1[[#This Row],[Losing Score]]</f>
        <v>4</v>
      </c>
      <c r="O1211" s="1">
        <f>Table1[[#This Row],[Losing Seed]]-Table1[[#This Row],[Winning Seed]]</f>
        <v>1</v>
      </c>
      <c r="P1211" s="1" t="str">
        <f>IF(Table1[[#This Row],[SeD]]&lt;-2,Table1[[#This Row],[Winning Seed]]&amp; " over " &amp;Table1[[#This Row],[Losing Seed]],"")</f>
        <v/>
      </c>
      <c r="Q1211">
        <f>VLOOKUP(Table1[[#This Row],[Losing Seed]],'Seed History'!$N$4:$O$19,2)</f>
        <v>0.59027777777777779</v>
      </c>
      <c r="R1211" s="1">
        <f>IF(Table1[[#This Row],[Round]]="PI",0,Table1[[#This Row],[Round]]-1)</f>
        <v>0</v>
      </c>
      <c r="S1211">
        <f>Table1[[#This Row],[LAW]]-Table1[[#This Row],[LEW]]</f>
        <v>-0.59027777777777779</v>
      </c>
    </row>
    <row r="1212" spans="1:19" x14ac:dyDescent="0.25">
      <c r="A1212" s="66">
        <v>38064</v>
      </c>
      <c r="B1212" s="51">
        <f>YEAR(Table1[[#This Row],[Date]])</f>
        <v>2004</v>
      </c>
      <c r="C1212" s="1">
        <v>1</v>
      </c>
      <c r="D1212" t="s">
        <v>38</v>
      </c>
      <c r="E1212" s="1">
        <v>1</v>
      </c>
      <c r="F1212" t="s">
        <v>369</v>
      </c>
      <c r="G1212" t="str">
        <f>VLOOKUP(Table1[[#This Row],[Winner]],Ranking!C:D,2,FALSE)</f>
        <v>P12</v>
      </c>
      <c r="H1212" s="1">
        <v>71</v>
      </c>
      <c r="I1212" s="1">
        <v>16</v>
      </c>
      <c r="J1212" t="s">
        <v>403</v>
      </c>
      <c r="K1212" t="str">
        <f>VLOOKUP(Table1[[#This Row],[Loser]],Ranking!C:D,2,FALSE)</f>
        <v>CUSA</v>
      </c>
      <c r="L1212" s="1">
        <v>45</v>
      </c>
      <c r="N1212" s="1">
        <f>Table1[[#This Row],[Winning Score]]-Table1[[#This Row],[Losing Score]]</f>
        <v>26</v>
      </c>
      <c r="O1212" s="1">
        <f>Table1[[#This Row],[Losing Seed]]-Table1[[#This Row],[Winning Seed]]</f>
        <v>15</v>
      </c>
      <c r="P1212" s="1" t="str">
        <f>IF(Table1[[#This Row],[SeD]]&lt;-2,Table1[[#This Row],[Winning Seed]]&amp; " over " &amp;Table1[[#This Row],[Losing Seed]],"")</f>
        <v/>
      </c>
      <c r="Q1212">
        <f>VLOOKUP(Table1[[#This Row],[Losing Seed]],'Seed History'!$N$4:$O$19,2)</f>
        <v>6.9444444444444441E-3</v>
      </c>
      <c r="R1212" s="1">
        <f>IF(Table1[[#This Row],[Round]]="PI",0,Table1[[#This Row],[Round]]-1)</f>
        <v>0</v>
      </c>
      <c r="S1212">
        <f>Table1[[#This Row],[LAW]]-Table1[[#This Row],[LEW]]</f>
        <v>-6.9444444444444441E-3</v>
      </c>
    </row>
    <row r="1213" spans="1:19" x14ac:dyDescent="0.25">
      <c r="A1213" s="66">
        <v>38064</v>
      </c>
      <c r="B1213" s="51">
        <f>YEAR(Table1[[#This Row],[Date]])</f>
        <v>2004</v>
      </c>
      <c r="C1213" s="1">
        <v>1</v>
      </c>
      <c r="D1213" t="s">
        <v>38</v>
      </c>
      <c r="E1213" s="1">
        <v>2</v>
      </c>
      <c r="F1213" t="s">
        <v>80</v>
      </c>
      <c r="G1213" t="str">
        <f>VLOOKUP(Table1[[#This Row],[Winner]],Ranking!C:D,2,FALSE)</f>
        <v>BE</v>
      </c>
      <c r="H1213" s="1">
        <v>70</v>
      </c>
      <c r="I1213" s="1">
        <v>15</v>
      </c>
      <c r="J1213" t="s">
        <v>404</v>
      </c>
      <c r="K1213" t="str">
        <f>VLOOKUP(Table1[[#This Row],[Loser]],Ranking!C:D,2,FALSE)</f>
        <v>AE</v>
      </c>
      <c r="L1213" s="1">
        <v>53</v>
      </c>
      <c r="N1213" s="1">
        <f>Table1[[#This Row],[Winning Score]]-Table1[[#This Row],[Losing Score]]</f>
        <v>17</v>
      </c>
      <c r="O1213" s="1">
        <f>Table1[[#This Row],[Losing Seed]]-Table1[[#This Row],[Winning Seed]]</f>
        <v>13</v>
      </c>
      <c r="P1213" s="1" t="str">
        <f>IF(Table1[[#This Row],[SeD]]&lt;-2,Table1[[#This Row],[Winning Seed]]&amp; " over " &amp;Table1[[#This Row],[Losing Seed]],"")</f>
        <v/>
      </c>
      <c r="Q1213">
        <f>VLOOKUP(Table1[[#This Row],[Losing Seed]],'Seed History'!$N$4:$O$19,2)</f>
        <v>7.6388888888888895E-2</v>
      </c>
      <c r="R1213" s="1">
        <f>IF(Table1[[#This Row],[Round]]="PI",0,Table1[[#This Row],[Round]]-1)</f>
        <v>0</v>
      </c>
      <c r="S1213">
        <f>Table1[[#This Row],[LAW]]-Table1[[#This Row],[LEW]]</f>
        <v>-7.6388888888888895E-2</v>
      </c>
    </row>
    <row r="1214" spans="1:19" x14ac:dyDescent="0.25">
      <c r="A1214" s="66">
        <v>38064</v>
      </c>
      <c r="B1214" s="51">
        <f>YEAR(Table1[[#This Row],[Date]])</f>
        <v>2004</v>
      </c>
      <c r="C1214" s="1">
        <v>1</v>
      </c>
      <c r="D1214" t="s">
        <v>38</v>
      </c>
      <c r="E1214" s="1">
        <v>4</v>
      </c>
      <c r="F1214" t="s">
        <v>31</v>
      </c>
      <c r="G1214" t="str">
        <f>VLOOKUP(Table1[[#This Row],[Winner]],Ranking!C:D,2,FALSE)</f>
        <v>B10</v>
      </c>
      <c r="H1214" s="1">
        <v>86</v>
      </c>
      <c r="I1214" s="1">
        <v>13</v>
      </c>
      <c r="J1214" t="s">
        <v>402</v>
      </c>
      <c r="K1214" t="str">
        <f>VLOOKUP(Table1[[#This Row],[Loser]],Ranking!C:D,2,FALSE)</f>
        <v>CUSA</v>
      </c>
      <c r="L1214" s="1">
        <v>83</v>
      </c>
      <c r="N1214" s="1">
        <f>Table1[[#This Row],[Winning Score]]-Table1[[#This Row],[Losing Score]]</f>
        <v>3</v>
      </c>
      <c r="O1214" s="1">
        <f>Table1[[#This Row],[Losing Seed]]-Table1[[#This Row],[Winning Seed]]</f>
        <v>9</v>
      </c>
      <c r="P1214" s="1" t="str">
        <f>IF(Table1[[#This Row],[SeD]]&lt;-2,Table1[[#This Row],[Winning Seed]]&amp; " over " &amp;Table1[[#This Row],[Losing Seed]],"")</f>
        <v/>
      </c>
      <c r="Q1214">
        <f>VLOOKUP(Table1[[#This Row],[Losing Seed]],'Seed History'!$N$4:$O$19,2)</f>
        <v>0.25694444444444442</v>
      </c>
      <c r="R1214" s="1">
        <f>IF(Table1[[#This Row],[Round]]="PI",0,Table1[[#This Row],[Round]]-1)</f>
        <v>0</v>
      </c>
      <c r="S1214">
        <f>Table1[[#This Row],[LAW]]-Table1[[#This Row],[LEW]]</f>
        <v>-0.25694444444444442</v>
      </c>
    </row>
    <row r="1215" spans="1:19" x14ac:dyDescent="0.25">
      <c r="A1215" s="66">
        <v>38064</v>
      </c>
      <c r="B1215" s="51">
        <f>YEAR(Table1[[#This Row],[Date]])</f>
        <v>2004</v>
      </c>
      <c r="C1215" s="1">
        <v>1</v>
      </c>
      <c r="D1215" t="s">
        <v>38</v>
      </c>
      <c r="E1215" s="1">
        <v>5</v>
      </c>
      <c r="F1215" t="s">
        <v>86</v>
      </c>
      <c r="G1215" t="str">
        <f>VLOOKUP(Table1[[#This Row],[Winner]],Ranking!C:D,2,FALSE)</f>
        <v>ACC</v>
      </c>
      <c r="H1215" s="1">
        <v>80</v>
      </c>
      <c r="I1215" s="1">
        <v>12</v>
      </c>
      <c r="J1215" t="s">
        <v>72</v>
      </c>
      <c r="K1215" t="str">
        <f>VLOOKUP(Table1[[#This Row],[Loser]],Ranking!C:D,2,FALSE)</f>
        <v>WCC</v>
      </c>
      <c r="L1215" s="1">
        <v>75</v>
      </c>
      <c r="N1215" s="1">
        <f>Table1[[#This Row],[Winning Score]]-Table1[[#This Row],[Losing Score]]</f>
        <v>5</v>
      </c>
      <c r="O1215" s="1">
        <f>Table1[[#This Row],[Losing Seed]]-Table1[[#This Row],[Winning Seed]]</f>
        <v>7</v>
      </c>
      <c r="P1215" s="1" t="str">
        <f>IF(Table1[[#This Row],[SeD]]&lt;-2,Table1[[#This Row],[Winning Seed]]&amp; " over " &amp;Table1[[#This Row],[Losing Seed]],"")</f>
        <v/>
      </c>
      <c r="Q1215">
        <f>VLOOKUP(Table1[[#This Row],[Losing Seed]],'Seed History'!$N$4:$O$19,2)</f>
        <v>0.52083333333333337</v>
      </c>
      <c r="R1215" s="1">
        <f>IF(Table1[[#This Row],[Round]]="PI",0,Table1[[#This Row],[Round]]-1)</f>
        <v>0</v>
      </c>
      <c r="S1215">
        <f>Table1[[#This Row],[LAW]]-Table1[[#This Row],[LEW]]</f>
        <v>-0.52083333333333337</v>
      </c>
    </row>
    <row r="1216" spans="1:19" x14ac:dyDescent="0.25">
      <c r="A1216" s="66">
        <v>38064</v>
      </c>
      <c r="B1216" s="51">
        <f>YEAR(Table1[[#This Row],[Date]])</f>
        <v>2004</v>
      </c>
      <c r="C1216" s="1">
        <v>1</v>
      </c>
      <c r="D1216" t="s">
        <v>38</v>
      </c>
      <c r="E1216" s="1">
        <v>7</v>
      </c>
      <c r="F1216" t="s">
        <v>186</v>
      </c>
      <c r="G1216" t="str">
        <f>VLOOKUP(Table1[[#This Row],[Winner]],Ranking!C:D,2,FALSE)</f>
        <v>BE</v>
      </c>
      <c r="H1216" s="1">
        <v>76</v>
      </c>
      <c r="I1216" s="1">
        <v>10</v>
      </c>
      <c r="J1216" t="s">
        <v>57</v>
      </c>
      <c r="K1216" t="str">
        <f>VLOOKUP(Table1[[#This Row],[Loser]],Ranking!C:D,2,FALSE)</f>
        <v>A10</v>
      </c>
      <c r="L1216" s="1">
        <v>69</v>
      </c>
      <c r="M1216" s="1" t="s">
        <v>463</v>
      </c>
      <c r="N1216" s="1">
        <f>Table1[[#This Row],[Winning Score]]-Table1[[#This Row],[Losing Score]]</f>
        <v>7</v>
      </c>
      <c r="O1216" s="1">
        <f>Table1[[#This Row],[Losing Seed]]-Table1[[#This Row],[Winning Seed]]</f>
        <v>3</v>
      </c>
      <c r="P1216" s="1" t="str">
        <f>IF(Table1[[#This Row],[SeD]]&lt;-2,Table1[[#This Row],[Winning Seed]]&amp; " over " &amp;Table1[[#This Row],[Losing Seed]],"")</f>
        <v/>
      </c>
      <c r="Q1216">
        <f>VLOOKUP(Table1[[#This Row],[Losing Seed]],'Seed History'!$N$4:$O$19,2)</f>
        <v>0.61805555555555558</v>
      </c>
      <c r="R1216" s="1">
        <f>IF(Table1[[#This Row],[Round]]="PI",0,Table1[[#This Row],[Round]]-1)</f>
        <v>0</v>
      </c>
      <c r="S1216">
        <f>Table1[[#This Row],[LAW]]-Table1[[#This Row],[LEW]]</f>
        <v>-0.61805555555555558</v>
      </c>
    </row>
    <row r="1217" spans="1:19" x14ac:dyDescent="0.25">
      <c r="A1217" s="66">
        <v>38064</v>
      </c>
      <c r="B1217" s="51">
        <f>YEAR(Table1[[#This Row],[Date]])</f>
        <v>2004</v>
      </c>
      <c r="C1217" s="1">
        <v>1</v>
      </c>
      <c r="D1217" t="s">
        <v>38</v>
      </c>
      <c r="E1217" s="1">
        <v>8</v>
      </c>
      <c r="F1217" t="s">
        <v>113</v>
      </c>
      <c r="G1217" t="str">
        <f>VLOOKUP(Table1[[#This Row],[Winner]],Ranking!C:D,2,FALSE)</f>
        <v>SEC</v>
      </c>
      <c r="H1217" s="1">
        <v>65</v>
      </c>
      <c r="I1217" s="1">
        <v>9</v>
      </c>
      <c r="J1217" t="s">
        <v>362</v>
      </c>
      <c r="K1217" t="str">
        <f>VLOOKUP(Table1[[#This Row],[Loser]],Ranking!C:D,2,FALSE)</f>
        <v>MVC</v>
      </c>
      <c r="L1217" s="1">
        <v>64</v>
      </c>
      <c r="N1217" s="1">
        <f>Table1[[#This Row],[Winning Score]]-Table1[[#This Row],[Losing Score]]</f>
        <v>1</v>
      </c>
      <c r="O1217" s="1">
        <f>Table1[[#This Row],[Losing Seed]]-Table1[[#This Row],[Winning Seed]]</f>
        <v>1</v>
      </c>
      <c r="P1217" s="1" t="str">
        <f>IF(Table1[[#This Row],[SeD]]&lt;-2,Table1[[#This Row],[Winning Seed]]&amp; " over " &amp;Table1[[#This Row],[Losing Seed]],"")</f>
        <v/>
      </c>
      <c r="Q1217">
        <f>VLOOKUP(Table1[[#This Row],[Losing Seed]],'Seed History'!$N$4:$O$19,2)</f>
        <v>0.59027777777777779</v>
      </c>
      <c r="R1217" s="1">
        <f>IF(Table1[[#This Row],[Round]]="PI",0,Table1[[#This Row],[Round]]-1)</f>
        <v>0</v>
      </c>
      <c r="S1217">
        <f>Table1[[#This Row],[LAW]]-Table1[[#This Row],[LEW]]</f>
        <v>-0.59027777777777779</v>
      </c>
    </row>
    <row r="1218" spans="1:19" x14ac:dyDescent="0.25">
      <c r="A1218" s="66">
        <v>38064</v>
      </c>
      <c r="B1218" s="51">
        <f>YEAR(Table1[[#This Row],[Date]])</f>
        <v>2004</v>
      </c>
      <c r="C1218" s="1">
        <v>1</v>
      </c>
      <c r="D1218" t="s">
        <v>439</v>
      </c>
      <c r="E1218" s="1">
        <v>10</v>
      </c>
      <c r="F1218" t="s">
        <v>289</v>
      </c>
      <c r="G1218" t="str">
        <f>VLOOKUP(Table1[[#This Row],[Winner]],Ranking!C:D,2,FALSE)</f>
        <v>MWC</v>
      </c>
      <c r="H1218" s="1">
        <v>72</v>
      </c>
      <c r="I1218" s="1">
        <v>7</v>
      </c>
      <c r="J1218" t="s">
        <v>271</v>
      </c>
      <c r="K1218" t="str">
        <f>VLOOKUP(Table1[[#This Row],[Loser]],Ranking!C:D,2,FALSE)</f>
        <v>B10</v>
      </c>
      <c r="L1218" s="1">
        <v>66</v>
      </c>
      <c r="N1218" s="1">
        <f>Table1[[#This Row],[Winning Score]]-Table1[[#This Row],[Losing Score]]</f>
        <v>6</v>
      </c>
      <c r="O1218" s="1">
        <f>Table1[[#This Row],[Losing Seed]]-Table1[[#This Row],[Winning Seed]]</f>
        <v>-3</v>
      </c>
      <c r="P1218" s="1" t="str">
        <f>IF(Table1[[#This Row],[SeD]]&lt;-2,Table1[[#This Row],[Winning Seed]]&amp; " over " &amp;Table1[[#This Row],[Losing Seed]],"")</f>
        <v>10 over 7</v>
      </c>
      <c r="Q1218">
        <f>VLOOKUP(Table1[[#This Row],[Losing Seed]],'Seed History'!$N$4:$O$19,2)</f>
        <v>0.90277777777777779</v>
      </c>
      <c r="R1218" s="1">
        <f>IF(Table1[[#This Row],[Round]]="PI",0,Table1[[#This Row],[Round]]-1)</f>
        <v>0</v>
      </c>
      <c r="S1218">
        <f>Table1[[#This Row],[LAW]]-Table1[[#This Row],[LEW]]</f>
        <v>-0.90277777777777779</v>
      </c>
    </row>
    <row r="1219" spans="1:19" x14ac:dyDescent="0.25">
      <c r="A1219" s="66">
        <v>38065</v>
      </c>
      <c r="B1219" s="51">
        <f>YEAR(Table1[[#This Row],[Date]])</f>
        <v>2004</v>
      </c>
      <c r="C1219" s="1">
        <v>1</v>
      </c>
      <c r="D1219" t="s">
        <v>439</v>
      </c>
      <c r="E1219" s="1">
        <v>12</v>
      </c>
      <c r="F1219" t="s">
        <v>320</v>
      </c>
      <c r="G1219" t="str">
        <f>VLOOKUP(Table1[[#This Row],[Winner]],Ranking!C:D,2,FALSE)</f>
        <v>WCC</v>
      </c>
      <c r="H1219" s="1">
        <v>66</v>
      </c>
      <c r="I1219" s="1">
        <v>5</v>
      </c>
      <c r="J1219" t="s">
        <v>56</v>
      </c>
      <c r="K1219" t="str">
        <f>VLOOKUP(Table1[[#This Row],[Loser]],Ranking!C:D,2,FALSE)</f>
        <v>BE</v>
      </c>
      <c r="L1219" s="1">
        <v>58</v>
      </c>
      <c r="N1219" s="1">
        <f>Table1[[#This Row],[Winning Score]]-Table1[[#This Row],[Losing Score]]</f>
        <v>8</v>
      </c>
      <c r="O1219" s="1">
        <f>Table1[[#This Row],[Losing Seed]]-Table1[[#This Row],[Winning Seed]]</f>
        <v>-7</v>
      </c>
      <c r="P1219" s="1" t="str">
        <f>IF(Table1[[#This Row],[SeD]]&lt;-2,Table1[[#This Row],[Winning Seed]]&amp; " over " &amp;Table1[[#This Row],[Losing Seed]],"")</f>
        <v>12 over 5</v>
      </c>
      <c r="Q1219">
        <f>VLOOKUP(Table1[[#This Row],[Losing Seed]],'Seed History'!$N$4:$O$19,2)</f>
        <v>1.1180555555555556</v>
      </c>
      <c r="R1219" s="1">
        <f>IF(Table1[[#This Row],[Round]]="PI",0,Table1[[#This Row],[Round]]-1)</f>
        <v>0</v>
      </c>
      <c r="S1219">
        <f>Table1[[#This Row],[LAW]]-Table1[[#This Row],[LEW]]</f>
        <v>-1.1180555555555556</v>
      </c>
    </row>
    <row r="1220" spans="1:19" x14ac:dyDescent="0.25">
      <c r="A1220" s="66">
        <v>38065</v>
      </c>
      <c r="B1220" s="51">
        <f>YEAR(Table1[[#This Row],[Date]])</f>
        <v>2004</v>
      </c>
      <c r="C1220" s="1">
        <v>1</v>
      </c>
      <c r="D1220" t="s">
        <v>49</v>
      </c>
      <c r="E1220" s="1">
        <v>2</v>
      </c>
      <c r="F1220" t="s">
        <v>316</v>
      </c>
      <c r="G1220" t="str">
        <f>VLOOKUP(Table1[[#This Row],[Winner]],Ranking!C:D,2,FALSE)</f>
        <v>B12</v>
      </c>
      <c r="H1220" s="1">
        <v>75</v>
      </c>
      <c r="I1220" s="1">
        <v>15</v>
      </c>
      <c r="J1220" t="s">
        <v>196</v>
      </c>
      <c r="K1220" t="str">
        <f>VLOOKUP(Table1[[#This Row],[Loser]],Ranking!C:D,2,FALSE)</f>
        <v>BSky</v>
      </c>
      <c r="L1220" s="1">
        <v>56</v>
      </c>
      <c r="N1220" s="1">
        <f>Table1[[#This Row],[Winning Score]]-Table1[[#This Row],[Losing Score]]</f>
        <v>19</v>
      </c>
      <c r="O1220" s="1">
        <f>Table1[[#This Row],[Losing Seed]]-Table1[[#This Row],[Winning Seed]]</f>
        <v>13</v>
      </c>
      <c r="P1220" s="1" t="str">
        <f>IF(Table1[[#This Row],[SeD]]&lt;-2,Table1[[#This Row],[Winning Seed]]&amp; " over " &amp;Table1[[#This Row],[Losing Seed]],"")</f>
        <v/>
      </c>
      <c r="Q1220">
        <f>VLOOKUP(Table1[[#This Row],[Losing Seed]],'Seed History'!$N$4:$O$19,2)</f>
        <v>7.6388888888888895E-2</v>
      </c>
      <c r="R1220" s="1">
        <f>IF(Table1[[#This Row],[Round]]="PI",0,Table1[[#This Row],[Round]]-1)</f>
        <v>0</v>
      </c>
      <c r="S1220">
        <f>Table1[[#This Row],[LAW]]-Table1[[#This Row],[LEW]]</f>
        <v>-7.6388888888888895E-2</v>
      </c>
    </row>
    <row r="1221" spans="1:19" x14ac:dyDescent="0.25">
      <c r="A1221" s="66">
        <v>38065</v>
      </c>
      <c r="B1221" s="51">
        <f>YEAR(Table1[[#This Row],[Date]])</f>
        <v>2004</v>
      </c>
      <c r="C1221" s="1">
        <v>1</v>
      </c>
      <c r="D1221" t="s">
        <v>49</v>
      </c>
      <c r="E1221" s="1">
        <v>3</v>
      </c>
      <c r="F1221" t="s">
        <v>83</v>
      </c>
      <c r="G1221" t="str">
        <f>VLOOKUP(Table1[[#This Row],[Winner]],Ranking!C:D,2,FALSE)</f>
        <v>ACC</v>
      </c>
      <c r="H1221" s="1">
        <v>53</v>
      </c>
      <c r="I1221" s="1">
        <v>14</v>
      </c>
      <c r="J1221" t="s">
        <v>389</v>
      </c>
      <c r="K1221" t="str">
        <f>VLOOKUP(Table1[[#This Row],[Loser]],Ranking!C:D,2,FALSE)</f>
        <v>Amer</v>
      </c>
      <c r="L1221" s="1">
        <v>44</v>
      </c>
      <c r="N1221" s="1">
        <f>Table1[[#This Row],[Winning Score]]-Table1[[#This Row],[Losing Score]]</f>
        <v>9</v>
      </c>
      <c r="O1221" s="1">
        <f>Table1[[#This Row],[Losing Seed]]-Table1[[#This Row],[Winning Seed]]</f>
        <v>11</v>
      </c>
      <c r="P1221" s="1" t="str">
        <f>IF(Table1[[#This Row],[SeD]]&lt;-2,Table1[[#This Row],[Winning Seed]]&amp; " over " &amp;Table1[[#This Row],[Losing Seed]],"")</f>
        <v/>
      </c>
      <c r="Q1221">
        <f>VLOOKUP(Table1[[#This Row],[Losing Seed]],'Seed History'!$N$4:$O$19,2)</f>
        <v>0.16666666666666666</v>
      </c>
      <c r="R1221" s="1">
        <f>IF(Table1[[#This Row],[Round]]="PI",0,Table1[[#This Row],[Round]]-1)</f>
        <v>0</v>
      </c>
      <c r="S1221">
        <f>Table1[[#This Row],[LAW]]-Table1[[#This Row],[LEW]]</f>
        <v>-0.16666666666666666</v>
      </c>
    </row>
    <row r="1222" spans="1:19" x14ac:dyDescent="0.25">
      <c r="A1222" s="66">
        <v>38065</v>
      </c>
      <c r="B1222" s="51">
        <f>YEAR(Table1[[#This Row],[Date]])</f>
        <v>2004</v>
      </c>
      <c r="C1222" s="1">
        <v>1</v>
      </c>
      <c r="D1222" t="s">
        <v>49</v>
      </c>
      <c r="E1222" s="1">
        <v>6</v>
      </c>
      <c r="F1222" t="s">
        <v>39</v>
      </c>
      <c r="G1222" t="str">
        <f>VLOOKUP(Table1[[#This Row],[Winner]],Ranking!C:D,2,FALSE)</f>
        <v>B10</v>
      </c>
      <c r="H1222" s="1">
        <v>76</v>
      </c>
      <c r="I1222" s="1">
        <v>11</v>
      </c>
      <c r="J1222" t="s">
        <v>331</v>
      </c>
      <c r="K1222" t="str">
        <f>VLOOKUP(Table1[[#This Row],[Loser]],Ranking!C:D,2,FALSE)</f>
        <v>A10</v>
      </c>
      <c r="L1222" s="1">
        <v>64</v>
      </c>
      <c r="N1222" s="1">
        <f>Table1[[#This Row],[Winning Score]]-Table1[[#This Row],[Losing Score]]</f>
        <v>12</v>
      </c>
      <c r="O1222" s="1">
        <f>Table1[[#This Row],[Losing Seed]]-Table1[[#This Row],[Winning Seed]]</f>
        <v>5</v>
      </c>
      <c r="P1222" s="1" t="str">
        <f>IF(Table1[[#This Row],[SeD]]&lt;-2,Table1[[#This Row],[Winning Seed]]&amp; " over " &amp;Table1[[#This Row],[Losing Seed]],"")</f>
        <v/>
      </c>
      <c r="Q1222">
        <f>VLOOKUP(Table1[[#This Row],[Losing Seed]],'Seed History'!$N$4:$O$19,2)</f>
        <v>0.63194444444444442</v>
      </c>
      <c r="R1222" s="1">
        <f>IF(Table1[[#This Row],[Round]]="PI",0,Table1[[#This Row],[Round]]-1)</f>
        <v>0</v>
      </c>
      <c r="S1222">
        <f>Table1[[#This Row],[LAW]]-Table1[[#This Row],[LEW]]</f>
        <v>-0.63194444444444442</v>
      </c>
    </row>
    <row r="1223" spans="1:19" x14ac:dyDescent="0.25">
      <c r="A1223" s="66">
        <v>38065</v>
      </c>
      <c r="B1223" s="51">
        <f>YEAR(Table1[[#This Row],[Date]])</f>
        <v>2004</v>
      </c>
      <c r="C1223" s="1">
        <v>1</v>
      </c>
      <c r="D1223" t="s">
        <v>49</v>
      </c>
      <c r="E1223" s="1">
        <v>7</v>
      </c>
      <c r="F1223" t="s">
        <v>267</v>
      </c>
      <c r="G1223" t="str">
        <f>VLOOKUP(Table1[[#This Row],[Winner]],Ranking!C:D,2,FALSE)</f>
        <v>Amer</v>
      </c>
      <c r="H1223" s="1">
        <v>59</v>
      </c>
      <c r="I1223" s="1">
        <v>10</v>
      </c>
      <c r="J1223" t="s">
        <v>354</v>
      </c>
      <c r="K1223" t="str">
        <f>VLOOKUP(Table1[[#This Row],[Loser]],Ranking!C:D,2,FALSE)</f>
        <v>SEC</v>
      </c>
      <c r="L1223" s="1">
        <v>43</v>
      </c>
      <c r="N1223" s="1">
        <f>Table1[[#This Row],[Winning Score]]-Table1[[#This Row],[Losing Score]]</f>
        <v>16</v>
      </c>
      <c r="O1223" s="1">
        <f>Table1[[#This Row],[Losing Seed]]-Table1[[#This Row],[Winning Seed]]</f>
        <v>3</v>
      </c>
      <c r="P1223" s="1" t="str">
        <f>IF(Table1[[#This Row],[SeD]]&lt;-2,Table1[[#This Row],[Winning Seed]]&amp; " over " &amp;Table1[[#This Row],[Losing Seed]],"")</f>
        <v/>
      </c>
      <c r="Q1223">
        <f>VLOOKUP(Table1[[#This Row],[Losing Seed]],'Seed History'!$N$4:$O$19,2)</f>
        <v>0.61805555555555558</v>
      </c>
      <c r="R1223" s="1">
        <f>IF(Table1[[#This Row],[Round]]="PI",0,Table1[[#This Row],[Round]]-1)</f>
        <v>0</v>
      </c>
      <c r="S1223">
        <f>Table1[[#This Row],[LAW]]-Table1[[#This Row],[LEW]]</f>
        <v>-0.61805555555555558</v>
      </c>
    </row>
    <row r="1224" spans="1:19" x14ac:dyDescent="0.25">
      <c r="A1224" s="66">
        <v>38065</v>
      </c>
      <c r="B1224" s="51">
        <f>YEAR(Table1[[#This Row],[Date]])</f>
        <v>2004</v>
      </c>
      <c r="C1224" s="1">
        <v>1</v>
      </c>
      <c r="D1224" t="s">
        <v>439</v>
      </c>
      <c r="E1224" s="1">
        <v>1</v>
      </c>
      <c r="F1224" t="s">
        <v>26</v>
      </c>
      <c r="G1224" t="str">
        <f>VLOOKUP(Table1[[#This Row],[Winner]],Ranking!C:D,2,FALSE)</f>
        <v>SEC</v>
      </c>
      <c r="H1224" s="1">
        <v>96</v>
      </c>
      <c r="I1224" s="1">
        <v>16</v>
      </c>
      <c r="J1224" t="s">
        <v>203</v>
      </c>
      <c r="K1224" t="str">
        <f>VLOOKUP(Table1[[#This Row],[Loser]],Ranking!C:D,2,FALSE)</f>
        <v>MEAC</v>
      </c>
      <c r="L1224" s="1">
        <v>76</v>
      </c>
      <c r="N1224" s="1">
        <f>Table1[[#This Row],[Winning Score]]-Table1[[#This Row],[Losing Score]]</f>
        <v>20</v>
      </c>
      <c r="O1224" s="1">
        <f>Table1[[#This Row],[Losing Seed]]-Table1[[#This Row],[Winning Seed]]</f>
        <v>15</v>
      </c>
      <c r="P1224" s="1" t="str">
        <f>IF(Table1[[#This Row],[SeD]]&lt;-2,Table1[[#This Row],[Winning Seed]]&amp; " over " &amp;Table1[[#This Row],[Losing Seed]],"")</f>
        <v/>
      </c>
      <c r="Q1224">
        <f>VLOOKUP(Table1[[#This Row],[Losing Seed]],'Seed History'!$N$4:$O$19,2)</f>
        <v>6.9444444444444441E-3</v>
      </c>
      <c r="R1224" s="1">
        <f>IF(Table1[[#This Row],[Round]]="PI",0,Table1[[#This Row],[Round]]-1)</f>
        <v>0</v>
      </c>
      <c r="S1224">
        <f>Table1[[#This Row],[LAW]]-Table1[[#This Row],[LEW]]</f>
        <v>-6.9444444444444441E-3</v>
      </c>
    </row>
    <row r="1225" spans="1:19" x14ac:dyDescent="0.25">
      <c r="A1225" s="66">
        <v>38065</v>
      </c>
      <c r="B1225" s="51">
        <f>YEAR(Table1[[#This Row],[Date]])</f>
        <v>2004</v>
      </c>
      <c r="C1225" s="1">
        <v>1</v>
      </c>
      <c r="D1225" t="s">
        <v>439</v>
      </c>
      <c r="E1225" s="1">
        <v>3</v>
      </c>
      <c r="F1225" t="s">
        <v>216</v>
      </c>
      <c r="G1225" t="str">
        <f>VLOOKUP(Table1[[#This Row],[Winner]],Ranking!C:D,2,FALSE)</f>
        <v>ACC</v>
      </c>
      <c r="H1225" s="1">
        <v>65</v>
      </c>
      <c r="I1225" s="1">
        <v>14</v>
      </c>
      <c r="J1225" t="s">
        <v>310</v>
      </c>
      <c r="K1225" t="str">
        <f>VLOOKUP(Table1[[#This Row],[Loser]],Ranking!C:D,2,FALSE)</f>
        <v>MVC</v>
      </c>
      <c r="L1225" s="1">
        <v>60</v>
      </c>
      <c r="N1225" s="1">
        <f>Table1[[#This Row],[Winning Score]]-Table1[[#This Row],[Losing Score]]</f>
        <v>5</v>
      </c>
      <c r="O1225" s="1">
        <f>Table1[[#This Row],[Losing Seed]]-Table1[[#This Row],[Winning Seed]]</f>
        <v>11</v>
      </c>
      <c r="P1225" s="1" t="str">
        <f>IF(Table1[[#This Row],[SeD]]&lt;-2,Table1[[#This Row],[Winning Seed]]&amp; " over " &amp;Table1[[#This Row],[Losing Seed]],"")</f>
        <v/>
      </c>
      <c r="Q1225">
        <f>VLOOKUP(Table1[[#This Row],[Losing Seed]],'Seed History'!$N$4:$O$19,2)</f>
        <v>0.16666666666666666</v>
      </c>
      <c r="R1225" s="1">
        <f>IF(Table1[[#This Row],[Round]]="PI",0,Table1[[#This Row],[Round]]-1)</f>
        <v>0</v>
      </c>
      <c r="S1225">
        <f>Table1[[#This Row],[LAW]]-Table1[[#This Row],[LEW]]</f>
        <v>-0.16666666666666666</v>
      </c>
    </row>
    <row r="1226" spans="1:19" x14ac:dyDescent="0.25">
      <c r="A1226" s="66">
        <v>38065</v>
      </c>
      <c r="B1226" s="51">
        <f>YEAR(Table1[[#This Row],[Date]])</f>
        <v>2004</v>
      </c>
      <c r="C1226" s="1">
        <v>1</v>
      </c>
      <c r="D1226" t="s">
        <v>439</v>
      </c>
      <c r="E1226" s="1">
        <v>4</v>
      </c>
      <c r="F1226" t="s">
        <v>37</v>
      </c>
      <c r="G1226" t="str">
        <f>VLOOKUP(Table1[[#This Row],[Winner]],Ranking!C:D,2,FALSE)</f>
        <v>B12</v>
      </c>
      <c r="H1226" s="1">
        <v>78</v>
      </c>
      <c r="I1226" s="1">
        <v>13</v>
      </c>
      <c r="J1226" t="s">
        <v>232</v>
      </c>
      <c r="K1226" t="str">
        <f>VLOOKUP(Table1[[#This Row],[Loser]],Ranking!C:D,2,FALSE)</f>
        <v>Horz</v>
      </c>
      <c r="L1226" s="1">
        <v>53</v>
      </c>
      <c r="N1226" s="1">
        <f>Table1[[#This Row],[Winning Score]]-Table1[[#This Row],[Losing Score]]</f>
        <v>25</v>
      </c>
      <c r="O1226" s="1">
        <f>Table1[[#This Row],[Losing Seed]]-Table1[[#This Row],[Winning Seed]]</f>
        <v>9</v>
      </c>
      <c r="P1226" s="1" t="str">
        <f>IF(Table1[[#This Row],[SeD]]&lt;-2,Table1[[#This Row],[Winning Seed]]&amp; " over " &amp;Table1[[#This Row],[Losing Seed]],"")</f>
        <v/>
      </c>
      <c r="Q1226">
        <f>VLOOKUP(Table1[[#This Row],[Losing Seed]],'Seed History'!$N$4:$O$19,2)</f>
        <v>0.25694444444444442</v>
      </c>
      <c r="R1226" s="1">
        <f>IF(Table1[[#This Row],[Round]]="PI",0,Table1[[#This Row],[Round]]-1)</f>
        <v>0</v>
      </c>
      <c r="S1226">
        <f>Table1[[#This Row],[LAW]]-Table1[[#This Row],[LEW]]</f>
        <v>-0.25694444444444442</v>
      </c>
    </row>
    <row r="1227" spans="1:19" x14ac:dyDescent="0.25">
      <c r="A1227" s="66">
        <v>38065</v>
      </c>
      <c r="B1227" s="51">
        <f>YEAR(Table1[[#This Row],[Date]])</f>
        <v>2004</v>
      </c>
      <c r="C1227" s="1">
        <v>1</v>
      </c>
      <c r="D1227" t="s">
        <v>439</v>
      </c>
      <c r="E1227" s="1">
        <v>6</v>
      </c>
      <c r="F1227" t="s">
        <v>138</v>
      </c>
      <c r="G1227" t="str">
        <f>VLOOKUP(Table1[[#This Row],[Winner]],Ranking!C:D,2,FALSE)</f>
        <v>ACC</v>
      </c>
      <c r="H1227" s="1">
        <v>58</v>
      </c>
      <c r="I1227" s="1">
        <v>11</v>
      </c>
      <c r="J1227" t="s">
        <v>65</v>
      </c>
      <c r="K1227" t="str">
        <f>VLOOKUP(Table1[[#This Row],[Loser]],Ranking!C:D,2,FALSE)</f>
        <v>P12</v>
      </c>
      <c r="L1227" s="1">
        <v>51</v>
      </c>
      <c r="N1227" s="1">
        <f>Table1[[#This Row],[Winning Score]]-Table1[[#This Row],[Losing Score]]</f>
        <v>7</v>
      </c>
      <c r="O1227" s="1">
        <f>Table1[[#This Row],[Losing Seed]]-Table1[[#This Row],[Winning Seed]]</f>
        <v>5</v>
      </c>
      <c r="P1227" s="1" t="str">
        <f>IF(Table1[[#This Row],[SeD]]&lt;-2,Table1[[#This Row],[Winning Seed]]&amp; " over " &amp;Table1[[#This Row],[Losing Seed]],"")</f>
        <v/>
      </c>
      <c r="Q1227">
        <f>VLOOKUP(Table1[[#This Row],[Losing Seed]],'Seed History'!$N$4:$O$19,2)</f>
        <v>0.63194444444444442</v>
      </c>
      <c r="R1227" s="1">
        <f>IF(Table1[[#This Row],[Round]]="PI",0,Table1[[#This Row],[Round]]-1)</f>
        <v>0</v>
      </c>
      <c r="S1227">
        <f>Table1[[#This Row],[LAW]]-Table1[[#This Row],[LEW]]</f>
        <v>-0.63194444444444442</v>
      </c>
    </row>
    <row r="1228" spans="1:19" x14ac:dyDescent="0.25">
      <c r="A1228" s="66">
        <v>38065</v>
      </c>
      <c r="B1228" s="51">
        <f>YEAR(Table1[[#This Row],[Date]])</f>
        <v>2004</v>
      </c>
      <c r="C1228" s="1">
        <v>1</v>
      </c>
      <c r="D1228" t="s">
        <v>63</v>
      </c>
      <c r="E1228" s="1">
        <v>2</v>
      </c>
      <c r="F1228" t="s">
        <v>275</v>
      </c>
      <c r="G1228" t="str">
        <f>VLOOKUP(Table1[[#This Row],[Winner]],Ranking!C:D,2,FALSE)</f>
        <v>SEC</v>
      </c>
      <c r="H1228" s="1">
        <v>85</v>
      </c>
      <c r="I1228" s="1">
        <v>15</v>
      </c>
      <c r="J1228" t="s">
        <v>279</v>
      </c>
      <c r="K1228" t="str">
        <f>VLOOKUP(Table1[[#This Row],[Loser]],Ranking!C:D,2,FALSE)</f>
        <v>MAAC</v>
      </c>
      <c r="L1228" s="1">
        <v>52</v>
      </c>
      <c r="N1228" s="1">
        <f>Table1[[#This Row],[Winning Score]]-Table1[[#This Row],[Losing Score]]</f>
        <v>33</v>
      </c>
      <c r="O1228" s="1">
        <f>Table1[[#This Row],[Losing Seed]]-Table1[[#This Row],[Winning Seed]]</f>
        <v>13</v>
      </c>
      <c r="P1228" s="1" t="str">
        <f>IF(Table1[[#This Row],[SeD]]&lt;-2,Table1[[#This Row],[Winning Seed]]&amp; " over " &amp;Table1[[#This Row],[Losing Seed]],"")</f>
        <v/>
      </c>
      <c r="Q1228">
        <f>VLOOKUP(Table1[[#This Row],[Losing Seed]],'Seed History'!$N$4:$O$19,2)</f>
        <v>7.6388888888888895E-2</v>
      </c>
      <c r="R1228" s="1">
        <f>IF(Table1[[#This Row],[Round]]="PI",0,Table1[[#This Row],[Round]]-1)</f>
        <v>0</v>
      </c>
      <c r="S1228">
        <f>Table1[[#This Row],[LAW]]-Table1[[#This Row],[LEW]]</f>
        <v>-7.6388888888888895E-2</v>
      </c>
    </row>
    <row r="1229" spans="1:19" x14ac:dyDescent="0.25">
      <c r="A1229" s="66">
        <v>38065</v>
      </c>
      <c r="B1229" s="51">
        <f>YEAR(Table1[[#This Row],[Date]])</f>
        <v>2004</v>
      </c>
      <c r="C1229" s="1">
        <v>1</v>
      </c>
      <c r="D1229" t="s">
        <v>63</v>
      </c>
      <c r="E1229" s="1">
        <v>4</v>
      </c>
      <c r="F1229" t="s">
        <v>28</v>
      </c>
      <c r="G1229" t="str">
        <f>VLOOKUP(Table1[[#This Row],[Winner]],Ranking!C:D,2,FALSE)</f>
        <v>Amer</v>
      </c>
      <c r="H1229" s="1">
        <v>80</v>
      </c>
      <c r="I1229" s="1">
        <v>13</v>
      </c>
      <c r="J1229" t="s">
        <v>192</v>
      </c>
      <c r="K1229" t="str">
        <f>VLOOKUP(Table1[[#This Row],[Loser]],Ranking!C:D,2,FALSE)</f>
        <v>SC</v>
      </c>
      <c r="L1229" s="1">
        <v>77</v>
      </c>
      <c r="N1229" s="1">
        <f>Table1[[#This Row],[Winning Score]]-Table1[[#This Row],[Losing Score]]</f>
        <v>3</v>
      </c>
      <c r="O1229" s="1">
        <f>Table1[[#This Row],[Losing Seed]]-Table1[[#This Row],[Winning Seed]]</f>
        <v>9</v>
      </c>
      <c r="P1229" s="1" t="str">
        <f>IF(Table1[[#This Row],[SeD]]&lt;-2,Table1[[#This Row],[Winning Seed]]&amp; " over " &amp;Table1[[#This Row],[Losing Seed]],"")</f>
        <v/>
      </c>
      <c r="Q1229">
        <f>VLOOKUP(Table1[[#This Row],[Losing Seed]],'Seed History'!$N$4:$O$19,2)</f>
        <v>0.25694444444444442</v>
      </c>
      <c r="R1229" s="1">
        <f>IF(Table1[[#This Row],[Round]]="PI",0,Table1[[#This Row],[Round]]-1)</f>
        <v>0</v>
      </c>
      <c r="S1229">
        <f>Table1[[#This Row],[LAW]]-Table1[[#This Row],[LEW]]</f>
        <v>-0.25694444444444442</v>
      </c>
    </row>
    <row r="1230" spans="1:19" x14ac:dyDescent="0.25">
      <c r="A1230" s="66">
        <v>38065</v>
      </c>
      <c r="B1230" s="51">
        <f>YEAR(Table1[[#This Row],[Date]])</f>
        <v>2004</v>
      </c>
      <c r="C1230" s="1">
        <v>1</v>
      </c>
      <c r="D1230" t="s">
        <v>63</v>
      </c>
      <c r="E1230" s="1">
        <v>5</v>
      </c>
      <c r="F1230" t="s">
        <v>230</v>
      </c>
      <c r="G1230" t="str">
        <f>VLOOKUP(Table1[[#This Row],[Winner]],Ranking!C:D,2,FALSE)</f>
        <v>B10</v>
      </c>
      <c r="H1230" s="1">
        <v>72</v>
      </c>
      <c r="I1230" s="1">
        <v>12</v>
      </c>
      <c r="J1230" t="s">
        <v>285</v>
      </c>
      <c r="K1230" t="str">
        <f>VLOOKUP(Table1[[#This Row],[Loser]],Ranking!C:D,2,FALSE)</f>
        <v>OVC</v>
      </c>
      <c r="L1230" s="1">
        <v>53</v>
      </c>
      <c r="N1230" s="1">
        <f>Table1[[#This Row],[Winning Score]]-Table1[[#This Row],[Losing Score]]</f>
        <v>19</v>
      </c>
      <c r="O1230" s="1">
        <f>Table1[[#This Row],[Losing Seed]]-Table1[[#This Row],[Winning Seed]]</f>
        <v>7</v>
      </c>
      <c r="P1230" s="1" t="str">
        <f>IF(Table1[[#This Row],[SeD]]&lt;-2,Table1[[#This Row],[Winning Seed]]&amp; " over " &amp;Table1[[#This Row],[Losing Seed]],"")</f>
        <v/>
      </c>
      <c r="Q1230">
        <f>VLOOKUP(Table1[[#This Row],[Losing Seed]],'Seed History'!$N$4:$O$19,2)</f>
        <v>0.52083333333333337</v>
      </c>
      <c r="R1230" s="1">
        <f>IF(Table1[[#This Row],[Round]]="PI",0,Table1[[#This Row],[Round]]-1)</f>
        <v>0</v>
      </c>
      <c r="S1230">
        <f>Table1[[#This Row],[LAW]]-Table1[[#This Row],[LEW]]</f>
        <v>-0.52083333333333337</v>
      </c>
    </row>
    <row r="1231" spans="1:19" x14ac:dyDescent="0.25">
      <c r="A1231" s="66">
        <v>38065</v>
      </c>
      <c r="B1231" s="51">
        <f>YEAR(Table1[[#This Row],[Date]])</f>
        <v>2004</v>
      </c>
      <c r="C1231" s="1">
        <v>1</v>
      </c>
      <c r="D1231" t="s">
        <v>63</v>
      </c>
      <c r="E1231" s="1">
        <v>7</v>
      </c>
      <c r="F1231" t="s">
        <v>44</v>
      </c>
      <c r="G1231" t="str">
        <f>VLOOKUP(Table1[[#This Row],[Winner]],Ranking!C:D,2,FALSE)</f>
        <v>BE</v>
      </c>
      <c r="H1231" s="1">
        <v>80</v>
      </c>
      <c r="I1231" s="1">
        <v>10</v>
      </c>
      <c r="J1231" t="s">
        <v>54</v>
      </c>
      <c r="K1231" t="str">
        <f>VLOOKUP(Table1[[#This Row],[Loser]],Ranking!C:D,2,FALSE)</f>
        <v>ACC</v>
      </c>
      <c r="L1231" s="1">
        <v>70</v>
      </c>
      <c r="N1231" s="1">
        <f>Table1[[#This Row],[Winning Score]]-Table1[[#This Row],[Losing Score]]</f>
        <v>10</v>
      </c>
      <c r="O1231" s="1">
        <f>Table1[[#This Row],[Losing Seed]]-Table1[[#This Row],[Winning Seed]]</f>
        <v>3</v>
      </c>
      <c r="P1231" s="1" t="str">
        <f>IF(Table1[[#This Row],[SeD]]&lt;-2,Table1[[#This Row],[Winning Seed]]&amp; " over " &amp;Table1[[#This Row],[Losing Seed]],"")</f>
        <v/>
      </c>
      <c r="Q1231">
        <f>VLOOKUP(Table1[[#This Row],[Losing Seed]],'Seed History'!$N$4:$O$19,2)</f>
        <v>0.61805555555555558</v>
      </c>
      <c r="R1231" s="1">
        <f>IF(Table1[[#This Row],[Round]]="PI",0,Table1[[#This Row],[Round]]-1)</f>
        <v>0</v>
      </c>
      <c r="S1231">
        <f>Table1[[#This Row],[LAW]]-Table1[[#This Row],[LEW]]</f>
        <v>-0.61805555555555558</v>
      </c>
    </row>
    <row r="1232" spans="1:19" x14ac:dyDescent="0.25">
      <c r="A1232" s="66">
        <v>38065</v>
      </c>
      <c r="B1232" s="51">
        <f>YEAR(Table1[[#This Row],[Date]])</f>
        <v>2004</v>
      </c>
      <c r="C1232" s="1">
        <v>1</v>
      </c>
      <c r="D1232" t="s">
        <v>38</v>
      </c>
      <c r="E1232" s="1">
        <v>3</v>
      </c>
      <c r="F1232" t="s">
        <v>301</v>
      </c>
      <c r="G1232" t="e">
        <f>VLOOKUP(Table1[[#This Row],[Winner]],Ranking!C:D,2,FALSE)</f>
        <v>#N/A</v>
      </c>
      <c r="H1232" s="1">
        <v>61</v>
      </c>
      <c r="I1232" s="1">
        <v>14</v>
      </c>
      <c r="J1232" t="s">
        <v>51</v>
      </c>
      <c r="K1232" t="str">
        <f>VLOOKUP(Table1[[#This Row],[Loser]],Ranking!C:D,2,FALSE)</f>
        <v>Pat</v>
      </c>
      <c r="L1232" s="1">
        <v>52</v>
      </c>
      <c r="N1232" s="1">
        <f>Table1[[#This Row],[Winning Score]]-Table1[[#This Row],[Losing Score]]</f>
        <v>9</v>
      </c>
      <c r="O1232" s="1">
        <f>Table1[[#This Row],[Losing Seed]]-Table1[[#This Row],[Winning Seed]]</f>
        <v>11</v>
      </c>
      <c r="P1232" s="1" t="str">
        <f>IF(Table1[[#This Row],[SeD]]&lt;-2,Table1[[#This Row],[Winning Seed]]&amp; " over " &amp;Table1[[#This Row],[Losing Seed]],"")</f>
        <v/>
      </c>
      <c r="Q1232">
        <f>VLOOKUP(Table1[[#This Row],[Losing Seed]],'Seed History'!$N$4:$O$19,2)</f>
        <v>0.16666666666666666</v>
      </c>
      <c r="R1232" s="1">
        <f>IF(Table1[[#This Row],[Round]]="PI",0,Table1[[#This Row],[Round]]-1)</f>
        <v>0</v>
      </c>
      <c r="S1232">
        <f>Table1[[#This Row],[LAW]]-Table1[[#This Row],[LEW]]</f>
        <v>-0.16666666666666666</v>
      </c>
    </row>
    <row r="1233" spans="1:19" x14ac:dyDescent="0.25">
      <c r="A1233" s="66">
        <v>38065</v>
      </c>
      <c r="B1233" s="51">
        <f>YEAR(Table1[[#This Row],[Date]])</f>
        <v>2004</v>
      </c>
      <c r="C1233" s="1">
        <v>1</v>
      </c>
      <c r="D1233" t="s">
        <v>38</v>
      </c>
      <c r="E1233" s="1">
        <v>6</v>
      </c>
      <c r="F1233" t="s">
        <v>78</v>
      </c>
      <c r="G1233" t="str">
        <f>VLOOKUP(Table1[[#This Row],[Winner]],Ranking!C:D,2,FALSE)</f>
        <v>SEC</v>
      </c>
      <c r="H1233" s="1">
        <v>71</v>
      </c>
      <c r="I1233" s="1">
        <v>11</v>
      </c>
      <c r="J1233" t="s">
        <v>416</v>
      </c>
      <c r="K1233" t="str">
        <f>VLOOKUP(Table1[[#This Row],[Loser]],Ranking!C:D,2,FALSE)</f>
        <v>MAC</v>
      </c>
      <c r="L1233" s="1">
        <v>58</v>
      </c>
      <c r="N1233" s="1">
        <f>Table1[[#This Row],[Winning Score]]-Table1[[#This Row],[Losing Score]]</f>
        <v>13</v>
      </c>
      <c r="O1233" s="1">
        <f>Table1[[#This Row],[Losing Seed]]-Table1[[#This Row],[Winning Seed]]</f>
        <v>5</v>
      </c>
      <c r="P1233" s="1" t="str">
        <f>IF(Table1[[#This Row],[SeD]]&lt;-2,Table1[[#This Row],[Winning Seed]]&amp; " over " &amp;Table1[[#This Row],[Losing Seed]],"")</f>
        <v/>
      </c>
      <c r="Q1233">
        <f>VLOOKUP(Table1[[#This Row],[Losing Seed]],'Seed History'!$N$4:$O$19,2)</f>
        <v>0.63194444444444442</v>
      </c>
      <c r="R1233" s="1">
        <f>IF(Table1[[#This Row],[Round]]="PI",0,Table1[[#This Row],[Round]]-1)</f>
        <v>0</v>
      </c>
      <c r="S1233">
        <f>Table1[[#This Row],[LAW]]-Table1[[#This Row],[LEW]]</f>
        <v>-0.63194444444444442</v>
      </c>
    </row>
    <row r="1234" spans="1:19" x14ac:dyDescent="0.25">
      <c r="A1234" s="66">
        <v>38065</v>
      </c>
      <c r="B1234" s="51">
        <f>YEAR(Table1[[#This Row],[Date]])</f>
        <v>2004</v>
      </c>
      <c r="C1234" s="1">
        <v>1</v>
      </c>
      <c r="D1234" t="s">
        <v>439</v>
      </c>
      <c r="E1234" s="1">
        <v>9</v>
      </c>
      <c r="F1234" t="s">
        <v>68</v>
      </c>
      <c r="G1234" t="str">
        <f>VLOOKUP(Table1[[#This Row],[Winner]],Ranking!C:D,2,FALSE)</f>
        <v>CUSA</v>
      </c>
      <c r="H1234" s="1">
        <v>102</v>
      </c>
      <c r="I1234" s="1">
        <v>8</v>
      </c>
      <c r="J1234" t="s">
        <v>409</v>
      </c>
      <c r="K1234" t="str">
        <f>VLOOKUP(Table1[[#This Row],[Loser]],Ranking!C:D,2,FALSE)</f>
        <v>P12</v>
      </c>
      <c r="L1234" s="1">
        <v>100</v>
      </c>
      <c r="N1234" s="1">
        <f>Table1[[#This Row],[Winning Score]]-Table1[[#This Row],[Losing Score]]</f>
        <v>2</v>
      </c>
      <c r="O1234" s="1">
        <f>Table1[[#This Row],[Losing Seed]]-Table1[[#This Row],[Winning Seed]]</f>
        <v>-1</v>
      </c>
      <c r="P1234" s="1" t="str">
        <f>IF(Table1[[#This Row],[SeD]]&lt;-2,Table1[[#This Row],[Winning Seed]]&amp; " over " &amp;Table1[[#This Row],[Losing Seed]],"")</f>
        <v/>
      </c>
      <c r="Q1234">
        <f>VLOOKUP(Table1[[#This Row],[Losing Seed]],'Seed History'!$N$4:$O$19,2)</f>
        <v>0.70833333333333337</v>
      </c>
      <c r="R1234" s="1">
        <f>IF(Table1[[#This Row],[Round]]="PI",0,Table1[[#This Row],[Round]]-1)</f>
        <v>0</v>
      </c>
      <c r="S1234">
        <f>Table1[[#This Row],[LAW]]-Table1[[#This Row],[LEW]]</f>
        <v>-0.70833333333333337</v>
      </c>
    </row>
    <row r="1235" spans="1:19" x14ac:dyDescent="0.25">
      <c r="A1235" s="66">
        <v>38066</v>
      </c>
      <c r="B1235" s="51">
        <f>YEAR(Table1[[#This Row],[Date]])</f>
        <v>2004</v>
      </c>
      <c r="C1235" s="1">
        <v>2</v>
      </c>
      <c r="D1235" t="s">
        <v>439</v>
      </c>
      <c r="E1235" s="1">
        <v>10</v>
      </c>
      <c r="F1235" t="s">
        <v>289</v>
      </c>
      <c r="G1235" t="str">
        <f>VLOOKUP(Table1[[#This Row],[Winner]],Ranking!C:D,2,FALSE)</f>
        <v>MWC</v>
      </c>
      <c r="H1235" s="1">
        <v>91</v>
      </c>
      <c r="I1235" s="1">
        <v>2</v>
      </c>
      <c r="J1235" t="s">
        <v>71</v>
      </c>
      <c r="K1235" t="str">
        <f>VLOOKUP(Table1[[#This Row],[Loser]],Ranking!C:D,2,FALSE)</f>
        <v>WCC</v>
      </c>
      <c r="L1235" s="1">
        <v>72</v>
      </c>
      <c r="N1235" s="1">
        <f>Table1[[#This Row],[Winning Score]]-Table1[[#This Row],[Losing Score]]</f>
        <v>19</v>
      </c>
      <c r="O1235" s="1">
        <f>Table1[[#This Row],[Losing Seed]]-Table1[[#This Row],[Winning Seed]]</f>
        <v>-8</v>
      </c>
      <c r="P1235" s="1" t="str">
        <f>IF(Table1[[#This Row],[SeD]]&lt;-2,Table1[[#This Row],[Winning Seed]]&amp; " over " &amp;Table1[[#This Row],[Losing Seed]],"")</f>
        <v>10 over 2</v>
      </c>
      <c r="Q1235">
        <f>VLOOKUP(Table1[[#This Row],[Losing Seed]],'Seed History'!$N$4:$O$19,2)</f>
        <v>2.3472222222222223</v>
      </c>
      <c r="R1235" s="1">
        <f>IF(Table1[[#This Row],[Round]]="PI",0,Table1[[#This Row],[Round]]-1)</f>
        <v>1</v>
      </c>
      <c r="S1235">
        <f>Table1[[#This Row],[LAW]]-Table1[[#This Row],[LEW]]</f>
        <v>-1.3472222222222223</v>
      </c>
    </row>
    <row r="1236" spans="1:19" x14ac:dyDescent="0.25">
      <c r="A1236" s="66">
        <v>38066</v>
      </c>
      <c r="B1236" s="51">
        <f>YEAR(Table1[[#This Row],[Date]])</f>
        <v>2004</v>
      </c>
      <c r="C1236" s="1">
        <v>2</v>
      </c>
      <c r="D1236" t="s">
        <v>38</v>
      </c>
      <c r="E1236" s="1">
        <v>8</v>
      </c>
      <c r="F1236" t="s">
        <v>113</v>
      </c>
      <c r="G1236" t="str">
        <f>VLOOKUP(Table1[[#This Row],[Winner]],Ranking!C:D,2,FALSE)</f>
        <v>SEC</v>
      </c>
      <c r="H1236" s="1">
        <v>70</v>
      </c>
      <c r="I1236" s="1">
        <v>1</v>
      </c>
      <c r="J1236" t="s">
        <v>369</v>
      </c>
      <c r="K1236" t="str">
        <f>VLOOKUP(Table1[[#This Row],[Loser]],Ranking!C:D,2,FALSE)</f>
        <v>P12</v>
      </c>
      <c r="L1236" s="1">
        <v>67</v>
      </c>
      <c r="N1236" s="1">
        <f>Table1[[#This Row],[Winning Score]]-Table1[[#This Row],[Losing Score]]</f>
        <v>3</v>
      </c>
      <c r="O1236" s="1">
        <f>Table1[[#This Row],[Losing Seed]]-Table1[[#This Row],[Winning Seed]]</f>
        <v>-7</v>
      </c>
      <c r="P1236" s="1" t="str">
        <f>IF(Table1[[#This Row],[SeD]]&lt;-2,Table1[[#This Row],[Winning Seed]]&amp; " over " &amp;Table1[[#This Row],[Losing Seed]],"")</f>
        <v>8 over 1</v>
      </c>
      <c r="Q1236">
        <f>VLOOKUP(Table1[[#This Row],[Losing Seed]],'Seed History'!$N$4:$O$19,2)</f>
        <v>3.3263888888888888</v>
      </c>
      <c r="R1236" s="1">
        <f>IF(Table1[[#This Row],[Round]]="PI",0,Table1[[#This Row],[Round]]-1)</f>
        <v>1</v>
      </c>
      <c r="S1236">
        <f>Table1[[#This Row],[LAW]]-Table1[[#This Row],[LEW]]</f>
        <v>-2.3263888888888888</v>
      </c>
    </row>
    <row r="1237" spans="1:19" x14ac:dyDescent="0.25">
      <c r="A1237" s="66">
        <v>38066</v>
      </c>
      <c r="B1237" s="51">
        <f>YEAR(Table1[[#This Row],[Date]])</f>
        <v>2004</v>
      </c>
      <c r="C1237" s="1">
        <v>2</v>
      </c>
      <c r="D1237" t="s">
        <v>49</v>
      </c>
      <c r="E1237" s="1">
        <v>1</v>
      </c>
      <c r="F1237" t="s">
        <v>337</v>
      </c>
      <c r="G1237" t="str">
        <f>VLOOKUP(Table1[[#This Row],[Winner]],Ranking!C:D,2,FALSE)</f>
        <v>A10</v>
      </c>
      <c r="H1237" s="1">
        <v>70</v>
      </c>
      <c r="I1237" s="1">
        <v>8</v>
      </c>
      <c r="J1237" t="s">
        <v>92</v>
      </c>
      <c r="K1237" t="str">
        <f>VLOOKUP(Table1[[#This Row],[Loser]],Ranking!C:D,2,FALSE)</f>
        <v>B12</v>
      </c>
      <c r="L1237" s="1">
        <v>65</v>
      </c>
      <c r="N1237" s="1">
        <f>Table1[[#This Row],[Winning Score]]-Table1[[#This Row],[Losing Score]]</f>
        <v>5</v>
      </c>
      <c r="O1237" s="1">
        <f>Table1[[#This Row],[Losing Seed]]-Table1[[#This Row],[Winning Seed]]</f>
        <v>7</v>
      </c>
      <c r="P1237" s="1" t="str">
        <f>IF(Table1[[#This Row],[SeD]]&lt;-2,Table1[[#This Row],[Winning Seed]]&amp; " over " &amp;Table1[[#This Row],[Losing Seed]],"")</f>
        <v/>
      </c>
      <c r="Q1237">
        <f>VLOOKUP(Table1[[#This Row],[Losing Seed]],'Seed History'!$N$4:$O$19,2)</f>
        <v>0.70833333333333337</v>
      </c>
      <c r="R1237" s="1">
        <f>IF(Table1[[#This Row],[Round]]="PI",0,Table1[[#This Row],[Round]]-1)</f>
        <v>1</v>
      </c>
      <c r="S1237">
        <f>Table1[[#This Row],[LAW]]-Table1[[#This Row],[LEW]]</f>
        <v>0.29166666666666663</v>
      </c>
    </row>
    <row r="1238" spans="1:19" x14ac:dyDescent="0.25">
      <c r="A1238" s="66">
        <v>38066</v>
      </c>
      <c r="B1238" s="51">
        <f>YEAR(Table1[[#This Row],[Date]])</f>
        <v>2004</v>
      </c>
      <c r="C1238" s="1">
        <v>2</v>
      </c>
      <c r="D1238" t="s">
        <v>49</v>
      </c>
      <c r="E1238" s="1">
        <v>4</v>
      </c>
      <c r="F1238" t="s">
        <v>408</v>
      </c>
      <c r="G1238" t="str">
        <f>VLOOKUP(Table1[[#This Row],[Winner]],Ranking!C:D,2,FALSE)</f>
        <v>ACC</v>
      </c>
      <c r="H1238" s="1">
        <v>84</v>
      </c>
      <c r="I1238" s="1">
        <v>12</v>
      </c>
      <c r="J1238" t="s">
        <v>73</v>
      </c>
      <c r="K1238" t="str">
        <f>VLOOKUP(Table1[[#This Row],[Loser]],Ranking!C:D,2,FALSE)</f>
        <v>MAAC</v>
      </c>
      <c r="L1238" s="1">
        <v>80</v>
      </c>
      <c r="N1238" s="1">
        <f>Table1[[#This Row],[Winning Score]]-Table1[[#This Row],[Losing Score]]</f>
        <v>4</v>
      </c>
      <c r="O1238" s="1">
        <f>Table1[[#This Row],[Losing Seed]]-Table1[[#This Row],[Winning Seed]]</f>
        <v>8</v>
      </c>
      <c r="P1238" s="1" t="str">
        <f>IF(Table1[[#This Row],[SeD]]&lt;-2,Table1[[#This Row],[Winning Seed]]&amp; " over " &amp;Table1[[#This Row],[Losing Seed]],"")</f>
        <v/>
      </c>
      <c r="Q1238">
        <f>VLOOKUP(Table1[[#This Row],[Losing Seed]],'Seed History'!$N$4:$O$19,2)</f>
        <v>0.52083333333333337</v>
      </c>
      <c r="R1238" s="1">
        <f>IF(Table1[[#This Row],[Round]]="PI",0,Table1[[#This Row],[Round]]-1)</f>
        <v>1</v>
      </c>
      <c r="S1238">
        <f>Table1[[#This Row],[LAW]]-Table1[[#This Row],[LEW]]</f>
        <v>0.47916666666666663</v>
      </c>
    </row>
    <row r="1239" spans="1:19" x14ac:dyDescent="0.25">
      <c r="A1239" s="66">
        <v>38066</v>
      </c>
      <c r="B1239" s="51">
        <f>YEAR(Table1[[#This Row],[Date]])</f>
        <v>2004</v>
      </c>
      <c r="C1239" s="1">
        <v>2</v>
      </c>
      <c r="D1239" t="s">
        <v>63</v>
      </c>
      <c r="E1239" s="1">
        <v>1</v>
      </c>
      <c r="F1239" t="s">
        <v>64</v>
      </c>
      <c r="G1239" t="str">
        <f>VLOOKUP(Table1[[#This Row],[Winner]],Ranking!C:D,2,FALSE)</f>
        <v>ACC</v>
      </c>
      <c r="H1239" s="1">
        <v>90</v>
      </c>
      <c r="I1239" s="1">
        <v>8</v>
      </c>
      <c r="J1239" t="s">
        <v>87</v>
      </c>
      <c r="K1239" t="str">
        <f>VLOOKUP(Table1[[#This Row],[Loser]],Ranking!C:D,2,FALSE)</f>
        <v>BE</v>
      </c>
      <c r="L1239" s="1">
        <v>62</v>
      </c>
      <c r="N1239" s="1">
        <f>Table1[[#This Row],[Winning Score]]-Table1[[#This Row],[Losing Score]]</f>
        <v>28</v>
      </c>
      <c r="O1239" s="1">
        <f>Table1[[#This Row],[Losing Seed]]-Table1[[#This Row],[Winning Seed]]</f>
        <v>7</v>
      </c>
      <c r="P1239" s="1" t="str">
        <f>IF(Table1[[#This Row],[SeD]]&lt;-2,Table1[[#This Row],[Winning Seed]]&amp; " over " &amp;Table1[[#This Row],[Losing Seed]],"")</f>
        <v/>
      </c>
      <c r="Q1239">
        <f>VLOOKUP(Table1[[#This Row],[Losing Seed]],'Seed History'!$N$4:$O$19,2)</f>
        <v>0.70833333333333337</v>
      </c>
      <c r="R1239" s="1">
        <f>IF(Table1[[#This Row],[Round]]="PI",0,Table1[[#This Row],[Round]]-1)</f>
        <v>1</v>
      </c>
      <c r="S1239">
        <f>Table1[[#This Row],[LAW]]-Table1[[#This Row],[LEW]]</f>
        <v>0.29166666666666663</v>
      </c>
    </row>
    <row r="1240" spans="1:19" x14ac:dyDescent="0.25">
      <c r="A1240" s="66">
        <v>38066</v>
      </c>
      <c r="B1240" s="51">
        <f>YEAR(Table1[[#This Row],[Date]])</f>
        <v>2004</v>
      </c>
      <c r="C1240" s="1">
        <v>2</v>
      </c>
      <c r="D1240" t="s">
        <v>63</v>
      </c>
      <c r="E1240" s="1">
        <v>3</v>
      </c>
      <c r="F1240" t="s">
        <v>34</v>
      </c>
      <c r="G1240" t="str">
        <f>VLOOKUP(Table1[[#This Row],[Winner]],Ranking!C:D,2,FALSE)</f>
        <v>B12</v>
      </c>
      <c r="H1240" s="1">
        <v>78</v>
      </c>
      <c r="I1240" s="1">
        <v>6</v>
      </c>
      <c r="J1240" t="s">
        <v>298</v>
      </c>
      <c r="K1240" t="str">
        <f>VLOOKUP(Table1[[#This Row],[Loser]],Ranking!C:D,2,FALSE)</f>
        <v>ACC</v>
      </c>
      <c r="L1240" s="1">
        <v>75</v>
      </c>
      <c r="N1240" s="1">
        <f>Table1[[#This Row],[Winning Score]]-Table1[[#This Row],[Losing Score]]</f>
        <v>3</v>
      </c>
      <c r="O1240" s="1">
        <f>Table1[[#This Row],[Losing Seed]]-Table1[[#This Row],[Winning Seed]]</f>
        <v>3</v>
      </c>
      <c r="P1240" s="1" t="str">
        <f>IF(Table1[[#This Row],[SeD]]&lt;-2,Table1[[#This Row],[Winning Seed]]&amp; " over " &amp;Table1[[#This Row],[Losing Seed]],"")</f>
        <v/>
      </c>
      <c r="Q1240">
        <f>VLOOKUP(Table1[[#This Row],[Losing Seed]],'Seed History'!$N$4:$O$19,2)</f>
        <v>1.0625</v>
      </c>
      <c r="R1240" s="1">
        <f>IF(Table1[[#This Row],[Round]]="PI",0,Table1[[#This Row],[Round]]-1)</f>
        <v>1</v>
      </c>
      <c r="S1240">
        <f>Table1[[#This Row],[LAW]]-Table1[[#This Row],[LEW]]</f>
        <v>-6.25E-2</v>
      </c>
    </row>
    <row r="1241" spans="1:19" x14ac:dyDescent="0.25">
      <c r="A1241" s="66">
        <v>38066</v>
      </c>
      <c r="B1241" s="51">
        <f>YEAR(Table1[[#This Row],[Date]])</f>
        <v>2004</v>
      </c>
      <c r="C1241" s="1">
        <v>2</v>
      </c>
      <c r="D1241" t="s">
        <v>38</v>
      </c>
      <c r="E1241" s="1">
        <v>2</v>
      </c>
      <c r="F1241" t="s">
        <v>80</v>
      </c>
      <c r="G1241" t="str">
        <f>VLOOKUP(Table1[[#This Row],[Winner]],Ranking!C:D,2,FALSE)</f>
        <v>BE</v>
      </c>
      <c r="H1241" s="1">
        <v>72</v>
      </c>
      <c r="I1241" s="1">
        <v>7</v>
      </c>
      <c r="J1241" t="s">
        <v>186</v>
      </c>
      <c r="K1241" t="str">
        <f>VLOOKUP(Table1[[#This Row],[Loser]],Ranking!C:D,2,FALSE)</f>
        <v>BE</v>
      </c>
      <c r="L1241" s="1">
        <v>55</v>
      </c>
      <c r="N1241" s="1">
        <f>Table1[[#This Row],[Winning Score]]-Table1[[#This Row],[Losing Score]]</f>
        <v>17</v>
      </c>
      <c r="O1241" s="1">
        <f>Table1[[#This Row],[Losing Seed]]-Table1[[#This Row],[Winning Seed]]</f>
        <v>5</v>
      </c>
      <c r="P1241" s="1" t="str">
        <f>IF(Table1[[#This Row],[SeD]]&lt;-2,Table1[[#This Row],[Winning Seed]]&amp; " over " &amp;Table1[[#This Row],[Losing Seed]],"")</f>
        <v/>
      </c>
      <c r="Q1241">
        <f>VLOOKUP(Table1[[#This Row],[Losing Seed]],'Seed History'!$N$4:$O$19,2)</f>
        <v>0.90277777777777779</v>
      </c>
      <c r="R1241" s="1">
        <f>IF(Table1[[#This Row],[Round]]="PI",0,Table1[[#This Row],[Round]]-1)</f>
        <v>1</v>
      </c>
      <c r="S1241">
        <f>Table1[[#This Row],[LAW]]-Table1[[#This Row],[LEW]]</f>
        <v>9.722222222222221E-2</v>
      </c>
    </row>
    <row r="1242" spans="1:19" x14ac:dyDescent="0.25">
      <c r="A1242" s="66">
        <v>38066</v>
      </c>
      <c r="B1242" s="51">
        <f>YEAR(Table1[[#This Row],[Date]])</f>
        <v>2004</v>
      </c>
      <c r="C1242" s="1">
        <v>2</v>
      </c>
      <c r="D1242" t="s">
        <v>38</v>
      </c>
      <c r="E1242" s="1">
        <v>5</v>
      </c>
      <c r="F1242" t="s">
        <v>86</v>
      </c>
      <c r="G1242" t="str">
        <f>VLOOKUP(Table1[[#This Row],[Winner]],Ranking!C:D,2,FALSE)</f>
        <v>ACC</v>
      </c>
      <c r="H1242" s="1">
        <v>72</v>
      </c>
      <c r="I1242" s="1">
        <v>4</v>
      </c>
      <c r="J1242" t="s">
        <v>31</v>
      </c>
      <c r="K1242" t="str">
        <f>VLOOKUP(Table1[[#This Row],[Loser]],Ranking!C:D,2,FALSE)</f>
        <v>B10</v>
      </c>
      <c r="L1242" s="1">
        <v>70</v>
      </c>
      <c r="N1242" s="1">
        <f>Table1[[#This Row],[Winning Score]]-Table1[[#This Row],[Losing Score]]</f>
        <v>2</v>
      </c>
      <c r="O1242" s="1">
        <f>Table1[[#This Row],[Losing Seed]]-Table1[[#This Row],[Winning Seed]]</f>
        <v>-1</v>
      </c>
      <c r="P1242" s="1" t="str">
        <f>IF(Table1[[#This Row],[SeD]]&lt;-2,Table1[[#This Row],[Winning Seed]]&amp; " over " &amp;Table1[[#This Row],[Losing Seed]],"")</f>
        <v/>
      </c>
      <c r="Q1242">
        <f>VLOOKUP(Table1[[#This Row],[Losing Seed]],'Seed History'!$N$4:$O$19,2)</f>
        <v>1.5208333333333333</v>
      </c>
      <c r="R1242" s="1">
        <f>IF(Table1[[#This Row],[Round]]="PI",0,Table1[[#This Row],[Round]]-1)</f>
        <v>1</v>
      </c>
      <c r="S1242">
        <f>Table1[[#This Row],[LAW]]-Table1[[#This Row],[LEW]]</f>
        <v>-0.52083333333333326</v>
      </c>
    </row>
    <row r="1243" spans="1:19" x14ac:dyDescent="0.25">
      <c r="A1243" s="66">
        <v>38067</v>
      </c>
      <c r="B1243" s="51">
        <f>YEAR(Table1[[#This Row],[Date]])</f>
        <v>2004</v>
      </c>
      <c r="C1243" s="1">
        <v>2</v>
      </c>
      <c r="D1243" t="s">
        <v>439</v>
      </c>
      <c r="E1243" s="1">
        <v>9</v>
      </c>
      <c r="F1243" t="s">
        <v>68</v>
      </c>
      <c r="G1243" t="str">
        <f>VLOOKUP(Table1[[#This Row],[Winner]],Ranking!C:D,2,FALSE)</f>
        <v>CUSA</v>
      </c>
      <c r="H1243" s="1">
        <v>76</v>
      </c>
      <c r="I1243" s="1">
        <v>1</v>
      </c>
      <c r="J1243" t="s">
        <v>26</v>
      </c>
      <c r="K1243" t="str">
        <f>VLOOKUP(Table1[[#This Row],[Loser]],Ranking!C:D,2,FALSE)</f>
        <v>SEC</v>
      </c>
      <c r="L1243" s="1">
        <v>75</v>
      </c>
      <c r="N1243" s="1">
        <f>Table1[[#This Row],[Winning Score]]-Table1[[#This Row],[Losing Score]]</f>
        <v>1</v>
      </c>
      <c r="O1243" s="1">
        <f>Table1[[#This Row],[Losing Seed]]-Table1[[#This Row],[Winning Seed]]</f>
        <v>-8</v>
      </c>
      <c r="P1243" s="1" t="str">
        <f>IF(Table1[[#This Row],[SeD]]&lt;-2,Table1[[#This Row],[Winning Seed]]&amp; " over " &amp;Table1[[#This Row],[Losing Seed]],"")</f>
        <v>9 over 1</v>
      </c>
      <c r="Q1243">
        <f>VLOOKUP(Table1[[#This Row],[Losing Seed]],'Seed History'!$N$4:$O$19,2)</f>
        <v>3.3263888888888888</v>
      </c>
      <c r="R1243" s="1">
        <f>IF(Table1[[#This Row],[Round]]="PI",0,Table1[[#This Row],[Round]]-1)</f>
        <v>1</v>
      </c>
      <c r="S1243">
        <f>Table1[[#This Row],[LAW]]-Table1[[#This Row],[LEW]]</f>
        <v>-2.3263888888888888</v>
      </c>
    </row>
    <row r="1244" spans="1:19" x14ac:dyDescent="0.25">
      <c r="A1244" s="66">
        <v>38067</v>
      </c>
      <c r="B1244" s="51">
        <f>YEAR(Table1[[#This Row],[Date]])</f>
        <v>2004</v>
      </c>
      <c r="C1244" s="1">
        <v>2</v>
      </c>
      <c r="D1244" t="s">
        <v>63</v>
      </c>
      <c r="E1244" s="1">
        <v>7</v>
      </c>
      <c r="F1244" t="s">
        <v>44</v>
      </c>
      <c r="G1244" t="str">
        <f>VLOOKUP(Table1[[#This Row],[Winner]],Ranking!C:D,2,FALSE)</f>
        <v>BE</v>
      </c>
      <c r="H1244" s="1">
        <v>89</v>
      </c>
      <c r="I1244" s="1">
        <v>2</v>
      </c>
      <c r="J1244" t="s">
        <v>275</v>
      </c>
      <c r="K1244" t="str">
        <f>VLOOKUP(Table1[[#This Row],[Loser]],Ranking!C:D,2,FALSE)</f>
        <v>SEC</v>
      </c>
      <c r="L1244" s="1">
        <v>74</v>
      </c>
      <c r="N1244" s="1">
        <f>Table1[[#This Row],[Winning Score]]-Table1[[#This Row],[Losing Score]]</f>
        <v>15</v>
      </c>
      <c r="O1244" s="1">
        <f>Table1[[#This Row],[Losing Seed]]-Table1[[#This Row],[Winning Seed]]</f>
        <v>-5</v>
      </c>
      <c r="P1244" s="1" t="str">
        <f>IF(Table1[[#This Row],[SeD]]&lt;-2,Table1[[#This Row],[Winning Seed]]&amp; " over " &amp;Table1[[#This Row],[Losing Seed]],"")</f>
        <v>7 over 2</v>
      </c>
      <c r="Q1244">
        <f>VLOOKUP(Table1[[#This Row],[Losing Seed]],'Seed History'!$N$4:$O$19,2)</f>
        <v>2.3472222222222223</v>
      </c>
      <c r="R1244" s="1">
        <f>IF(Table1[[#This Row],[Round]]="PI",0,Table1[[#This Row],[Round]]-1)</f>
        <v>1</v>
      </c>
      <c r="S1244">
        <f>Table1[[#This Row],[LAW]]-Table1[[#This Row],[LEW]]</f>
        <v>-1.3472222222222223</v>
      </c>
    </row>
    <row r="1245" spans="1:19" x14ac:dyDescent="0.25">
      <c r="A1245" s="66">
        <v>38067</v>
      </c>
      <c r="B1245" s="51">
        <f>YEAR(Table1[[#This Row],[Date]])</f>
        <v>2004</v>
      </c>
      <c r="C1245" s="1">
        <v>2</v>
      </c>
      <c r="D1245" t="s">
        <v>49</v>
      </c>
      <c r="E1245" s="1">
        <v>2</v>
      </c>
      <c r="F1245" t="s">
        <v>316</v>
      </c>
      <c r="G1245" t="str">
        <f>VLOOKUP(Table1[[#This Row],[Winner]],Ranking!C:D,2,FALSE)</f>
        <v>B12</v>
      </c>
      <c r="H1245" s="1">
        <v>70</v>
      </c>
      <c r="I1245" s="1">
        <v>7</v>
      </c>
      <c r="J1245" t="s">
        <v>267</v>
      </c>
      <c r="K1245" t="str">
        <f>VLOOKUP(Table1[[#This Row],[Loser]],Ranking!C:D,2,FALSE)</f>
        <v>Amer</v>
      </c>
      <c r="L1245" s="1">
        <v>53</v>
      </c>
      <c r="N1245" s="1">
        <f>Table1[[#This Row],[Winning Score]]-Table1[[#This Row],[Losing Score]]</f>
        <v>17</v>
      </c>
      <c r="O1245" s="1">
        <f>Table1[[#This Row],[Losing Seed]]-Table1[[#This Row],[Winning Seed]]</f>
        <v>5</v>
      </c>
      <c r="P1245" s="1" t="str">
        <f>IF(Table1[[#This Row],[SeD]]&lt;-2,Table1[[#This Row],[Winning Seed]]&amp; " over " &amp;Table1[[#This Row],[Losing Seed]],"")</f>
        <v/>
      </c>
      <c r="Q1245">
        <f>VLOOKUP(Table1[[#This Row],[Losing Seed]],'Seed History'!$N$4:$O$19,2)</f>
        <v>0.90277777777777779</v>
      </c>
      <c r="R1245" s="1">
        <f>IF(Table1[[#This Row],[Round]]="PI",0,Table1[[#This Row],[Round]]-1)</f>
        <v>1</v>
      </c>
      <c r="S1245">
        <f>Table1[[#This Row],[LAW]]-Table1[[#This Row],[LEW]]</f>
        <v>9.722222222222221E-2</v>
      </c>
    </row>
    <row r="1246" spans="1:19" x14ac:dyDescent="0.25">
      <c r="A1246" s="66">
        <v>38067</v>
      </c>
      <c r="B1246" s="51">
        <f>YEAR(Table1[[#This Row],[Date]])</f>
        <v>2004</v>
      </c>
      <c r="C1246" s="1">
        <v>2</v>
      </c>
      <c r="D1246" t="s">
        <v>49</v>
      </c>
      <c r="E1246" s="1">
        <v>3</v>
      </c>
      <c r="F1246" t="s">
        <v>83</v>
      </c>
      <c r="G1246" t="str">
        <f>VLOOKUP(Table1[[#This Row],[Winner]],Ranking!C:D,2,FALSE)</f>
        <v>ACC</v>
      </c>
      <c r="H1246" s="1">
        <v>59</v>
      </c>
      <c r="I1246" s="1">
        <v>6</v>
      </c>
      <c r="J1246" t="s">
        <v>39</v>
      </c>
      <c r="K1246" t="str">
        <f>VLOOKUP(Table1[[#This Row],[Loser]],Ranking!C:D,2,FALSE)</f>
        <v>B10</v>
      </c>
      <c r="L1246" s="1">
        <v>55</v>
      </c>
      <c r="N1246" s="1">
        <f>Table1[[#This Row],[Winning Score]]-Table1[[#This Row],[Losing Score]]</f>
        <v>4</v>
      </c>
      <c r="O1246" s="1">
        <f>Table1[[#This Row],[Losing Seed]]-Table1[[#This Row],[Winning Seed]]</f>
        <v>3</v>
      </c>
      <c r="P1246" s="1" t="str">
        <f>IF(Table1[[#This Row],[SeD]]&lt;-2,Table1[[#This Row],[Winning Seed]]&amp; " over " &amp;Table1[[#This Row],[Losing Seed]],"")</f>
        <v/>
      </c>
      <c r="Q1246">
        <f>VLOOKUP(Table1[[#This Row],[Losing Seed]],'Seed History'!$N$4:$O$19,2)</f>
        <v>1.0625</v>
      </c>
      <c r="R1246" s="1">
        <f>IF(Table1[[#This Row],[Round]]="PI",0,Table1[[#This Row],[Round]]-1)</f>
        <v>1</v>
      </c>
      <c r="S1246">
        <f>Table1[[#This Row],[LAW]]-Table1[[#This Row],[LEW]]</f>
        <v>-6.25E-2</v>
      </c>
    </row>
    <row r="1247" spans="1:19" x14ac:dyDescent="0.25">
      <c r="A1247" s="66">
        <v>38067</v>
      </c>
      <c r="B1247" s="51">
        <f>YEAR(Table1[[#This Row],[Date]])</f>
        <v>2004</v>
      </c>
      <c r="C1247" s="1">
        <v>2</v>
      </c>
      <c r="D1247" t="s">
        <v>439</v>
      </c>
      <c r="E1247" s="1">
        <v>3</v>
      </c>
      <c r="F1247" t="s">
        <v>216</v>
      </c>
      <c r="G1247" t="str">
        <f>VLOOKUP(Table1[[#This Row],[Winner]],Ranking!C:D,2,FALSE)</f>
        <v>ACC</v>
      </c>
      <c r="H1247" s="1">
        <v>57</v>
      </c>
      <c r="I1247" s="1">
        <v>6</v>
      </c>
      <c r="J1247" t="s">
        <v>138</v>
      </c>
      <c r="K1247" t="str">
        <f>VLOOKUP(Table1[[#This Row],[Loser]],Ranking!C:D,2,FALSE)</f>
        <v>ACC</v>
      </c>
      <c r="L1247" s="1">
        <v>54</v>
      </c>
      <c r="N1247" s="1">
        <f>Table1[[#This Row],[Winning Score]]-Table1[[#This Row],[Losing Score]]</f>
        <v>3</v>
      </c>
      <c r="O1247" s="1">
        <f>Table1[[#This Row],[Losing Seed]]-Table1[[#This Row],[Winning Seed]]</f>
        <v>3</v>
      </c>
      <c r="P1247" s="1" t="str">
        <f>IF(Table1[[#This Row],[SeD]]&lt;-2,Table1[[#This Row],[Winning Seed]]&amp; " over " &amp;Table1[[#This Row],[Losing Seed]],"")</f>
        <v/>
      </c>
      <c r="Q1247">
        <f>VLOOKUP(Table1[[#This Row],[Losing Seed]],'Seed History'!$N$4:$O$19,2)</f>
        <v>1.0625</v>
      </c>
      <c r="R1247" s="1">
        <f>IF(Table1[[#This Row],[Round]]="PI",0,Table1[[#This Row],[Round]]-1)</f>
        <v>1</v>
      </c>
      <c r="S1247">
        <f>Table1[[#This Row],[LAW]]-Table1[[#This Row],[LEW]]</f>
        <v>-6.25E-2</v>
      </c>
    </row>
    <row r="1248" spans="1:19" x14ac:dyDescent="0.25">
      <c r="A1248" s="66">
        <v>38067</v>
      </c>
      <c r="B1248" s="51">
        <f>YEAR(Table1[[#This Row],[Date]])</f>
        <v>2004</v>
      </c>
      <c r="C1248" s="1">
        <v>2</v>
      </c>
      <c r="D1248" t="s">
        <v>439</v>
      </c>
      <c r="E1248" s="1">
        <v>4</v>
      </c>
      <c r="F1248" t="s">
        <v>37</v>
      </c>
      <c r="G1248" t="str">
        <f>VLOOKUP(Table1[[#This Row],[Winner]],Ranking!C:D,2,FALSE)</f>
        <v>B12</v>
      </c>
      <c r="H1248" s="1">
        <v>78</v>
      </c>
      <c r="I1248" s="1">
        <v>12</v>
      </c>
      <c r="J1248" t="s">
        <v>320</v>
      </c>
      <c r="K1248" t="str">
        <f>VLOOKUP(Table1[[#This Row],[Loser]],Ranking!C:D,2,FALSE)</f>
        <v>WCC</v>
      </c>
      <c r="L1248" s="1">
        <v>63</v>
      </c>
      <c r="N1248" s="1">
        <f>Table1[[#This Row],[Winning Score]]-Table1[[#This Row],[Losing Score]]</f>
        <v>15</v>
      </c>
      <c r="O1248" s="1">
        <f>Table1[[#This Row],[Losing Seed]]-Table1[[#This Row],[Winning Seed]]</f>
        <v>8</v>
      </c>
      <c r="P1248" s="1" t="str">
        <f>IF(Table1[[#This Row],[SeD]]&lt;-2,Table1[[#This Row],[Winning Seed]]&amp; " over " &amp;Table1[[#This Row],[Losing Seed]],"")</f>
        <v/>
      </c>
      <c r="Q1248">
        <f>VLOOKUP(Table1[[#This Row],[Losing Seed]],'Seed History'!$N$4:$O$19,2)</f>
        <v>0.52083333333333337</v>
      </c>
      <c r="R1248" s="1">
        <f>IF(Table1[[#This Row],[Round]]="PI",0,Table1[[#This Row],[Round]]-1)</f>
        <v>1</v>
      </c>
      <c r="S1248">
        <f>Table1[[#This Row],[LAW]]-Table1[[#This Row],[LEW]]</f>
        <v>0.47916666666666663</v>
      </c>
    </row>
    <row r="1249" spans="1:19" x14ac:dyDescent="0.25">
      <c r="A1249" s="66">
        <v>38067</v>
      </c>
      <c r="B1249" s="51">
        <f>YEAR(Table1[[#This Row],[Date]])</f>
        <v>2004</v>
      </c>
      <c r="C1249" s="1">
        <v>2</v>
      </c>
      <c r="D1249" t="s">
        <v>38</v>
      </c>
      <c r="E1249" s="1">
        <v>6</v>
      </c>
      <c r="F1249" t="s">
        <v>78</v>
      </c>
      <c r="G1249" t="str">
        <f>VLOOKUP(Table1[[#This Row],[Winner]],Ranking!C:D,2,FALSE)</f>
        <v>SEC</v>
      </c>
      <c r="H1249" s="1">
        <v>75</v>
      </c>
      <c r="I1249" s="1">
        <v>3</v>
      </c>
      <c r="J1249" t="s">
        <v>301</v>
      </c>
      <c r="K1249" t="e">
        <f>VLOOKUP(Table1[[#This Row],[Loser]],Ranking!C:D,2,FALSE)</f>
        <v>#N/A</v>
      </c>
      <c r="L1249" s="1">
        <v>73</v>
      </c>
      <c r="N1249" s="1">
        <f>Table1[[#This Row],[Winning Score]]-Table1[[#This Row],[Losing Score]]</f>
        <v>2</v>
      </c>
      <c r="O1249" s="1">
        <f>Table1[[#This Row],[Losing Seed]]-Table1[[#This Row],[Winning Seed]]</f>
        <v>-3</v>
      </c>
      <c r="P1249" s="1" t="str">
        <f>IF(Table1[[#This Row],[SeD]]&lt;-2,Table1[[#This Row],[Winning Seed]]&amp; " over " &amp;Table1[[#This Row],[Losing Seed]],"")</f>
        <v>6 over 3</v>
      </c>
      <c r="Q1249">
        <f>VLOOKUP(Table1[[#This Row],[Losing Seed]],'Seed History'!$N$4:$O$19,2)</f>
        <v>1.8472222222222223</v>
      </c>
      <c r="R1249" s="1">
        <f>IF(Table1[[#This Row],[Round]]="PI",0,Table1[[#This Row],[Round]]-1)</f>
        <v>1</v>
      </c>
      <c r="S1249">
        <f>Table1[[#This Row],[LAW]]-Table1[[#This Row],[LEW]]</f>
        <v>-0.84722222222222232</v>
      </c>
    </row>
    <row r="1250" spans="1:19" x14ac:dyDescent="0.25">
      <c r="A1250" s="66">
        <v>38067</v>
      </c>
      <c r="B1250" s="51">
        <f>YEAR(Table1[[#This Row],[Date]])</f>
        <v>2004</v>
      </c>
      <c r="C1250" s="1">
        <v>2</v>
      </c>
      <c r="D1250" t="s">
        <v>63</v>
      </c>
      <c r="E1250" s="1">
        <v>5</v>
      </c>
      <c r="F1250" t="s">
        <v>230</v>
      </c>
      <c r="G1250" t="str">
        <f>VLOOKUP(Table1[[#This Row],[Winner]],Ranking!C:D,2,FALSE)</f>
        <v>B10</v>
      </c>
      <c r="H1250" s="1">
        <v>92</v>
      </c>
      <c r="I1250" s="1">
        <v>4</v>
      </c>
      <c r="J1250" t="s">
        <v>28</v>
      </c>
      <c r="K1250" t="str">
        <f>VLOOKUP(Table1[[#This Row],[Loser]],Ranking!C:D,2,FALSE)</f>
        <v>Amer</v>
      </c>
      <c r="L1250" s="1">
        <v>68</v>
      </c>
      <c r="N1250" s="1">
        <f>Table1[[#This Row],[Winning Score]]-Table1[[#This Row],[Losing Score]]</f>
        <v>24</v>
      </c>
      <c r="O1250" s="1">
        <f>Table1[[#This Row],[Losing Seed]]-Table1[[#This Row],[Winning Seed]]</f>
        <v>-1</v>
      </c>
      <c r="P1250" s="1" t="str">
        <f>IF(Table1[[#This Row],[SeD]]&lt;-2,Table1[[#This Row],[Winning Seed]]&amp; " over " &amp;Table1[[#This Row],[Losing Seed]],"")</f>
        <v/>
      </c>
      <c r="Q1250">
        <f>VLOOKUP(Table1[[#This Row],[Losing Seed]],'Seed History'!$N$4:$O$19,2)</f>
        <v>1.5208333333333333</v>
      </c>
      <c r="R1250" s="1">
        <f>IF(Table1[[#This Row],[Round]]="PI",0,Table1[[#This Row],[Round]]-1)</f>
        <v>1</v>
      </c>
      <c r="S1250">
        <f>Table1[[#This Row],[LAW]]-Table1[[#This Row],[LEW]]</f>
        <v>-0.52083333333333326</v>
      </c>
    </row>
    <row r="1251" spans="1:19" x14ac:dyDescent="0.25">
      <c r="A1251" s="66">
        <v>38071</v>
      </c>
      <c r="B1251" s="51">
        <f>YEAR(Table1[[#This Row],[Date]])</f>
        <v>2004</v>
      </c>
      <c r="C1251" s="1">
        <v>3</v>
      </c>
      <c r="D1251" t="s">
        <v>49</v>
      </c>
      <c r="E1251" s="1">
        <v>1</v>
      </c>
      <c r="F1251" t="s">
        <v>337</v>
      </c>
      <c r="G1251" t="str">
        <f>VLOOKUP(Table1[[#This Row],[Winner]],Ranking!C:D,2,FALSE)</f>
        <v>A10</v>
      </c>
      <c r="H1251" s="1">
        <v>84</v>
      </c>
      <c r="I1251" s="1">
        <v>4</v>
      </c>
      <c r="J1251" t="s">
        <v>408</v>
      </c>
      <c r="K1251" t="str">
        <f>VLOOKUP(Table1[[#This Row],[Loser]],Ranking!C:D,2,FALSE)</f>
        <v>ACC</v>
      </c>
      <c r="L1251" s="1">
        <v>80</v>
      </c>
      <c r="N1251" s="1">
        <f>Table1[[#This Row],[Winning Score]]-Table1[[#This Row],[Losing Score]]</f>
        <v>4</v>
      </c>
      <c r="O1251" s="1">
        <f>Table1[[#This Row],[Losing Seed]]-Table1[[#This Row],[Winning Seed]]</f>
        <v>3</v>
      </c>
      <c r="P1251" s="1" t="str">
        <f>IF(Table1[[#This Row],[SeD]]&lt;-2,Table1[[#This Row],[Winning Seed]]&amp; " over " &amp;Table1[[#This Row],[Losing Seed]],"")</f>
        <v/>
      </c>
      <c r="Q1251">
        <f>VLOOKUP(Table1[[#This Row],[Losing Seed]],'Seed History'!$N$4:$O$19,2)</f>
        <v>1.5208333333333333</v>
      </c>
      <c r="R1251" s="1">
        <f>IF(Table1[[#This Row],[Round]]="PI",0,Table1[[#This Row],[Round]]-1)</f>
        <v>2</v>
      </c>
      <c r="S1251">
        <f>Table1[[#This Row],[LAW]]-Table1[[#This Row],[LEW]]</f>
        <v>0.47916666666666674</v>
      </c>
    </row>
    <row r="1252" spans="1:19" x14ac:dyDescent="0.25">
      <c r="A1252" s="66">
        <v>38071</v>
      </c>
      <c r="B1252" s="51">
        <f>YEAR(Table1[[#This Row],[Date]])</f>
        <v>2004</v>
      </c>
      <c r="C1252" s="1">
        <v>3</v>
      </c>
      <c r="D1252" t="s">
        <v>49</v>
      </c>
      <c r="E1252" s="1">
        <v>2</v>
      </c>
      <c r="F1252" t="s">
        <v>316</v>
      </c>
      <c r="G1252" t="str">
        <f>VLOOKUP(Table1[[#This Row],[Winner]],Ranking!C:D,2,FALSE)</f>
        <v>B12</v>
      </c>
      <c r="H1252" s="1">
        <v>63</v>
      </c>
      <c r="I1252" s="1">
        <v>3</v>
      </c>
      <c r="J1252" t="s">
        <v>83</v>
      </c>
      <c r="K1252" t="str">
        <f>VLOOKUP(Table1[[#This Row],[Loser]],Ranking!C:D,2,FALSE)</f>
        <v>ACC</v>
      </c>
      <c r="L1252" s="1">
        <v>51</v>
      </c>
      <c r="N1252" s="1">
        <f>Table1[[#This Row],[Winning Score]]-Table1[[#This Row],[Losing Score]]</f>
        <v>12</v>
      </c>
      <c r="O1252" s="1">
        <f>Table1[[#This Row],[Losing Seed]]-Table1[[#This Row],[Winning Seed]]</f>
        <v>1</v>
      </c>
      <c r="P1252" s="1" t="str">
        <f>IF(Table1[[#This Row],[SeD]]&lt;-2,Table1[[#This Row],[Winning Seed]]&amp; " over " &amp;Table1[[#This Row],[Losing Seed]],"")</f>
        <v/>
      </c>
      <c r="Q1252">
        <f>VLOOKUP(Table1[[#This Row],[Losing Seed]],'Seed History'!$N$4:$O$19,2)</f>
        <v>1.8472222222222223</v>
      </c>
      <c r="R1252" s="1">
        <f>IF(Table1[[#This Row],[Round]]="PI",0,Table1[[#This Row],[Round]]-1)</f>
        <v>2</v>
      </c>
      <c r="S1252">
        <f>Table1[[#This Row],[LAW]]-Table1[[#This Row],[LEW]]</f>
        <v>0.15277777777777768</v>
      </c>
    </row>
    <row r="1253" spans="1:19" x14ac:dyDescent="0.25">
      <c r="A1253" s="66">
        <v>38071</v>
      </c>
      <c r="B1253" s="51">
        <f>YEAR(Table1[[#This Row],[Date]])</f>
        <v>2004</v>
      </c>
      <c r="C1253" s="1">
        <v>3</v>
      </c>
      <c r="D1253" t="s">
        <v>38</v>
      </c>
      <c r="E1253" s="1">
        <v>2</v>
      </c>
      <c r="F1253" t="s">
        <v>80</v>
      </c>
      <c r="G1253" t="str">
        <f>VLOOKUP(Table1[[#This Row],[Winner]],Ranking!C:D,2,FALSE)</f>
        <v>BE</v>
      </c>
      <c r="H1253" s="1">
        <v>73</v>
      </c>
      <c r="I1253" s="1">
        <v>6</v>
      </c>
      <c r="J1253" t="s">
        <v>78</v>
      </c>
      <c r="K1253" t="str">
        <f>VLOOKUP(Table1[[#This Row],[Loser]],Ranking!C:D,2,FALSE)</f>
        <v>SEC</v>
      </c>
      <c r="L1253" s="1">
        <v>53</v>
      </c>
      <c r="N1253" s="1">
        <f>Table1[[#This Row],[Winning Score]]-Table1[[#This Row],[Losing Score]]</f>
        <v>20</v>
      </c>
      <c r="O1253" s="1">
        <f>Table1[[#This Row],[Losing Seed]]-Table1[[#This Row],[Winning Seed]]</f>
        <v>4</v>
      </c>
      <c r="P1253" s="1" t="str">
        <f>IF(Table1[[#This Row],[SeD]]&lt;-2,Table1[[#This Row],[Winning Seed]]&amp; " over " &amp;Table1[[#This Row],[Losing Seed]],"")</f>
        <v/>
      </c>
      <c r="Q1253">
        <f>VLOOKUP(Table1[[#This Row],[Losing Seed]],'Seed History'!$N$4:$O$19,2)</f>
        <v>1.0625</v>
      </c>
      <c r="R1253" s="1">
        <f>IF(Table1[[#This Row],[Round]]="PI",0,Table1[[#This Row],[Round]]-1)</f>
        <v>2</v>
      </c>
      <c r="S1253">
        <f>Table1[[#This Row],[LAW]]-Table1[[#This Row],[LEW]]</f>
        <v>0.9375</v>
      </c>
    </row>
    <row r="1254" spans="1:19" x14ac:dyDescent="0.25">
      <c r="A1254" s="66">
        <v>38071</v>
      </c>
      <c r="B1254" s="51">
        <f>YEAR(Table1[[#This Row],[Date]])</f>
        <v>2004</v>
      </c>
      <c r="C1254" s="1">
        <v>3</v>
      </c>
      <c r="D1254" t="s">
        <v>38</v>
      </c>
      <c r="E1254" s="1">
        <v>8</v>
      </c>
      <c r="F1254" t="s">
        <v>113</v>
      </c>
      <c r="G1254" t="str">
        <f>VLOOKUP(Table1[[#This Row],[Winner]],Ranking!C:D,2,FALSE)</f>
        <v>SEC</v>
      </c>
      <c r="H1254" s="1">
        <v>80</v>
      </c>
      <c r="I1254" s="1">
        <v>5</v>
      </c>
      <c r="J1254" t="s">
        <v>86</v>
      </c>
      <c r="K1254" t="str">
        <f>VLOOKUP(Table1[[#This Row],[Loser]],Ranking!C:D,2,FALSE)</f>
        <v>ACC</v>
      </c>
      <c r="L1254" s="1">
        <v>71</v>
      </c>
      <c r="N1254" s="1">
        <f>Table1[[#This Row],[Winning Score]]-Table1[[#This Row],[Losing Score]]</f>
        <v>9</v>
      </c>
      <c r="O1254" s="1">
        <f>Table1[[#This Row],[Losing Seed]]-Table1[[#This Row],[Winning Seed]]</f>
        <v>-3</v>
      </c>
      <c r="P1254" s="1" t="str">
        <f>IF(Table1[[#This Row],[SeD]]&lt;-2,Table1[[#This Row],[Winning Seed]]&amp; " over " &amp;Table1[[#This Row],[Losing Seed]],"")</f>
        <v>8 over 5</v>
      </c>
      <c r="Q1254">
        <f>VLOOKUP(Table1[[#This Row],[Losing Seed]],'Seed History'!$N$4:$O$19,2)</f>
        <v>1.1180555555555556</v>
      </c>
      <c r="R1254" s="1">
        <f>IF(Table1[[#This Row],[Round]]="PI",0,Table1[[#This Row],[Round]]-1)</f>
        <v>2</v>
      </c>
      <c r="S1254">
        <f>Table1[[#This Row],[LAW]]-Table1[[#This Row],[LEW]]</f>
        <v>0.88194444444444442</v>
      </c>
    </row>
    <row r="1255" spans="1:19" x14ac:dyDescent="0.25">
      <c r="A1255" s="66">
        <v>38072</v>
      </c>
      <c r="B1255" s="51">
        <f>YEAR(Table1[[#This Row],[Date]])</f>
        <v>2004</v>
      </c>
      <c r="C1255" s="1">
        <v>3</v>
      </c>
      <c r="D1255" t="s">
        <v>63</v>
      </c>
      <c r="E1255" s="1">
        <v>7</v>
      </c>
      <c r="F1255" t="s">
        <v>44</v>
      </c>
      <c r="G1255" t="str">
        <f>VLOOKUP(Table1[[#This Row],[Winner]],Ranking!C:D,2,FALSE)</f>
        <v>BE</v>
      </c>
      <c r="H1255" s="1">
        <v>79</v>
      </c>
      <c r="I1255" s="1">
        <v>3</v>
      </c>
      <c r="J1255" t="s">
        <v>34</v>
      </c>
      <c r="K1255" t="str">
        <f>VLOOKUP(Table1[[#This Row],[Loser]],Ranking!C:D,2,FALSE)</f>
        <v>B12</v>
      </c>
      <c r="L1255" s="1">
        <v>71</v>
      </c>
      <c r="N1255" s="1">
        <f>Table1[[#This Row],[Winning Score]]-Table1[[#This Row],[Losing Score]]</f>
        <v>8</v>
      </c>
      <c r="O1255" s="1">
        <f>Table1[[#This Row],[Losing Seed]]-Table1[[#This Row],[Winning Seed]]</f>
        <v>-4</v>
      </c>
      <c r="P1255" s="1" t="str">
        <f>IF(Table1[[#This Row],[SeD]]&lt;-2,Table1[[#This Row],[Winning Seed]]&amp; " over " &amp;Table1[[#This Row],[Losing Seed]],"")</f>
        <v>7 over 3</v>
      </c>
      <c r="Q1255">
        <f>VLOOKUP(Table1[[#This Row],[Losing Seed]],'Seed History'!$N$4:$O$19,2)</f>
        <v>1.8472222222222223</v>
      </c>
      <c r="R1255" s="1">
        <f>IF(Table1[[#This Row],[Round]]="PI",0,Table1[[#This Row],[Round]]-1)</f>
        <v>2</v>
      </c>
      <c r="S1255">
        <f>Table1[[#This Row],[LAW]]-Table1[[#This Row],[LEW]]</f>
        <v>0.15277777777777768</v>
      </c>
    </row>
    <row r="1256" spans="1:19" x14ac:dyDescent="0.25">
      <c r="A1256" s="66">
        <v>38072</v>
      </c>
      <c r="B1256" s="51">
        <f>YEAR(Table1[[#This Row],[Date]])</f>
        <v>2004</v>
      </c>
      <c r="C1256" s="1">
        <v>3</v>
      </c>
      <c r="D1256" t="s">
        <v>439</v>
      </c>
      <c r="E1256" s="1">
        <v>3</v>
      </c>
      <c r="F1256" t="s">
        <v>216</v>
      </c>
      <c r="G1256" t="str">
        <f>VLOOKUP(Table1[[#This Row],[Winner]],Ranking!C:D,2,FALSE)</f>
        <v>ACC</v>
      </c>
      <c r="H1256" s="1">
        <v>72</v>
      </c>
      <c r="I1256" s="1">
        <v>10</v>
      </c>
      <c r="J1256" t="s">
        <v>289</v>
      </c>
      <c r="K1256" t="str">
        <f>VLOOKUP(Table1[[#This Row],[Loser]],Ranking!C:D,2,FALSE)</f>
        <v>MWC</v>
      </c>
      <c r="L1256" s="1">
        <v>67</v>
      </c>
      <c r="N1256" s="1">
        <f>Table1[[#This Row],[Winning Score]]-Table1[[#This Row],[Losing Score]]</f>
        <v>5</v>
      </c>
      <c r="O1256" s="1">
        <f>Table1[[#This Row],[Losing Seed]]-Table1[[#This Row],[Winning Seed]]</f>
        <v>7</v>
      </c>
      <c r="P1256" s="1" t="str">
        <f>IF(Table1[[#This Row],[SeD]]&lt;-2,Table1[[#This Row],[Winning Seed]]&amp; " over " &amp;Table1[[#This Row],[Losing Seed]],"")</f>
        <v/>
      </c>
      <c r="Q1256">
        <f>VLOOKUP(Table1[[#This Row],[Losing Seed]],'Seed History'!$N$4:$O$19,2)</f>
        <v>0.61805555555555558</v>
      </c>
      <c r="R1256" s="1">
        <f>IF(Table1[[#This Row],[Round]]="PI",0,Table1[[#This Row],[Round]]-1)</f>
        <v>2</v>
      </c>
      <c r="S1256">
        <f>Table1[[#This Row],[LAW]]-Table1[[#This Row],[LEW]]</f>
        <v>1.3819444444444444</v>
      </c>
    </row>
    <row r="1257" spans="1:19" x14ac:dyDescent="0.25">
      <c r="A1257" s="66">
        <v>38072</v>
      </c>
      <c r="B1257" s="51">
        <f>YEAR(Table1[[#This Row],[Date]])</f>
        <v>2004</v>
      </c>
      <c r="C1257" s="1">
        <v>3</v>
      </c>
      <c r="D1257" t="s">
        <v>439</v>
      </c>
      <c r="E1257" s="1">
        <v>4</v>
      </c>
      <c r="F1257" t="s">
        <v>37</v>
      </c>
      <c r="G1257" t="str">
        <f>VLOOKUP(Table1[[#This Row],[Winner]],Ranking!C:D,2,FALSE)</f>
        <v>B12</v>
      </c>
      <c r="H1257" s="1">
        <v>100</v>
      </c>
      <c r="I1257" s="1">
        <v>9</v>
      </c>
      <c r="J1257" t="s">
        <v>68</v>
      </c>
      <c r="K1257" t="str">
        <f>VLOOKUP(Table1[[#This Row],[Loser]],Ranking!C:D,2,FALSE)</f>
        <v>CUSA</v>
      </c>
      <c r="L1257" s="1">
        <v>74</v>
      </c>
      <c r="N1257" s="1">
        <f>Table1[[#This Row],[Winning Score]]-Table1[[#This Row],[Losing Score]]</f>
        <v>26</v>
      </c>
      <c r="O1257" s="1">
        <f>Table1[[#This Row],[Losing Seed]]-Table1[[#This Row],[Winning Seed]]</f>
        <v>5</v>
      </c>
      <c r="P1257" s="1" t="str">
        <f>IF(Table1[[#This Row],[SeD]]&lt;-2,Table1[[#This Row],[Winning Seed]]&amp; " over " &amp;Table1[[#This Row],[Losing Seed]],"")</f>
        <v/>
      </c>
      <c r="Q1257">
        <f>VLOOKUP(Table1[[#This Row],[Losing Seed]],'Seed History'!$N$4:$O$19,2)</f>
        <v>0.59027777777777779</v>
      </c>
      <c r="R1257" s="1">
        <f>IF(Table1[[#This Row],[Round]]="PI",0,Table1[[#This Row],[Round]]-1)</f>
        <v>2</v>
      </c>
      <c r="S1257">
        <f>Table1[[#This Row],[LAW]]-Table1[[#This Row],[LEW]]</f>
        <v>1.4097222222222223</v>
      </c>
    </row>
    <row r="1258" spans="1:19" x14ac:dyDescent="0.25">
      <c r="A1258" s="66">
        <v>38072</v>
      </c>
      <c r="B1258" s="51">
        <f>YEAR(Table1[[#This Row],[Date]])</f>
        <v>2004</v>
      </c>
      <c r="C1258" s="1">
        <v>3</v>
      </c>
      <c r="D1258" t="s">
        <v>63</v>
      </c>
      <c r="E1258" s="1">
        <v>1</v>
      </c>
      <c r="F1258" t="s">
        <v>64</v>
      </c>
      <c r="G1258" t="str">
        <f>VLOOKUP(Table1[[#This Row],[Winner]],Ranking!C:D,2,FALSE)</f>
        <v>ACC</v>
      </c>
      <c r="H1258" s="1">
        <v>72</v>
      </c>
      <c r="I1258" s="1">
        <v>5</v>
      </c>
      <c r="J1258" t="s">
        <v>230</v>
      </c>
      <c r="K1258" t="str">
        <f>VLOOKUP(Table1[[#This Row],[Loser]],Ranking!C:D,2,FALSE)</f>
        <v>B10</v>
      </c>
      <c r="L1258" s="1">
        <v>62</v>
      </c>
      <c r="N1258" s="1">
        <f>Table1[[#This Row],[Winning Score]]-Table1[[#This Row],[Losing Score]]</f>
        <v>10</v>
      </c>
      <c r="O1258" s="1">
        <f>Table1[[#This Row],[Losing Seed]]-Table1[[#This Row],[Winning Seed]]</f>
        <v>4</v>
      </c>
      <c r="P1258" s="1" t="str">
        <f>IF(Table1[[#This Row],[SeD]]&lt;-2,Table1[[#This Row],[Winning Seed]]&amp; " over " &amp;Table1[[#This Row],[Losing Seed]],"")</f>
        <v/>
      </c>
      <c r="Q1258">
        <f>VLOOKUP(Table1[[#This Row],[Losing Seed]],'Seed History'!$N$4:$O$19,2)</f>
        <v>1.1180555555555556</v>
      </c>
      <c r="R1258" s="1">
        <f>IF(Table1[[#This Row],[Round]]="PI",0,Table1[[#This Row],[Round]]-1)</f>
        <v>2</v>
      </c>
      <c r="S1258">
        <f>Table1[[#This Row],[LAW]]-Table1[[#This Row],[LEW]]</f>
        <v>0.88194444444444442</v>
      </c>
    </row>
    <row r="1259" spans="1:19" x14ac:dyDescent="0.25">
      <c r="A1259" s="66">
        <v>38073</v>
      </c>
      <c r="B1259" s="51">
        <f>YEAR(Table1[[#This Row],[Date]])</f>
        <v>2004</v>
      </c>
      <c r="C1259" s="1">
        <v>4</v>
      </c>
      <c r="D1259" t="s">
        <v>38</v>
      </c>
      <c r="E1259" s="1">
        <v>2</v>
      </c>
      <c r="F1259" t="s">
        <v>80</v>
      </c>
      <c r="G1259" t="str">
        <f>VLOOKUP(Table1[[#This Row],[Winner]],Ranking!C:D,2,FALSE)</f>
        <v>BE</v>
      </c>
      <c r="H1259" s="1">
        <v>87</v>
      </c>
      <c r="I1259" s="1">
        <v>8</v>
      </c>
      <c r="J1259" t="s">
        <v>113</v>
      </c>
      <c r="K1259" t="str">
        <f>VLOOKUP(Table1[[#This Row],[Loser]],Ranking!C:D,2,FALSE)</f>
        <v>SEC</v>
      </c>
      <c r="L1259" s="1">
        <v>71</v>
      </c>
      <c r="N1259" s="1">
        <f>Table1[[#This Row],[Winning Score]]-Table1[[#This Row],[Losing Score]]</f>
        <v>16</v>
      </c>
      <c r="O1259" s="1">
        <f>Table1[[#This Row],[Losing Seed]]-Table1[[#This Row],[Winning Seed]]</f>
        <v>6</v>
      </c>
      <c r="P1259" s="1" t="str">
        <f>IF(Table1[[#This Row],[SeD]]&lt;-2,Table1[[#This Row],[Winning Seed]]&amp; " over " &amp;Table1[[#This Row],[Losing Seed]],"")</f>
        <v/>
      </c>
      <c r="Q1259">
        <f>VLOOKUP(Table1[[#This Row],[Losing Seed]],'Seed History'!$N$4:$O$19,2)</f>
        <v>0.70833333333333337</v>
      </c>
      <c r="R1259" s="1">
        <f>IF(Table1[[#This Row],[Round]]="PI",0,Table1[[#This Row],[Round]]-1)</f>
        <v>3</v>
      </c>
      <c r="S1259">
        <f>Table1[[#This Row],[LAW]]-Table1[[#This Row],[LEW]]</f>
        <v>2.2916666666666665</v>
      </c>
    </row>
    <row r="1260" spans="1:19" x14ac:dyDescent="0.25">
      <c r="A1260" s="66">
        <v>38073</v>
      </c>
      <c r="B1260" s="51">
        <f>YEAR(Table1[[#This Row],[Date]])</f>
        <v>2004</v>
      </c>
      <c r="C1260" s="1">
        <v>4</v>
      </c>
      <c r="D1260" t="s">
        <v>49</v>
      </c>
      <c r="E1260" s="1">
        <v>2</v>
      </c>
      <c r="F1260" t="s">
        <v>316</v>
      </c>
      <c r="G1260" t="str">
        <f>VLOOKUP(Table1[[#This Row],[Winner]],Ranking!C:D,2,FALSE)</f>
        <v>B12</v>
      </c>
      <c r="H1260" s="1">
        <v>64</v>
      </c>
      <c r="I1260" s="1">
        <v>1</v>
      </c>
      <c r="J1260" t="s">
        <v>337</v>
      </c>
      <c r="K1260" t="str">
        <f>VLOOKUP(Table1[[#This Row],[Loser]],Ranking!C:D,2,FALSE)</f>
        <v>A10</v>
      </c>
      <c r="L1260" s="1">
        <v>62</v>
      </c>
      <c r="N1260" s="1">
        <f>Table1[[#This Row],[Winning Score]]-Table1[[#This Row],[Losing Score]]</f>
        <v>2</v>
      </c>
      <c r="O1260" s="1">
        <f>Table1[[#This Row],[Losing Seed]]-Table1[[#This Row],[Winning Seed]]</f>
        <v>-1</v>
      </c>
      <c r="P1260" s="1" t="str">
        <f>IF(Table1[[#This Row],[SeD]]&lt;-2,Table1[[#This Row],[Winning Seed]]&amp; " over " &amp;Table1[[#This Row],[Losing Seed]],"")</f>
        <v/>
      </c>
      <c r="Q1260">
        <f>VLOOKUP(Table1[[#This Row],[Losing Seed]],'Seed History'!$N$4:$O$19,2)</f>
        <v>3.3263888888888888</v>
      </c>
      <c r="R1260" s="1">
        <f>IF(Table1[[#This Row],[Round]]="PI",0,Table1[[#This Row],[Round]]-1)</f>
        <v>3</v>
      </c>
      <c r="S1260">
        <f>Table1[[#This Row],[LAW]]-Table1[[#This Row],[LEW]]</f>
        <v>-0.32638888888888884</v>
      </c>
    </row>
    <row r="1261" spans="1:19" x14ac:dyDescent="0.25">
      <c r="A1261" s="66">
        <v>38074</v>
      </c>
      <c r="B1261" s="51">
        <f>YEAR(Table1[[#This Row],[Date]])</f>
        <v>2004</v>
      </c>
      <c r="C1261" s="1">
        <v>4</v>
      </c>
      <c r="D1261" t="s">
        <v>439</v>
      </c>
      <c r="E1261" s="1">
        <v>3</v>
      </c>
      <c r="F1261" t="s">
        <v>216</v>
      </c>
      <c r="G1261" t="str">
        <f>VLOOKUP(Table1[[#This Row],[Winner]],Ranking!C:D,2,FALSE)</f>
        <v>ACC</v>
      </c>
      <c r="H1261" s="1">
        <v>79</v>
      </c>
      <c r="I1261" s="1">
        <v>4</v>
      </c>
      <c r="J1261" t="s">
        <v>37</v>
      </c>
      <c r="K1261" t="str">
        <f>VLOOKUP(Table1[[#This Row],[Loser]],Ranking!C:D,2,FALSE)</f>
        <v>B12</v>
      </c>
      <c r="L1261" s="1">
        <v>71</v>
      </c>
      <c r="M1261" s="1" t="s">
        <v>462</v>
      </c>
      <c r="N1261" s="1">
        <f>Table1[[#This Row],[Winning Score]]-Table1[[#This Row],[Losing Score]]</f>
        <v>8</v>
      </c>
      <c r="O1261" s="1">
        <f>Table1[[#This Row],[Losing Seed]]-Table1[[#This Row],[Winning Seed]]</f>
        <v>1</v>
      </c>
      <c r="P1261" s="1" t="str">
        <f>IF(Table1[[#This Row],[SeD]]&lt;-2,Table1[[#This Row],[Winning Seed]]&amp; " over " &amp;Table1[[#This Row],[Losing Seed]],"")</f>
        <v/>
      </c>
      <c r="Q1261">
        <f>VLOOKUP(Table1[[#This Row],[Losing Seed]],'Seed History'!$N$4:$O$19,2)</f>
        <v>1.5208333333333333</v>
      </c>
      <c r="R1261" s="1">
        <f>IF(Table1[[#This Row],[Round]]="PI",0,Table1[[#This Row],[Round]]-1)</f>
        <v>3</v>
      </c>
      <c r="S1261">
        <f>Table1[[#This Row],[LAW]]-Table1[[#This Row],[LEW]]</f>
        <v>1.4791666666666667</v>
      </c>
    </row>
    <row r="1262" spans="1:19" x14ac:dyDescent="0.25">
      <c r="A1262" s="66">
        <v>38074</v>
      </c>
      <c r="B1262" s="51">
        <f>YEAR(Table1[[#This Row],[Date]])</f>
        <v>2004</v>
      </c>
      <c r="C1262" s="1">
        <v>4</v>
      </c>
      <c r="D1262" t="s">
        <v>63</v>
      </c>
      <c r="E1262" s="1">
        <v>1</v>
      </c>
      <c r="F1262" t="s">
        <v>64</v>
      </c>
      <c r="G1262" t="str">
        <f>VLOOKUP(Table1[[#This Row],[Winner]],Ranking!C:D,2,FALSE)</f>
        <v>ACC</v>
      </c>
      <c r="H1262" s="1">
        <v>66</v>
      </c>
      <c r="I1262" s="1">
        <v>7</v>
      </c>
      <c r="J1262" t="s">
        <v>44</v>
      </c>
      <c r="K1262" t="str">
        <f>VLOOKUP(Table1[[#This Row],[Loser]],Ranking!C:D,2,FALSE)</f>
        <v>BE</v>
      </c>
      <c r="L1262" s="1">
        <v>63</v>
      </c>
      <c r="N1262" s="1">
        <f>Table1[[#This Row],[Winning Score]]-Table1[[#This Row],[Losing Score]]</f>
        <v>3</v>
      </c>
      <c r="O1262" s="1">
        <f>Table1[[#This Row],[Losing Seed]]-Table1[[#This Row],[Winning Seed]]</f>
        <v>6</v>
      </c>
      <c r="P1262" s="1" t="str">
        <f>IF(Table1[[#This Row],[SeD]]&lt;-2,Table1[[#This Row],[Winning Seed]]&amp; " over " &amp;Table1[[#This Row],[Losing Seed]],"")</f>
        <v/>
      </c>
      <c r="Q1262">
        <f>VLOOKUP(Table1[[#This Row],[Losing Seed]],'Seed History'!$N$4:$O$19,2)</f>
        <v>0.90277777777777779</v>
      </c>
      <c r="R1262" s="1">
        <f>IF(Table1[[#This Row],[Round]]="PI",0,Table1[[#This Row],[Round]]-1)</f>
        <v>3</v>
      </c>
      <c r="S1262">
        <f>Table1[[#This Row],[LAW]]-Table1[[#This Row],[LEW]]</f>
        <v>2.0972222222222223</v>
      </c>
    </row>
    <row r="1263" spans="1:19" x14ac:dyDescent="0.25">
      <c r="A1263" s="66">
        <v>38080</v>
      </c>
      <c r="B1263" s="51">
        <f>YEAR(Table1[[#This Row],[Date]])</f>
        <v>2004</v>
      </c>
      <c r="C1263" s="1">
        <v>5</v>
      </c>
      <c r="D1263" t="s">
        <v>467</v>
      </c>
      <c r="E1263" s="1">
        <v>2</v>
      </c>
      <c r="F1263" t="s">
        <v>80</v>
      </c>
      <c r="G1263" t="str">
        <f>VLOOKUP(Table1[[#This Row],[Winner]],Ranking!C:D,2,FALSE)</f>
        <v>BE</v>
      </c>
      <c r="H1263" s="1">
        <v>79</v>
      </c>
      <c r="I1263" s="1">
        <v>1</v>
      </c>
      <c r="J1263" t="s">
        <v>64</v>
      </c>
      <c r="K1263" t="str">
        <f>VLOOKUP(Table1[[#This Row],[Loser]],Ranking!C:D,2,FALSE)</f>
        <v>ACC</v>
      </c>
      <c r="L1263" s="1">
        <v>78</v>
      </c>
      <c r="N1263" s="1">
        <f>Table1[[#This Row],[Winning Score]]-Table1[[#This Row],[Losing Score]]</f>
        <v>1</v>
      </c>
      <c r="O1263" s="1">
        <f>Table1[[#This Row],[Losing Seed]]-Table1[[#This Row],[Winning Seed]]</f>
        <v>-1</v>
      </c>
      <c r="P1263" s="1" t="str">
        <f>IF(Table1[[#This Row],[SeD]]&lt;-2,Table1[[#This Row],[Winning Seed]]&amp; " over " &amp;Table1[[#This Row],[Losing Seed]],"")</f>
        <v/>
      </c>
      <c r="Q1263">
        <f>VLOOKUP(Table1[[#This Row],[Losing Seed]],'Seed History'!$N$4:$O$19,2)</f>
        <v>3.3263888888888888</v>
      </c>
      <c r="R1263" s="1">
        <f>IF(Table1[[#This Row],[Round]]="PI",0,Table1[[#This Row],[Round]]-1)</f>
        <v>4</v>
      </c>
      <c r="S1263">
        <f>Table1[[#This Row],[LAW]]-Table1[[#This Row],[LEW]]</f>
        <v>0.67361111111111116</v>
      </c>
    </row>
    <row r="1264" spans="1:19" x14ac:dyDescent="0.25">
      <c r="A1264" s="66">
        <v>38080</v>
      </c>
      <c r="B1264" s="51">
        <f>YEAR(Table1[[#This Row],[Date]])</f>
        <v>2004</v>
      </c>
      <c r="C1264" s="1">
        <v>5</v>
      </c>
      <c r="D1264" t="s">
        <v>467</v>
      </c>
      <c r="E1264" s="1">
        <v>3</v>
      </c>
      <c r="F1264" t="s">
        <v>216</v>
      </c>
      <c r="G1264" t="str">
        <f>VLOOKUP(Table1[[#This Row],[Winner]],Ranking!C:D,2,FALSE)</f>
        <v>ACC</v>
      </c>
      <c r="H1264" s="1">
        <v>67</v>
      </c>
      <c r="I1264" s="1">
        <v>2</v>
      </c>
      <c r="J1264" t="s">
        <v>316</v>
      </c>
      <c r="K1264" t="str">
        <f>VLOOKUP(Table1[[#This Row],[Loser]],Ranking!C:D,2,FALSE)</f>
        <v>B12</v>
      </c>
      <c r="L1264" s="1">
        <v>65</v>
      </c>
      <c r="N1264" s="1">
        <f>Table1[[#This Row],[Winning Score]]-Table1[[#This Row],[Losing Score]]</f>
        <v>2</v>
      </c>
      <c r="O1264" s="1">
        <f>Table1[[#This Row],[Losing Seed]]-Table1[[#This Row],[Winning Seed]]</f>
        <v>-1</v>
      </c>
      <c r="P1264" s="1" t="str">
        <f>IF(Table1[[#This Row],[SeD]]&lt;-2,Table1[[#This Row],[Winning Seed]]&amp; " over " &amp;Table1[[#This Row],[Losing Seed]],"")</f>
        <v/>
      </c>
      <c r="Q1264">
        <f>VLOOKUP(Table1[[#This Row],[Losing Seed]],'Seed History'!$N$4:$O$19,2)</f>
        <v>2.3472222222222223</v>
      </c>
      <c r="R1264" s="1">
        <f>IF(Table1[[#This Row],[Round]]="PI",0,Table1[[#This Row],[Round]]-1)</f>
        <v>4</v>
      </c>
      <c r="S1264">
        <f>Table1[[#This Row],[LAW]]-Table1[[#This Row],[LEW]]</f>
        <v>1.6527777777777777</v>
      </c>
    </row>
    <row r="1265" spans="1:19" x14ac:dyDescent="0.25">
      <c r="A1265" s="66">
        <v>38082</v>
      </c>
      <c r="B1265" s="51">
        <f>YEAR(Table1[[#This Row],[Date]])</f>
        <v>2004</v>
      </c>
      <c r="C1265" s="1">
        <v>6</v>
      </c>
      <c r="D1265" t="s">
        <v>468</v>
      </c>
      <c r="E1265" s="1">
        <v>2</v>
      </c>
      <c r="F1265" t="s">
        <v>80</v>
      </c>
      <c r="G1265" t="str">
        <f>VLOOKUP(Table1[[#This Row],[Winner]],Ranking!C:D,2,FALSE)</f>
        <v>BE</v>
      </c>
      <c r="H1265" s="1">
        <v>82</v>
      </c>
      <c r="I1265" s="1">
        <v>3</v>
      </c>
      <c r="J1265" t="s">
        <v>216</v>
      </c>
      <c r="K1265" t="str">
        <f>VLOOKUP(Table1[[#This Row],[Loser]],Ranking!C:D,2,FALSE)</f>
        <v>ACC</v>
      </c>
      <c r="L1265" s="1">
        <v>73</v>
      </c>
      <c r="N1265" s="1">
        <f>Table1[[#This Row],[Winning Score]]-Table1[[#This Row],[Losing Score]]</f>
        <v>9</v>
      </c>
      <c r="O1265" s="1">
        <f>Table1[[#This Row],[Losing Seed]]-Table1[[#This Row],[Winning Seed]]</f>
        <v>1</v>
      </c>
      <c r="P1265" s="1" t="str">
        <f>IF(Table1[[#This Row],[SeD]]&lt;-2,Table1[[#This Row],[Winning Seed]]&amp; " over " &amp;Table1[[#This Row],[Losing Seed]],"")</f>
        <v/>
      </c>
      <c r="Q1265">
        <f>VLOOKUP(Table1[[#This Row],[Losing Seed]],'Seed History'!$N$4:$O$19,2)</f>
        <v>1.8472222222222223</v>
      </c>
      <c r="R1265" s="1">
        <f>IF(Table1[[#This Row],[Round]]="PI",0,Table1[[#This Row],[Round]]-1)</f>
        <v>5</v>
      </c>
      <c r="S1265">
        <f>Table1[[#This Row],[LAW]]-Table1[[#This Row],[LEW]]</f>
        <v>3.1527777777777777</v>
      </c>
    </row>
    <row r="1266" spans="1:19" x14ac:dyDescent="0.25">
      <c r="A1266" s="66">
        <v>38426</v>
      </c>
      <c r="B1266" s="51">
        <f>YEAR(Table1[[#This Row],[Date]])</f>
        <v>2005</v>
      </c>
      <c r="C1266" s="1" t="s">
        <v>476</v>
      </c>
      <c r="D1266" t="s">
        <v>49</v>
      </c>
      <c r="E1266" s="1">
        <v>16</v>
      </c>
      <c r="F1266" t="s">
        <v>313</v>
      </c>
      <c r="G1266" t="str">
        <f>VLOOKUP(Table1[[#This Row],[Winner]],Ranking!C:D,2,FALSE)</f>
        <v>Horz</v>
      </c>
      <c r="H1266" s="1">
        <v>79</v>
      </c>
      <c r="I1266" s="1">
        <v>16</v>
      </c>
      <c r="J1266" t="s">
        <v>115</v>
      </c>
      <c r="K1266" t="str">
        <f>VLOOKUP(Table1[[#This Row],[Loser]],Ranking!C:D,2,FALSE)</f>
        <v>SWAC</v>
      </c>
      <c r="L1266" s="1">
        <v>69</v>
      </c>
      <c r="N1266" s="1">
        <f>Table1[[#This Row],[Winning Score]]-Table1[[#This Row],[Losing Score]]</f>
        <v>10</v>
      </c>
      <c r="O1266" s="1">
        <f>Table1[[#This Row],[Losing Seed]]-Table1[[#This Row],[Winning Seed]]</f>
        <v>0</v>
      </c>
      <c r="P1266" s="1" t="str">
        <f>IF(Table1[[#This Row],[SeD]]&lt;-2,Table1[[#This Row],[Winning Seed]]&amp; " over " &amp;Table1[[#This Row],[Losing Seed]],"")</f>
        <v/>
      </c>
      <c r="Q1266">
        <f>VLOOKUP(Table1[[#This Row],[Losing Seed]],'Seed History'!$N$4:$O$19,2)</f>
        <v>6.9444444444444441E-3</v>
      </c>
      <c r="R1266" s="1">
        <f>IF(Table1[[#This Row],[Round]]="PI",0,Table1[[#This Row],[Round]]-1)</f>
        <v>0</v>
      </c>
      <c r="S1266">
        <f>Table1[[#This Row],[LAW]]-Table1[[#This Row],[LEW]]</f>
        <v>-6.9444444444444441E-3</v>
      </c>
    </row>
    <row r="1267" spans="1:19" x14ac:dyDescent="0.25">
      <c r="A1267" s="66">
        <v>38428</v>
      </c>
      <c r="B1267" s="51">
        <f>YEAR(Table1[[#This Row],[Date]])</f>
        <v>2005</v>
      </c>
      <c r="C1267" s="1">
        <v>1</v>
      </c>
      <c r="D1267" t="s">
        <v>439</v>
      </c>
      <c r="E1267" s="1">
        <v>12</v>
      </c>
      <c r="F1267" t="s">
        <v>273</v>
      </c>
      <c r="G1267" t="str">
        <f>VLOOKUP(Table1[[#This Row],[Winner]],Ranking!C:D,2,FALSE)</f>
        <v>Horz</v>
      </c>
      <c r="H1267" s="1">
        <v>83</v>
      </c>
      <c r="I1267" s="1">
        <v>5</v>
      </c>
      <c r="J1267" t="s">
        <v>113</v>
      </c>
      <c r="K1267" t="str">
        <f>VLOOKUP(Table1[[#This Row],[Loser]],Ranking!C:D,2,FALSE)</f>
        <v>SEC</v>
      </c>
      <c r="L1267" s="1">
        <v>73</v>
      </c>
      <c r="N1267" s="1">
        <f>Table1[[#This Row],[Winning Score]]-Table1[[#This Row],[Losing Score]]</f>
        <v>10</v>
      </c>
      <c r="O1267" s="1">
        <f>Table1[[#This Row],[Losing Seed]]-Table1[[#This Row],[Winning Seed]]</f>
        <v>-7</v>
      </c>
      <c r="P1267" s="1" t="str">
        <f>IF(Table1[[#This Row],[SeD]]&lt;-2,Table1[[#This Row],[Winning Seed]]&amp; " over " &amp;Table1[[#This Row],[Losing Seed]],"")</f>
        <v>12 over 5</v>
      </c>
      <c r="Q1267">
        <f>VLOOKUP(Table1[[#This Row],[Losing Seed]],'Seed History'!$N$4:$O$19,2)</f>
        <v>1.1180555555555556</v>
      </c>
      <c r="R1267" s="1">
        <f>IF(Table1[[#This Row],[Round]]="PI",0,Table1[[#This Row],[Round]]-1)</f>
        <v>0</v>
      </c>
      <c r="S1267">
        <f>Table1[[#This Row],[LAW]]-Table1[[#This Row],[LEW]]</f>
        <v>-1.1180555555555556</v>
      </c>
    </row>
    <row r="1268" spans="1:19" x14ac:dyDescent="0.25">
      <c r="A1268" s="66">
        <v>38428</v>
      </c>
      <c r="B1268" s="51">
        <f>YEAR(Table1[[#This Row],[Date]])</f>
        <v>2005</v>
      </c>
      <c r="C1268" s="1">
        <v>1</v>
      </c>
      <c r="D1268" t="s">
        <v>439</v>
      </c>
      <c r="E1268" s="1">
        <v>11</v>
      </c>
      <c r="F1268" t="s">
        <v>68</v>
      </c>
      <c r="G1268" t="str">
        <f>VLOOKUP(Table1[[#This Row],[Winner]],Ranking!C:D,2,FALSE)</f>
        <v>CUSA</v>
      </c>
      <c r="H1268" s="1">
        <v>82</v>
      </c>
      <c r="I1268" s="1">
        <v>6</v>
      </c>
      <c r="J1268" t="s">
        <v>52</v>
      </c>
      <c r="K1268" t="str">
        <f>VLOOKUP(Table1[[#This Row],[Loser]],Ranking!C:D,2,FALSE)</f>
        <v>SEC</v>
      </c>
      <c r="L1268" s="1">
        <v>68</v>
      </c>
      <c r="N1268" s="1">
        <f>Table1[[#This Row],[Winning Score]]-Table1[[#This Row],[Losing Score]]</f>
        <v>14</v>
      </c>
      <c r="O1268" s="1">
        <f>Table1[[#This Row],[Losing Seed]]-Table1[[#This Row],[Winning Seed]]</f>
        <v>-5</v>
      </c>
      <c r="P1268" s="1" t="str">
        <f>IF(Table1[[#This Row],[SeD]]&lt;-2,Table1[[#This Row],[Winning Seed]]&amp; " over " &amp;Table1[[#This Row],[Losing Seed]],"")</f>
        <v>11 over 6</v>
      </c>
      <c r="Q1268">
        <f>VLOOKUP(Table1[[#This Row],[Losing Seed]],'Seed History'!$N$4:$O$19,2)</f>
        <v>1.0625</v>
      </c>
      <c r="R1268" s="1">
        <f>IF(Table1[[#This Row],[Round]]="PI",0,Table1[[#This Row],[Round]]-1)</f>
        <v>0</v>
      </c>
      <c r="S1268">
        <f>Table1[[#This Row],[LAW]]-Table1[[#This Row],[LEW]]</f>
        <v>-1.0625</v>
      </c>
    </row>
    <row r="1269" spans="1:19" x14ac:dyDescent="0.25">
      <c r="A1269" s="66">
        <v>38428</v>
      </c>
      <c r="B1269" s="51">
        <f>YEAR(Table1[[#This Row],[Date]])</f>
        <v>2005</v>
      </c>
      <c r="C1269" s="1">
        <v>1</v>
      </c>
      <c r="D1269" t="s">
        <v>439</v>
      </c>
      <c r="E1269" s="1">
        <v>1</v>
      </c>
      <c r="F1269" t="s">
        <v>230</v>
      </c>
      <c r="G1269" t="str">
        <f>VLOOKUP(Table1[[#This Row],[Winner]],Ranking!C:D,2,FALSE)</f>
        <v>B10</v>
      </c>
      <c r="H1269" s="1">
        <v>67</v>
      </c>
      <c r="I1269" s="1">
        <v>16</v>
      </c>
      <c r="J1269" t="s">
        <v>201</v>
      </c>
      <c r="K1269" t="str">
        <f>VLOOKUP(Table1[[#This Row],[Loser]],Ranking!C:D,2,FALSE)</f>
        <v>NEC</v>
      </c>
      <c r="L1269" s="1">
        <v>55</v>
      </c>
      <c r="N1269" s="1">
        <f>Table1[[#This Row],[Winning Score]]-Table1[[#This Row],[Losing Score]]</f>
        <v>12</v>
      </c>
      <c r="O1269" s="1">
        <f>Table1[[#This Row],[Losing Seed]]-Table1[[#This Row],[Winning Seed]]</f>
        <v>15</v>
      </c>
      <c r="P1269" s="1" t="str">
        <f>IF(Table1[[#This Row],[SeD]]&lt;-2,Table1[[#This Row],[Winning Seed]]&amp; " over " &amp;Table1[[#This Row],[Losing Seed]],"")</f>
        <v/>
      </c>
      <c r="Q1269">
        <f>VLOOKUP(Table1[[#This Row],[Losing Seed]],'Seed History'!$N$4:$O$19,2)</f>
        <v>6.9444444444444441E-3</v>
      </c>
      <c r="R1269" s="1">
        <f>IF(Table1[[#This Row],[Round]]="PI",0,Table1[[#This Row],[Round]]-1)</f>
        <v>0</v>
      </c>
      <c r="S1269">
        <f>Table1[[#This Row],[LAW]]-Table1[[#This Row],[LEW]]</f>
        <v>-6.9444444444444441E-3</v>
      </c>
    </row>
    <row r="1270" spans="1:19" x14ac:dyDescent="0.25">
      <c r="A1270" s="66">
        <v>38428</v>
      </c>
      <c r="B1270" s="51">
        <f>YEAR(Table1[[#This Row],[Date]])</f>
        <v>2005</v>
      </c>
      <c r="C1270" s="1">
        <v>1</v>
      </c>
      <c r="D1270" t="s">
        <v>439</v>
      </c>
      <c r="E1270" s="1">
        <v>3</v>
      </c>
      <c r="F1270" t="s">
        <v>48</v>
      </c>
      <c r="G1270" t="str">
        <f>VLOOKUP(Table1[[#This Row],[Winner]],Ranking!C:D,2,FALSE)</f>
        <v>P12</v>
      </c>
      <c r="H1270" s="1">
        <v>66</v>
      </c>
      <c r="I1270" s="1">
        <v>14</v>
      </c>
      <c r="J1270" t="s">
        <v>400</v>
      </c>
      <c r="K1270" t="str">
        <f>VLOOKUP(Table1[[#This Row],[Loser]],Ranking!C:D,2,FALSE)</f>
        <v>MWC</v>
      </c>
      <c r="L1270" s="1">
        <v>53</v>
      </c>
      <c r="N1270" s="1">
        <f>Table1[[#This Row],[Winning Score]]-Table1[[#This Row],[Losing Score]]</f>
        <v>13</v>
      </c>
      <c r="O1270" s="1">
        <f>Table1[[#This Row],[Losing Seed]]-Table1[[#This Row],[Winning Seed]]</f>
        <v>11</v>
      </c>
      <c r="P1270" s="1" t="str">
        <f>IF(Table1[[#This Row],[SeD]]&lt;-2,Table1[[#This Row],[Winning Seed]]&amp; " over " &amp;Table1[[#This Row],[Losing Seed]],"")</f>
        <v/>
      </c>
      <c r="Q1270">
        <f>VLOOKUP(Table1[[#This Row],[Losing Seed]],'Seed History'!$N$4:$O$19,2)</f>
        <v>0.16666666666666666</v>
      </c>
      <c r="R1270" s="1">
        <f>IF(Table1[[#This Row],[Round]]="PI",0,Table1[[#This Row],[Round]]-1)</f>
        <v>0</v>
      </c>
      <c r="S1270">
        <f>Table1[[#This Row],[LAW]]-Table1[[#This Row],[LEW]]</f>
        <v>-0.16666666666666666</v>
      </c>
    </row>
    <row r="1271" spans="1:19" x14ac:dyDescent="0.25">
      <c r="A1271" s="66">
        <v>38428</v>
      </c>
      <c r="B1271" s="51">
        <f>YEAR(Table1[[#This Row],[Date]])</f>
        <v>2005</v>
      </c>
      <c r="C1271" s="1">
        <v>1</v>
      </c>
      <c r="D1271" t="s">
        <v>439</v>
      </c>
      <c r="E1271" s="1">
        <v>4</v>
      </c>
      <c r="F1271" t="s">
        <v>138</v>
      </c>
      <c r="G1271" t="str">
        <f>VLOOKUP(Table1[[#This Row],[Winner]],Ranking!C:D,2,FALSE)</f>
        <v>ACC</v>
      </c>
      <c r="H1271" s="1">
        <v>85</v>
      </c>
      <c r="I1271" s="1">
        <v>13</v>
      </c>
      <c r="J1271" t="s">
        <v>321</v>
      </c>
      <c r="K1271" t="str">
        <f>VLOOKUP(Table1[[#This Row],[Loser]],Ranking!C:D,2,FALSE)</f>
        <v>Ivy</v>
      </c>
      <c r="L1271" s="1">
        <v>65</v>
      </c>
      <c r="N1271" s="1">
        <f>Table1[[#This Row],[Winning Score]]-Table1[[#This Row],[Losing Score]]</f>
        <v>20</v>
      </c>
      <c r="O1271" s="1">
        <f>Table1[[#This Row],[Losing Seed]]-Table1[[#This Row],[Winning Seed]]</f>
        <v>9</v>
      </c>
      <c r="P1271" s="1" t="str">
        <f>IF(Table1[[#This Row],[SeD]]&lt;-2,Table1[[#This Row],[Winning Seed]]&amp; " over " &amp;Table1[[#This Row],[Losing Seed]],"")</f>
        <v/>
      </c>
      <c r="Q1271">
        <f>VLOOKUP(Table1[[#This Row],[Losing Seed]],'Seed History'!$N$4:$O$19,2)</f>
        <v>0.25694444444444442</v>
      </c>
      <c r="R1271" s="1">
        <f>IF(Table1[[#This Row],[Round]]="PI",0,Table1[[#This Row],[Round]]-1)</f>
        <v>0</v>
      </c>
      <c r="S1271">
        <f>Table1[[#This Row],[LAW]]-Table1[[#This Row],[LEW]]</f>
        <v>-0.25694444444444442</v>
      </c>
    </row>
    <row r="1272" spans="1:19" x14ac:dyDescent="0.25">
      <c r="A1272" s="66">
        <v>38428</v>
      </c>
      <c r="B1272" s="51">
        <f>YEAR(Table1[[#This Row],[Date]])</f>
        <v>2005</v>
      </c>
      <c r="C1272" s="1">
        <v>1</v>
      </c>
      <c r="D1272" t="s">
        <v>63</v>
      </c>
      <c r="E1272" s="1">
        <v>2</v>
      </c>
      <c r="F1272" t="s">
        <v>26</v>
      </c>
      <c r="G1272" t="str">
        <f>VLOOKUP(Table1[[#This Row],[Winner]],Ranking!C:D,2,FALSE)</f>
        <v>SEC</v>
      </c>
      <c r="H1272" s="1">
        <v>72</v>
      </c>
      <c r="I1272" s="1">
        <v>15</v>
      </c>
      <c r="J1272" t="s">
        <v>194</v>
      </c>
      <c r="K1272" t="str">
        <f>VLOOKUP(Table1[[#This Row],[Loser]],Ranking!C:D,2,FALSE)</f>
        <v>OVC</v>
      </c>
      <c r="L1272" s="1">
        <v>64</v>
      </c>
      <c r="N1272" s="1">
        <f>Table1[[#This Row],[Winning Score]]-Table1[[#This Row],[Losing Score]]</f>
        <v>8</v>
      </c>
      <c r="O1272" s="1">
        <f>Table1[[#This Row],[Losing Seed]]-Table1[[#This Row],[Winning Seed]]</f>
        <v>13</v>
      </c>
      <c r="P1272" s="1" t="str">
        <f>IF(Table1[[#This Row],[SeD]]&lt;-2,Table1[[#This Row],[Winning Seed]]&amp; " over " &amp;Table1[[#This Row],[Losing Seed]],"")</f>
        <v/>
      </c>
      <c r="Q1272">
        <f>VLOOKUP(Table1[[#This Row],[Losing Seed]],'Seed History'!$N$4:$O$19,2)</f>
        <v>7.6388888888888895E-2</v>
      </c>
      <c r="R1272" s="1">
        <f>IF(Table1[[#This Row],[Round]]="PI",0,Table1[[#This Row],[Round]]-1)</f>
        <v>0</v>
      </c>
      <c r="S1272">
        <f>Table1[[#This Row],[LAW]]-Table1[[#This Row],[LEW]]</f>
        <v>-7.6388888888888895E-2</v>
      </c>
    </row>
    <row r="1273" spans="1:19" x14ac:dyDescent="0.25">
      <c r="A1273" s="66">
        <v>38428</v>
      </c>
      <c r="B1273" s="51">
        <f>YEAR(Table1[[#This Row],[Date]])</f>
        <v>2005</v>
      </c>
      <c r="C1273" s="1">
        <v>1</v>
      </c>
      <c r="D1273" t="s">
        <v>63</v>
      </c>
      <c r="E1273" s="1">
        <v>3</v>
      </c>
      <c r="F1273" t="s">
        <v>58</v>
      </c>
      <c r="G1273" t="str">
        <f>VLOOKUP(Table1[[#This Row],[Winner]],Ranking!C:D,2,FALSE)</f>
        <v>B12</v>
      </c>
      <c r="H1273" s="1">
        <v>84</v>
      </c>
      <c r="I1273" s="1">
        <v>14</v>
      </c>
      <c r="J1273" t="s">
        <v>294</v>
      </c>
      <c r="K1273" t="str">
        <f>VLOOKUP(Table1[[#This Row],[Loser]],Ranking!C:D,2,FALSE)</f>
        <v>MAAC</v>
      </c>
      <c r="L1273" s="1">
        <v>67</v>
      </c>
      <c r="N1273" s="1">
        <f>Table1[[#This Row],[Winning Score]]-Table1[[#This Row],[Losing Score]]</f>
        <v>17</v>
      </c>
      <c r="O1273" s="1">
        <f>Table1[[#This Row],[Losing Seed]]-Table1[[#This Row],[Winning Seed]]</f>
        <v>11</v>
      </c>
      <c r="P1273" s="1" t="str">
        <f>IF(Table1[[#This Row],[SeD]]&lt;-2,Table1[[#This Row],[Winning Seed]]&amp; " over " &amp;Table1[[#This Row],[Losing Seed]],"")</f>
        <v/>
      </c>
      <c r="Q1273">
        <f>VLOOKUP(Table1[[#This Row],[Losing Seed]],'Seed History'!$N$4:$O$19,2)</f>
        <v>0.16666666666666666</v>
      </c>
      <c r="R1273" s="1">
        <f>IF(Table1[[#This Row],[Round]]="PI",0,Table1[[#This Row],[Round]]-1)</f>
        <v>0</v>
      </c>
      <c r="S1273">
        <f>Table1[[#This Row],[LAW]]-Table1[[#This Row],[LEW]]</f>
        <v>-0.16666666666666666</v>
      </c>
    </row>
    <row r="1274" spans="1:19" x14ac:dyDescent="0.25">
      <c r="A1274" s="66">
        <v>38428</v>
      </c>
      <c r="B1274" s="51">
        <f>YEAR(Table1[[#This Row],[Date]])</f>
        <v>2005</v>
      </c>
      <c r="C1274" s="1">
        <v>1</v>
      </c>
      <c r="D1274" t="s">
        <v>63</v>
      </c>
      <c r="E1274" s="1">
        <v>6</v>
      </c>
      <c r="F1274" t="s">
        <v>65</v>
      </c>
      <c r="G1274" t="str">
        <f>VLOOKUP(Table1[[#This Row],[Winner]],Ranking!C:D,2,FALSE)</f>
        <v>P12</v>
      </c>
      <c r="H1274" s="1">
        <v>60</v>
      </c>
      <c r="I1274" s="1">
        <v>11</v>
      </c>
      <c r="J1274" t="s">
        <v>402</v>
      </c>
      <c r="K1274" t="str">
        <f>VLOOKUP(Table1[[#This Row],[Loser]],Ranking!C:D,2,FALSE)</f>
        <v>CUSA</v>
      </c>
      <c r="L1274" s="1">
        <v>54</v>
      </c>
      <c r="N1274" s="1">
        <f>Table1[[#This Row],[Winning Score]]-Table1[[#This Row],[Losing Score]]</f>
        <v>6</v>
      </c>
      <c r="O1274" s="1">
        <f>Table1[[#This Row],[Losing Seed]]-Table1[[#This Row],[Winning Seed]]</f>
        <v>5</v>
      </c>
      <c r="P1274" s="1" t="str">
        <f>IF(Table1[[#This Row],[SeD]]&lt;-2,Table1[[#This Row],[Winning Seed]]&amp; " over " &amp;Table1[[#This Row],[Losing Seed]],"")</f>
        <v/>
      </c>
      <c r="Q1274">
        <f>VLOOKUP(Table1[[#This Row],[Losing Seed]],'Seed History'!$N$4:$O$19,2)</f>
        <v>0.63194444444444442</v>
      </c>
      <c r="R1274" s="1">
        <f>IF(Table1[[#This Row],[Round]]="PI",0,Table1[[#This Row],[Round]]-1)</f>
        <v>0</v>
      </c>
      <c r="S1274">
        <f>Table1[[#This Row],[LAW]]-Table1[[#This Row],[LEW]]</f>
        <v>-0.63194444444444442</v>
      </c>
    </row>
    <row r="1275" spans="1:19" x14ac:dyDescent="0.25">
      <c r="A1275" s="66">
        <v>38428</v>
      </c>
      <c r="B1275" s="51">
        <f>YEAR(Table1[[#This Row],[Date]])</f>
        <v>2005</v>
      </c>
      <c r="C1275" s="1">
        <v>1</v>
      </c>
      <c r="D1275" t="s">
        <v>63</v>
      </c>
      <c r="E1275" s="1">
        <v>7</v>
      </c>
      <c r="F1275" t="s">
        <v>28</v>
      </c>
      <c r="G1275" t="str">
        <f>VLOOKUP(Table1[[#This Row],[Winner]],Ranking!C:D,2,FALSE)</f>
        <v>Amer</v>
      </c>
      <c r="H1275" s="1">
        <v>76</v>
      </c>
      <c r="I1275" s="1">
        <v>10</v>
      </c>
      <c r="J1275" t="s">
        <v>69</v>
      </c>
      <c r="K1275" t="str">
        <f>VLOOKUP(Table1[[#This Row],[Loser]],Ranking!C:D,2,FALSE)</f>
        <v>B10</v>
      </c>
      <c r="L1275" s="1">
        <v>64</v>
      </c>
      <c r="N1275" s="1">
        <f>Table1[[#This Row],[Winning Score]]-Table1[[#This Row],[Losing Score]]</f>
        <v>12</v>
      </c>
      <c r="O1275" s="1">
        <f>Table1[[#This Row],[Losing Seed]]-Table1[[#This Row],[Winning Seed]]</f>
        <v>3</v>
      </c>
      <c r="P1275" s="1" t="str">
        <f>IF(Table1[[#This Row],[SeD]]&lt;-2,Table1[[#This Row],[Winning Seed]]&amp; " over " &amp;Table1[[#This Row],[Losing Seed]],"")</f>
        <v/>
      </c>
      <c r="Q1275">
        <f>VLOOKUP(Table1[[#This Row],[Losing Seed]],'Seed History'!$N$4:$O$19,2)</f>
        <v>0.61805555555555558</v>
      </c>
      <c r="R1275" s="1">
        <f>IF(Table1[[#This Row],[Round]]="PI",0,Table1[[#This Row],[Round]]-1)</f>
        <v>0</v>
      </c>
      <c r="S1275">
        <f>Table1[[#This Row],[LAW]]-Table1[[#This Row],[LEW]]</f>
        <v>-0.61805555555555558</v>
      </c>
    </row>
    <row r="1276" spans="1:19" x14ac:dyDescent="0.25">
      <c r="A1276" s="66">
        <v>38428</v>
      </c>
      <c r="B1276" s="51">
        <f>YEAR(Table1[[#This Row],[Date]])</f>
        <v>2005</v>
      </c>
      <c r="C1276" s="1">
        <v>1</v>
      </c>
      <c r="D1276" t="s">
        <v>38</v>
      </c>
      <c r="E1276" s="1">
        <v>1</v>
      </c>
      <c r="F1276" t="s">
        <v>409</v>
      </c>
      <c r="G1276" t="str">
        <f>VLOOKUP(Table1[[#This Row],[Winner]],Ranking!C:D,2,FALSE)</f>
        <v>P12</v>
      </c>
      <c r="H1276" s="1">
        <v>88</v>
      </c>
      <c r="I1276" s="1">
        <v>16</v>
      </c>
      <c r="J1276" t="s">
        <v>280</v>
      </c>
      <c r="K1276" t="str">
        <f>VLOOKUP(Table1[[#This Row],[Loser]],Ranking!C:D,2,FALSE)</f>
        <v>BSky</v>
      </c>
      <c r="L1276" s="1">
        <v>77</v>
      </c>
      <c r="N1276" s="1">
        <f>Table1[[#This Row],[Winning Score]]-Table1[[#This Row],[Losing Score]]</f>
        <v>11</v>
      </c>
      <c r="O1276" s="1">
        <f>Table1[[#This Row],[Losing Seed]]-Table1[[#This Row],[Winning Seed]]</f>
        <v>15</v>
      </c>
      <c r="P1276" s="1" t="str">
        <f>IF(Table1[[#This Row],[SeD]]&lt;-2,Table1[[#This Row],[Winning Seed]]&amp; " over " &amp;Table1[[#This Row],[Losing Seed]],"")</f>
        <v/>
      </c>
      <c r="Q1276">
        <f>VLOOKUP(Table1[[#This Row],[Losing Seed]],'Seed History'!$N$4:$O$19,2)</f>
        <v>6.9444444444444441E-3</v>
      </c>
      <c r="R1276" s="1">
        <f>IF(Table1[[#This Row],[Round]]="PI",0,Table1[[#This Row],[Round]]-1)</f>
        <v>0</v>
      </c>
      <c r="S1276">
        <f>Table1[[#This Row],[LAW]]-Table1[[#This Row],[LEW]]</f>
        <v>-6.9444444444444441E-3</v>
      </c>
    </row>
    <row r="1277" spans="1:19" x14ac:dyDescent="0.25">
      <c r="A1277" s="66">
        <v>38428</v>
      </c>
      <c r="B1277" s="51">
        <f>YEAR(Table1[[#This Row],[Date]])</f>
        <v>2005</v>
      </c>
      <c r="C1277" s="1">
        <v>1</v>
      </c>
      <c r="D1277" t="s">
        <v>38</v>
      </c>
      <c r="E1277" s="1">
        <v>2</v>
      </c>
      <c r="F1277" t="s">
        <v>408</v>
      </c>
      <c r="G1277" t="str">
        <f>VLOOKUP(Table1[[#This Row],[Winner]],Ranking!C:D,2,FALSE)</f>
        <v>ACC</v>
      </c>
      <c r="H1277" s="1">
        <v>70</v>
      </c>
      <c r="I1277" s="1">
        <v>15</v>
      </c>
      <c r="J1277" t="s">
        <v>167</v>
      </c>
      <c r="K1277" t="str">
        <f>VLOOKUP(Table1[[#This Row],[Loser]],Ranking!C:D,2,FALSE)</f>
        <v>SC</v>
      </c>
      <c r="L1277" s="1">
        <v>54</v>
      </c>
      <c r="N1277" s="1">
        <f>Table1[[#This Row],[Winning Score]]-Table1[[#This Row],[Losing Score]]</f>
        <v>16</v>
      </c>
      <c r="O1277" s="1">
        <f>Table1[[#This Row],[Losing Seed]]-Table1[[#This Row],[Winning Seed]]</f>
        <v>13</v>
      </c>
      <c r="P1277" s="1" t="str">
        <f>IF(Table1[[#This Row],[SeD]]&lt;-2,Table1[[#This Row],[Winning Seed]]&amp; " over " &amp;Table1[[#This Row],[Losing Seed]],"")</f>
        <v/>
      </c>
      <c r="Q1277">
        <f>VLOOKUP(Table1[[#This Row],[Losing Seed]],'Seed History'!$N$4:$O$19,2)</f>
        <v>7.6388888888888895E-2</v>
      </c>
      <c r="R1277" s="1">
        <f>IF(Table1[[#This Row],[Round]]="PI",0,Table1[[#This Row],[Round]]-1)</f>
        <v>0</v>
      </c>
      <c r="S1277">
        <f>Table1[[#This Row],[LAW]]-Table1[[#This Row],[LEW]]</f>
        <v>-7.6388888888888895E-2</v>
      </c>
    </row>
    <row r="1278" spans="1:19" x14ac:dyDescent="0.25">
      <c r="A1278" s="66">
        <v>38428</v>
      </c>
      <c r="B1278" s="51">
        <f>YEAR(Table1[[#This Row],[Date]])</f>
        <v>2005</v>
      </c>
      <c r="C1278" s="1">
        <v>1</v>
      </c>
      <c r="D1278" t="s">
        <v>38</v>
      </c>
      <c r="E1278" s="1">
        <v>3</v>
      </c>
      <c r="F1278" t="s">
        <v>71</v>
      </c>
      <c r="G1278" t="str">
        <f>VLOOKUP(Table1[[#This Row],[Winner]],Ranking!C:D,2,FALSE)</f>
        <v>WCC</v>
      </c>
      <c r="H1278" s="1">
        <v>74</v>
      </c>
      <c r="I1278" s="1">
        <v>14</v>
      </c>
      <c r="J1278" t="s">
        <v>419</v>
      </c>
      <c r="K1278" t="str">
        <f>VLOOKUP(Table1[[#This Row],[Loser]],Ranking!C:D,2,FALSE)</f>
        <v>BSth</v>
      </c>
      <c r="L1278" s="1">
        <v>64</v>
      </c>
      <c r="N1278" s="1">
        <f>Table1[[#This Row],[Winning Score]]-Table1[[#This Row],[Losing Score]]</f>
        <v>10</v>
      </c>
      <c r="O1278" s="1">
        <f>Table1[[#This Row],[Losing Seed]]-Table1[[#This Row],[Winning Seed]]</f>
        <v>11</v>
      </c>
      <c r="P1278" s="1" t="str">
        <f>IF(Table1[[#This Row],[SeD]]&lt;-2,Table1[[#This Row],[Winning Seed]]&amp; " over " &amp;Table1[[#This Row],[Losing Seed]],"")</f>
        <v/>
      </c>
      <c r="Q1278">
        <f>VLOOKUP(Table1[[#This Row],[Losing Seed]],'Seed History'!$N$4:$O$19,2)</f>
        <v>0.16666666666666666</v>
      </c>
      <c r="R1278" s="1">
        <f>IF(Table1[[#This Row],[Round]]="PI",0,Table1[[#This Row],[Round]]-1)</f>
        <v>0</v>
      </c>
      <c r="S1278">
        <f>Table1[[#This Row],[LAW]]-Table1[[#This Row],[LEW]]</f>
        <v>-0.16666666666666666</v>
      </c>
    </row>
    <row r="1279" spans="1:19" x14ac:dyDescent="0.25">
      <c r="A1279" s="66">
        <v>38428</v>
      </c>
      <c r="B1279" s="51">
        <f>YEAR(Table1[[#This Row],[Date]])</f>
        <v>2005</v>
      </c>
      <c r="C1279" s="1">
        <v>1</v>
      </c>
      <c r="D1279" t="s">
        <v>38</v>
      </c>
      <c r="E1279" s="1">
        <v>6</v>
      </c>
      <c r="F1279" t="s">
        <v>92</v>
      </c>
      <c r="G1279" t="str">
        <f>VLOOKUP(Table1[[#This Row],[Winner]],Ranking!C:D,2,FALSE)</f>
        <v>B12</v>
      </c>
      <c r="H1279" s="1">
        <v>78</v>
      </c>
      <c r="I1279" s="1">
        <v>11</v>
      </c>
      <c r="J1279" t="s">
        <v>67</v>
      </c>
      <c r="K1279" t="str">
        <f>VLOOKUP(Table1[[#This Row],[Loser]],Ranking!C:D,2,FALSE)</f>
        <v>P12</v>
      </c>
      <c r="L1279" s="1">
        <v>66</v>
      </c>
      <c r="N1279" s="1">
        <f>Table1[[#This Row],[Winning Score]]-Table1[[#This Row],[Losing Score]]</f>
        <v>12</v>
      </c>
      <c r="O1279" s="1">
        <f>Table1[[#This Row],[Losing Seed]]-Table1[[#This Row],[Winning Seed]]</f>
        <v>5</v>
      </c>
      <c r="P1279" s="1" t="str">
        <f>IF(Table1[[#This Row],[SeD]]&lt;-2,Table1[[#This Row],[Winning Seed]]&amp; " over " &amp;Table1[[#This Row],[Losing Seed]],"")</f>
        <v/>
      </c>
      <c r="Q1279">
        <f>VLOOKUP(Table1[[#This Row],[Losing Seed]],'Seed History'!$N$4:$O$19,2)</f>
        <v>0.63194444444444442</v>
      </c>
      <c r="R1279" s="1">
        <f>IF(Table1[[#This Row],[Round]]="PI",0,Table1[[#This Row],[Round]]-1)</f>
        <v>0</v>
      </c>
      <c r="S1279">
        <f>Table1[[#This Row],[LAW]]-Table1[[#This Row],[LEW]]</f>
        <v>-0.63194444444444442</v>
      </c>
    </row>
    <row r="1280" spans="1:19" x14ac:dyDescent="0.25">
      <c r="A1280" s="66">
        <v>38428</v>
      </c>
      <c r="B1280" s="51">
        <f>YEAR(Table1[[#This Row],[Date]])</f>
        <v>2005</v>
      </c>
      <c r="C1280" s="1">
        <v>1</v>
      </c>
      <c r="D1280" t="s">
        <v>38</v>
      </c>
      <c r="E1280" s="1">
        <v>7</v>
      </c>
      <c r="F1280" t="s">
        <v>412</v>
      </c>
      <c r="G1280" t="str">
        <f>VLOOKUP(Table1[[#This Row],[Winner]],Ranking!C:D,2,FALSE)</f>
        <v>B12</v>
      </c>
      <c r="H1280" s="1">
        <v>63</v>
      </c>
      <c r="I1280" s="1">
        <v>10</v>
      </c>
      <c r="J1280" t="s">
        <v>88</v>
      </c>
      <c r="K1280" t="str">
        <f>VLOOKUP(Table1[[#This Row],[Loser]],Ranking!C:D,2,FALSE)</f>
        <v>BE</v>
      </c>
      <c r="L1280" s="1">
        <v>61</v>
      </c>
      <c r="N1280" s="1">
        <f>Table1[[#This Row],[Winning Score]]-Table1[[#This Row],[Losing Score]]</f>
        <v>2</v>
      </c>
      <c r="O1280" s="1">
        <f>Table1[[#This Row],[Losing Seed]]-Table1[[#This Row],[Winning Seed]]</f>
        <v>3</v>
      </c>
      <c r="P1280" s="1" t="str">
        <f>IF(Table1[[#This Row],[SeD]]&lt;-2,Table1[[#This Row],[Winning Seed]]&amp; " over " &amp;Table1[[#This Row],[Losing Seed]],"")</f>
        <v/>
      </c>
      <c r="Q1280">
        <f>VLOOKUP(Table1[[#This Row],[Losing Seed]],'Seed History'!$N$4:$O$19,2)</f>
        <v>0.61805555555555558</v>
      </c>
      <c r="R1280" s="1">
        <f>IF(Table1[[#This Row],[Round]]="PI",0,Table1[[#This Row],[Round]]-1)</f>
        <v>0</v>
      </c>
      <c r="S1280">
        <f>Table1[[#This Row],[LAW]]-Table1[[#This Row],[LEW]]</f>
        <v>-0.61805555555555558</v>
      </c>
    </row>
    <row r="1281" spans="1:19" x14ac:dyDescent="0.25">
      <c r="A1281" s="66">
        <v>38428</v>
      </c>
      <c r="B1281" s="51">
        <f>YEAR(Table1[[#This Row],[Date]])</f>
        <v>2005</v>
      </c>
      <c r="C1281" s="1">
        <v>1</v>
      </c>
      <c r="D1281" t="s">
        <v>38</v>
      </c>
      <c r="E1281" s="1">
        <v>8</v>
      </c>
      <c r="F1281" t="s">
        <v>320</v>
      </c>
      <c r="G1281" t="str">
        <f>VLOOKUP(Table1[[#This Row],[Winner]],Ranking!C:D,2,FALSE)</f>
        <v>WCC</v>
      </c>
      <c r="H1281" s="1">
        <v>79</v>
      </c>
      <c r="I1281" s="1">
        <v>9</v>
      </c>
      <c r="J1281" t="s">
        <v>83</v>
      </c>
      <c r="K1281" t="str">
        <f>VLOOKUP(Table1[[#This Row],[Loser]],Ranking!C:D,2,FALSE)</f>
        <v>ACC</v>
      </c>
      <c r="L1281" s="1">
        <v>71</v>
      </c>
      <c r="N1281" s="1">
        <f>Table1[[#This Row],[Winning Score]]-Table1[[#This Row],[Losing Score]]</f>
        <v>8</v>
      </c>
      <c r="O1281" s="1">
        <f>Table1[[#This Row],[Losing Seed]]-Table1[[#This Row],[Winning Seed]]</f>
        <v>1</v>
      </c>
      <c r="P1281" s="1" t="str">
        <f>IF(Table1[[#This Row],[SeD]]&lt;-2,Table1[[#This Row],[Winning Seed]]&amp; " over " &amp;Table1[[#This Row],[Losing Seed]],"")</f>
        <v/>
      </c>
      <c r="Q1281">
        <f>VLOOKUP(Table1[[#This Row],[Losing Seed]],'Seed History'!$N$4:$O$19,2)</f>
        <v>0.59027777777777779</v>
      </c>
      <c r="R1281" s="1">
        <f>IF(Table1[[#This Row],[Round]]="PI",0,Table1[[#This Row],[Round]]-1)</f>
        <v>0</v>
      </c>
      <c r="S1281">
        <f>Table1[[#This Row],[LAW]]-Table1[[#This Row],[LEW]]</f>
        <v>-0.59027777777777779</v>
      </c>
    </row>
    <row r="1282" spans="1:19" x14ac:dyDescent="0.25">
      <c r="A1282" s="66">
        <v>38428</v>
      </c>
      <c r="B1282" s="51">
        <f>YEAR(Table1[[#This Row],[Date]])</f>
        <v>2005</v>
      </c>
      <c r="C1282" s="1">
        <v>1</v>
      </c>
      <c r="D1282" t="s">
        <v>439</v>
      </c>
      <c r="E1282" s="1">
        <v>9</v>
      </c>
      <c r="F1282" t="s">
        <v>289</v>
      </c>
      <c r="G1282" t="str">
        <f>VLOOKUP(Table1[[#This Row],[Winner]],Ranking!C:D,2,FALSE)</f>
        <v>MWC</v>
      </c>
      <c r="H1282" s="1">
        <v>61</v>
      </c>
      <c r="I1282" s="1">
        <v>8</v>
      </c>
      <c r="J1282" t="s">
        <v>34</v>
      </c>
      <c r="K1282" t="str">
        <f>VLOOKUP(Table1[[#This Row],[Loser]],Ranking!C:D,2,FALSE)</f>
        <v>B12</v>
      </c>
      <c r="L1282" s="1">
        <v>57</v>
      </c>
      <c r="N1282" s="1">
        <f>Table1[[#This Row],[Winning Score]]-Table1[[#This Row],[Losing Score]]</f>
        <v>4</v>
      </c>
      <c r="O1282" s="1">
        <f>Table1[[#This Row],[Losing Seed]]-Table1[[#This Row],[Winning Seed]]</f>
        <v>-1</v>
      </c>
      <c r="P1282" s="1" t="str">
        <f>IF(Table1[[#This Row],[SeD]]&lt;-2,Table1[[#This Row],[Winning Seed]]&amp; " over " &amp;Table1[[#This Row],[Losing Seed]],"")</f>
        <v/>
      </c>
      <c r="Q1282">
        <f>VLOOKUP(Table1[[#This Row],[Losing Seed]],'Seed History'!$N$4:$O$19,2)</f>
        <v>0.70833333333333337</v>
      </c>
      <c r="R1282" s="1">
        <f>IF(Table1[[#This Row],[Round]]="PI",0,Table1[[#This Row],[Round]]-1)</f>
        <v>0</v>
      </c>
      <c r="S1282">
        <f>Table1[[#This Row],[LAW]]-Table1[[#This Row],[LEW]]</f>
        <v>-0.70833333333333337</v>
      </c>
    </row>
    <row r="1283" spans="1:19" x14ac:dyDescent="0.25">
      <c r="A1283" s="66">
        <v>38429</v>
      </c>
      <c r="B1283" s="51">
        <f>YEAR(Table1[[#This Row],[Date]])</f>
        <v>2005</v>
      </c>
      <c r="C1283" s="1">
        <v>1</v>
      </c>
      <c r="D1283" t="s">
        <v>49</v>
      </c>
      <c r="E1283" s="1">
        <v>14</v>
      </c>
      <c r="F1283" t="s">
        <v>148</v>
      </c>
      <c r="G1283" t="str">
        <f>VLOOKUP(Table1[[#This Row],[Winner]],Ranking!C:D,2,FALSE)</f>
        <v>Pat</v>
      </c>
      <c r="H1283" s="1">
        <v>64</v>
      </c>
      <c r="I1283" s="1">
        <v>3</v>
      </c>
      <c r="J1283" t="s">
        <v>37</v>
      </c>
      <c r="K1283" t="str">
        <f>VLOOKUP(Table1[[#This Row],[Loser]],Ranking!C:D,2,FALSE)</f>
        <v>B12</v>
      </c>
      <c r="L1283" s="1">
        <v>63</v>
      </c>
      <c r="N1283" s="1">
        <f>Table1[[#This Row],[Winning Score]]-Table1[[#This Row],[Losing Score]]</f>
        <v>1</v>
      </c>
      <c r="O1283" s="1">
        <f>Table1[[#This Row],[Losing Seed]]-Table1[[#This Row],[Winning Seed]]</f>
        <v>-11</v>
      </c>
      <c r="P1283" s="1" t="str">
        <f>IF(Table1[[#This Row],[SeD]]&lt;-2,Table1[[#This Row],[Winning Seed]]&amp; " over " &amp;Table1[[#This Row],[Losing Seed]],"")</f>
        <v>14 over 3</v>
      </c>
      <c r="Q1283">
        <f>VLOOKUP(Table1[[#This Row],[Losing Seed]],'Seed History'!$N$4:$O$19,2)</f>
        <v>1.8472222222222223</v>
      </c>
      <c r="R1283" s="1">
        <f>IF(Table1[[#This Row],[Round]]="PI",0,Table1[[#This Row],[Round]]-1)</f>
        <v>0</v>
      </c>
      <c r="S1283">
        <f>Table1[[#This Row],[LAW]]-Table1[[#This Row],[LEW]]</f>
        <v>-1.8472222222222223</v>
      </c>
    </row>
    <row r="1284" spans="1:19" x14ac:dyDescent="0.25">
      <c r="A1284" s="66">
        <v>38429</v>
      </c>
      <c r="B1284" s="51">
        <f>YEAR(Table1[[#This Row],[Date]])</f>
        <v>2005</v>
      </c>
      <c r="C1284" s="1">
        <v>1</v>
      </c>
      <c r="D1284" t="s">
        <v>63</v>
      </c>
      <c r="E1284" s="1">
        <v>13</v>
      </c>
      <c r="F1284" t="s">
        <v>404</v>
      </c>
      <c r="G1284" t="str">
        <f>VLOOKUP(Table1[[#This Row],[Winner]],Ranking!C:D,2,FALSE)</f>
        <v>AE</v>
      </c>
      <c r="H1284" s="1">
        <v>60</v>
      </c>
      <c r="I1284" s="1">
        <v>4</v>
      </c>
      <c r="J1284" t="s">
        <v>86</v>
      </c>
      <c r="K1284" t="str">
        <f>VLOOKUP(Table1[[#This Row],[Loser]],Ranking!C:D,2,FALSE)</f>
        <v>ACC</v>
      </c>
      <c r="L1284" s="1">
        <v>57</v>
      </c>
      <c r="M1284" s="1" t="s">
        <v>462</v>
      </c>
      <c r="N1284" s="1">
        <f>Table1[[#This Row],[Winning Score]]-Table1[[#This Row],[Losing Score]]</f>
        <v>3</v>
      </c>
      <c r="O1284" s="1">
        <f>Table1[[#This Row],[Losing Seed]]-Table1[[#This Row],[Winning Seed]]</f>
        <v>-9</v>
      </c>
      <c r="P1284" s="1" t="str">
        <f>IF(Table1[[#This Row],[SeD]]&lt;-2,Table1[[#This Row],[Winning Seed]]&amp; " over " &amp;Table1[[#This Row],[Losing Seed]],"")</f>
        <v>13 over 4</v>
      </c>
      <c r="Q1284">
        <f>VLOOKUP(Table1[[#This Row],[Losing Seed]],'Seed History'!$N$4:$O$19,2)</f>
        <v>1.5208333333333333</v>
      </c>
      <c r="R1284" s="1">
        <f>IF(Table1[[#This Row],[Round]]="PI",0,Table1[[#This Row],[Round]]-1)</f>
        <v>0</v>
      </c>
      <c r="S1284">
        <f>Table1[[#This Row],[LAW]]-Table1[[#This Row],[LEW]]</f>
        <v>-1.5208333333333333</v>
      </c>
    </row>
    <row r="1285" spans="1:19" x14ac:dyDescent="0.25">
      <c r="A1285" s="66">
        <v>38429</v>
      </c>
      <c r="B1285" s="51">
        <f>YEAR(Table1[[#This Row],[Date]])</f>
        <v>2005</v>
      </c>
      <c r="C1285" s="1">
        <v>1</v>
      </c>
      <c r="D1285" t="s">
        <v>49</v>
      </c>
      <c r="E1285" s="1">
        <v>1</v>
      </c>
      <c r="F1285" t="s">
        <v>298</v>
      </c>
      <c r="G1285" t="str">
        <f>VLOOKUP(Table1[[#This Row],[Winner]],Ranking!C:D,2,FALSE)</f>
        <v>ACC</v>
      </c>
      <c r="H1285" s="1">
        <v>96</v>
      </c>
      <c r="I1285" s="1">
        <v>16</v>
      </c>
      <c r="J1285" t="s">
        <v>313</v>
      </c>
      <c r="K1285" t="str">
        <f>VLOOKUP(Table1[[#This Row],[Loser]],Ranking!C:D,2,FALSE)</f>
        <v>Horz</v>
      </c>
      <c r="L1285" s="1">
        <v>68</v>
      </c>
      <c r="N1285" s="1">
        <f>Table1[[#This Row],[Winning Score]]-Table1[[#This Row],[Losing Score]]</f>
        <v>28</v>
      </c>
      <c r="O1285" s="1">
        <f>Table1[[#This Row],[Losing Seed]]-Table1[[#This Row],[Winning Seed]]</f>
        <v>15</v>
      </c>
      <c r="P1285" s="1" t="str">
        <f>IF(Table1[[#This Row],[SeD]]&lt;-2,Table1[[#This Row],[Winning Seed]]&amp; " over " &amp;Table1[[#This Row],[Losing Seed]],"")</f>
        <v/>
      </c>
      <c r="Q1285">
        <f>VLOOKUP(Table1[[#This Row],[Losing Seed]],'Seed History'!$N$4:$O$19,2)</f>
        <v>6.9444444444444441E-3</v>
      </c>
      <c r="R1285" s="1">
        <f>IF(Table1[[#This Row],[Round]]="PI",0,Table1[[#This Row],[Round]]-1)</f>
        <v>0</v>
      </c>
      <c r="S1285">
        <f>Table1[[#This Row],[LAW]]-Table1[[#This Row],[LEW]]</f>
        <v>-6.9444444444444441E-3</v>
      </c>
    </row>
    <row r="1286" spans="1:19" x14ac:dyDescent="0.25">
      <c r="A1286" s="66">
        <v>38429</v>
      </c>
      <c r="B1286" s="51">
        <f>YEAR(Table1[[#This Row],[Date]])</f>
        <v>2005</v>
      </c>
      <c r="C1286" s="1">
        <v>1</v>
      </c>
      <c r="D1286" t="s">
        <v>49</v>
      </c>
      <c r="E1286" s="1">
        <v>2</v>
      </c>
      <c r="F1286" t="s">
        <v>80</v>
      </c>
      <c r="G1286" t="str">
        <f>VLOOKUP(Table1[[#This Row],[Winner]],Ranking!C:D,2,FALSE)</f>
        <v>BE</v>
      </c>
      <c r="H1286" s="1">
        <v>77</v>
      </c>
      <c r="I1286" s="1">
        <v>15</v>
      </c>
      <c r="J1286" t="s">
        <v>389</v>
      </c>
      <c r="K1286" t="str">
        <f>VLOOKUP(Table1[[#This Row],[Loser]],Ranking!C:D,2,FALSE)</f>
        <v>Amer</v>
      </c>
      <c r="L1286" s="1">
        <v>71</v>
      </c>
      <c r="N1286" s="1">
        <f>Table1[[#This Row],[Winning Score]]-Table1[[#This Row],[Losing Score]]</f>
        <v>6</v>
      </c>
      <c r="O1286" s="1">
        <f>Table1[[#This Row],[Losing Seed]]-Table1[[#This Row],[Winning Seed]]</f>
        <v>13</v>
      </c>
      <c r="P1286" s="1" t="str">
        <f>IF(Table1[[#This Row],[SeD]]&lt;-2,Table1[[#This Row],[Winning Seed]]&amp; " over " &amp;Table1[[#This Row],[Losing Seed]],"")</f>
        <v/>
      </c>
      <c r="Q1286">
        <f>VLOOKUP(Table1[[#This Row],[Losing Seed]],'Seed History'!$N$4:$O$19,2)</f>
        <v>7.6388888888888895E-2</v>
      </c>
      <c r="R1286" s="1">
        <f>IF(Table1[[#This Row],[Round]]="PI",0,Table1[[#This Row],[Round]]-1)</f>
        <v>0</v>
      </c>
      <c r="S1286">
        <f>Table1[[#This Row],[LAW]]-Table1[[#This Row],[LEW]]</f>
        <v>-7.6388888888888895E-2</v>
      </c>
    </row>
    <row r="1287" spans="1:19" x14ac:dyDescent="0.25">
      <c r="A1287" s="66">
        <v>38429</v>
      </c>
      <c r="B1287" s="51">
        <f>YEAR(Table1[[#This Row],[Date]])</f>
        <v>2005</v>
      </c>
      <c r="C1287" s="1">
        <v>1</v>
      </c>
      <c r="D1287" t="s">
        <v>49</v>
      </c>
      <c r="E1287" s="1">
        <v>4</v>
      </c>
      <c r="F1287" t="s">
        <v>81</v>
      </c>
      <c r="G1287" t="str">
        <f>VLOOKUP(Table1[[#This Row],[Winner]],Ranking!C:D,2,FALSE)</f>
        <v>SEC</v>
      </c>
      <c r="H1287" s="1">
        <v>67</v>
      </c>
      <c r="I1287" s="1">
        <v>13</v>
      </c>
      <c r="J1287" t="s">
        <v>314</v>
      </c>
      <c r="K1287" t="str">
        <f>VLOOKUP(Table1[[#This Row],[Loser]],Ranking!C:D,2,FALSE)</f>
        <v>MAC</v>
      </c>
      <c r="L1287" s="1">
        <v>62</v>
      </c>
      <c r="N1287" s="1">
        <f>Table1[[#This Row],[Winning Score]]-Table1[[#This Row],[Losing Score]]</f>
        <v>5</v>
      </c>
      <c r="O1287" s="1">
        <f>Table1[[#This Row],[Losing Seed]]-Table1[[#This Row],[Winning Seed]]</f>
        <v>9</v>
      </c>
      <c r="P1287" s="1" t="str">
        <f>IF(Table1[[#This Row],[SeD]]&lt;-2,Table1[[#This Row],[Winning Seed]]&amp; " over " &amp;Table1[[#This Row],[Losing Seed]],"")</f>
        <v/>
      </c>
      <c r="Q1287">
        <f>VLOOKUP(Table1[[#This Row],[Losing Seed]],'Seed History'!$N$4:$O$19,2)</f>
        <v>0.25694444444444442</v>
      </c>
      <c r="R1287" s="1">
        <f>IF(Table1[[#This Row],[Round]]="PI",0,Table1[[#This Row],[Round]]-1)</f>
        <v>0</v>
      </c>
      <c r="S1287">
        <f>Table1[[#This Row],[LAW]]-Table1[[#This Row],[LEW]]</f>
        <v>-0.25694444444444442</v>
      </c>
    </row>
    <row r="1288" spans="1:19" x14ac:dyDescent="0.25">
      <c r="A1288" s="66">
        <v>38429</v>
      </c>
      <c r="B1288" s="51">
        <f>YEAR(Table1[[#This Row],[Date]])</f>
        <v>2005</v>
      </c>
      <c r="C1288" s="1">
        <v>1</v>
      </c>
      <c r="D1288" t="s">
        <v>49</v>
      </c>
      <c r="E1288" s="1">
        <v>5</v>
      </c>
      <c r="F1288" t="s">
        <v>50</v>
      </c>
      <c r="G1288" t="str">
        <f>VLOOKUP(Table1[[#This Row],[Winner]],Ranking!C:D,2,FALSE)</f>
        <v>BE</v>
      </c>
      <c r="H1288" s="1">
        <v>55</v>
      </c>
      <c r="I1288" s="1">
        <v>12</v>
      </c>
      <c r="J1288" t="s">
        <v>291</v>
      </c>
      <c r="K1288" t="str">
        <f>VLOOKUP(Table1[[#This Row],[Loser]],Ranking!C:D,2,FALSE)</f>
        <v>MWC</v>
      </c>
      <c r="L1288" s="1">
        <v>47</v>
      </c>
      <c r="N1288" s="1">
        <f>Table1[[#This Row],[Winning Score]]-Table1[[#This Row],[Losing Score]]</f>
        <v>8</v>
      </c>
      <c r="O1288" s="1">
        <f>Table1[[#This Row],[Losing Seed]]-Table1[[#This Row],[Winning Seed]]</f>
        <v>7</v>
      </c>
      <c r="P1288" s="1" t="str">
        <f>IF(Table1[[#This Row],[SeD]]&lt;-2,Table1[[#This Row],[Winning Seed]]&amp; " over " &amp;Table1[[#This Row],[Losing Seed]],"")</f>
        <v/>
      </c>
      <c r="Q1288">
        <f>VLOOKUP(Table1[[#This Row],[Losing Seed]],'Seed History'!$N$4:$O$19,2)</f>
        <v>0.52083333333333337</v>
      </c>
      <c r="R1288" s="1">
        <f>IF(Table1[[#This Row],[Round]]="PI",0,Table1[[#This Row],[Round]]-1)</f>
        <v>0</v>
      </c>
      <c r="S1288">
        <f>Table1[[#This Row],[LAW]]-Table1[[#This Row],[LEW]]</f>
        <v>-0.52083333333333337</v>
      </c>
    </row>
    <row r="1289" spans="1:19" x14ac:dyDescent="0.25">
      <c r="A1289" s="66">
        <v>38429</v>
      </c>
      <c r="B1289" s="51">
        <f>YEAR(Table1[[#This Row],[Date]])</f>
        <v>2005</v>
      </c>
      <c r="C1289" s="1">
        <v>1</v>
      </c>
      <c r="D1289" t="s">
        <v>49</v>
      </c>
      <c r="E1289" s="1">
        <v>6</v>
      </c>
      <c r="F1289" t="s">
        <v>39</v>
      </c>
      <c r="G1289" t="str">
        <f>VLOOKUP(Table1[[#This Row],[Winner]],Ranking!C:D,2,FALSE)</f>
        <v>B10</v>
      </c>
      <c r="H1289" s="1">
        <v>57</v>
      </c>
      <c r="I1289" s="1">
        <v>11</v>
      </c>
      <c r="J1289" t="s">
        <v>310</v>
      </c>
      <c r="K1289" t="str">
        <f>VLOOKUP(Table1[[#This Row],[Loser]],Ranking!C:D,2,FALSE)</f>
        <v>MVC</v>
      </c>
      <c r="L1289" s="1">
        <v>52</v>
      </c>
      <c r="N1289" s="1">
        <f>Table1[[#This Row],[Winning Score]]-Table1[[#This Row],[Losing Score]]</f>
        <v>5</v>
      </c>
      <c r="O1289" s="1">
        <f>Table1[[#This Row],[Losing Seed]]-Table1[[#This Row],[Winning Seed]]</f>
        <v>5</v>
      </c>
      <c r="P1289" s="1" t="str">
        <f>IF(Table1[[#This Row],[SeD]]&lt;-2,Table1[[#This Row],[Winning Seed]]&amp; " over " &amp;Table1[[#This Row],[Losing Seed]],"")</f>
        <v/>
      </c>
      <c r="Q1289">
        <f>VLOOKUP(Table1[[#This Row],[Losing Seed]],'Seed History'!$N$4:$O$19,2)</f>
        <v>0.63194444444444442</v>
      </c>
      <c r="R1289" s="1">
        <f>IF(Table1[[#This Row],[Round]]="PI",0,Table1[[#This Row],[Round]]-1)</f>
        <v>0</v>
      </c>
      <c r="S1289">
        <f>Table1[[#This Row],[LAW]]-Table1[[#This Row],[LEW]]</f>
        <v>-0.63194444444444442</v>
      </c>
    </row>
    <row r="1290" spans="1:19" x14ac:dyDescent="0.25">
      <c r="A1290" s="66">
        <v>38429</v>
      </c>
      <c r="B1290" s="51">
        <f>YEAR(Table1[[#This Row],[Date]])</f>
        <v>2005</v>
      </c>
      <c r="C1290" s="1">
        <v>1</v>
      </c>
      <c r="D1290" t="s">
        <v>439</v>
      </c>
      <c r="E1290" s="1">
        <v>2</v>
      </c>
      <c r="F1290" t="s">
        <v>316</v>
      </c>
      <c r="G1290" t="str">
        <f>VLOOKUP(Table1[[#This Row],[Winner]],Ranking!C:D,2,FALSE)</f>
        <v>B12</v>
      </c>
      <c r="H1290" s="1">
        <v>63</v>
      </c>
      <c r="I1290" s="1">
        <v>15</v>
      </c>
      <c r="J1290" t="s">
        <v>360</v>
      </c>
      <c r="K1290" t="str">
        <f>VLOOKUP(Table1[[#This Row],[Loser]],Ranking!C:D,2,FALSE)</f>
        <v>Slnd</v>
      </c>
      <c r="L1290" s="1">
        <v>50</v>
      </c>
      <c r="N1290" s="1">
        <f>Table1[[#This Row],[Winning Score]]-Table1[[#This Row],[Losing Score]]</f>
        <v>13</v>
      </c>
      <c r="O1290" s="1">
        <f>Table1[[#This Row],[Losing Seed]]-Table1[[#This Row],[Winning Seed]]</f>
        <v>13</v>
      </c>
      <c r="P1290" s="1" t="str">
        <f>IF(Table1[[#This Row],[SeD]]&lt;-2,Table1[[#This Row],[Winning Seed]]&amp; " over " &amp;Table1[[#This Row],[Losing Seed]],"")</f>
        <v/>
      </c>
      <c r="Q1290">
        <f>VLOOKUP(Table1[[#This Row],[Losing Seed]],'Seed History'!$N$4:$O$19,2)</f>
        <v>7.6388888888888895E-2</v>
      </c>
      <c r="R1290" s="1">
        <f>IF(Table1[[#This Row],[Round]]="PI",0,Table1[[#This Row],[Round]]-1)</f>
        <v>0</v>
      </c>
      <c r="S1290">
        <f>Table1[[#This Row],[LAW]]-Table1[[#This Row],[LEW]]</f>
        <v>-7.6388888888888895E-2</v>
      </c>
    </row>
    <row r="1291" spans="1:19" x14ac:dyDescent="0.25">
      <c r="A1291" s="66">
        <v>38429</v>
      </c>
      <c r="B1291" s="51">
        <f>YEAR(Table1[[#This Row],[Date]])</f>
        <v>2005</v>
      </c>
      <c r="C1291" s="1">
        <v>1</v>
      </c>
      <c r="D1291" t="s">
        <v>439</v>
      </c>
      <c r="E1291" s="1">
        <v>7</v>
      </c>
      <c r="F1291" t="s">
        <v>362</v>
      </c>
      <c r="G1291" t="str">
        <f>VLOOKUP(Table1[[#This Row],[Winner]],Ranking!C:D,2,FALSE)</f>
        <v>MVC</v>
      </c>
      <c r="H1291" s="1">
        <v>65</v>
      </c>
      <c r="I1291" s="1">
        <v>10</v>
      </c>
      <c r="J1291" t="s">
        <v>339</v>
      </c>
      <c r="K1291" t="str">
        <f>VLOOKUP(Table1[[#This Row],[Loser]],Ranking!C:D,2,FALSE)</f>
        <v>WCC</v>
      </c>
      <c r="L1291" s="1">
        <v>56</v>
      </c>
      <c r="N1291" s="1">
        <f>Table1[[#This Row],[Winning Score]]-Table1[[#This Row],[Losing Score]]</f>
        <v>9</v>
      </c>
      <c r="O1291" s="1">
        <f>Table1[[#This Row],[Losing Seed]]-Table1[[#This Row],[Winning Seed]]</f>
        <v>3</v>
      </c>
      <c r="P1291" s="1" t="str">
        <f>IF(Table1[[#This Row],[SeD]]&lt;-2,Table1[[#This Row],[Winning Seed]]&amp; " over " &amp;Table1[[#This Row],[Losing Seed]],"")</f>
        <v/>
      </c>
      <c r="Q1291">
        <f>VLOOKUP(Table1[[#This Row],[Losing Seed]],'Seed History'!$N$4:$O$19,2)</f>
        <v>0.61805555555555558</v>
      </c>
      <c r="R1291" s="1">
        <f>IF(Table1[[#This Row],[Round]]="PI",0,Table1[[#This Row],[Round]]-1)</f>
        <v>0</v>
      </c>
      <c r="S1291">
        <f>Table1[[#This Row],[LAW]]-Table1[[#This Row],[LEW]]</f>
        <v>-0.61805555555555558</v>
      </c>
    </row>
    <row r="1292" spans="1:19" x14ac:dyDescent="0.25">
      <c r="A1292" s="66">
        <v>38429</v>
      </c>
      <c r="B1292" s="51">
        <f>YEAR(Table1[[#This Row],[Date]])</f>
        <v>2005</v>
      </c>
      <c r="C1292" s="1">
        <v>1</v>
      </c>
      <c r="D1292" t="s">
        <v>63</v>
      </c>
      <c r="E1292" s="1">
        <v>1</v>
      </c>
      <c r="F1292" t="s">
        <v>64</v>
      </c>
      <c r="G1292" t="str">
        <f>VLOOKUP(Table1[[#This Row],[Winner]],Ranking!C:D,2,FALSE)</f>
        <v>ACC</v>
      </c>
      <c r="H1292" s="1">
        <v>57</v>
      </c>
      <c r="I1292" s="1">
        <v>16</v>
      </c>
      <c r="J1292" t="s">
        <v>183</v>
      </c>
      <c r="K1292" t="str">
        <f>VLOOKUP(Table1[[#This Row],[Loser]],Ranking!C:D,2,FALSE)</f>
        <v>MEAC</v>
      </c>
      <c r="L1292" s="1">
        <v>46</v>
      </c>
      <c r="N1292" s="1">
        <f>Table1[[#This Row],[Winning Score]]-Table1[[#This Row],[Losing Score]]</f>
        <v>11</v>
      </c>
      <c r="O1292" s="1">
        <f>Table1[[#This Row],[Losing Seed]]-Table1[[#This Row],[Winning Seed]]</f>
        <v>15</v>
      </c>
      <c r="P1292" s="1" t="str">
        <f>IF(Table1[[#This Row],[SeD]]&lt;-2,Table1[[#This Row],[Winning Seed]]&amp; " over " &amp;Table1[[#This Row],[Losing Seed]],"")</f>
        <v/>
      </c>
      <c r="Q1292">
        <f>VLOOKUP(Table1[[#This Row],[Losing Seed]],'Seed History'!$N$4:$O$19,2)</f>
        <v>6.9444444444444441E-3</v>
      </c>
      <c r="R1292" s="1">
        <f>IF(Table1[[#This Row],[Round]]="PI",0,Table1[[#This Row],[Round]]-1)</f>
        <v>0</v>
      </c>
      <c r="S1292">
        <f>Table1[[#This Row],[LAW]]-Table1[[#This Row],[LEW]]</f>
        <v>-6.9444444444444441E-3</v>
      </c>
    </row>
    <row r="1293" spans="1:19" x14ac:dyDescent="0.25">
      <c r="A1293" s="66">
        <v>38429</v>
      </c>
      <c r="B1293" s="51">
        <f>YEAR(Table1[[#This Row],[Date]])</f>
        <v>2005</v>
      </c>
      <c r="C1293" s="1">
        <v>1</v>
      </c>
      <c r="D1293" t="s">
        <v>63</v>
      </c>
      <c r="E1293" s="1">
        <v>5</v>
      </c>
      <c r="F1293" t="s">
        <v>271</v>
      </c>
      <c r="G1293" t="str">
        <f>VLOOKUP(Table1[[#This Row],[Winner]],Ranking!C:D,2,FALSE)</f>
        <v>B10</v>
      </c>
      <c r="H1293" s="1">
        <v>89</v>
      </c>
      <c r="I1293" s="1">
        <v>12</v>
      </c>
      <c r="J1293" t="s">
        <v>317</v>
      </c>
      <c r="K1293" t="str">
        <f>VLOOKUP(Table1[[#This Row],[Loser]],Ranking!C:D,2,FALSE)</f>
        <v>CUSA</v>
      </c>
      <c r="L1293" s="1">
        <v>81</v>
      </c>
      <c r="N1293" s="1">
        <f>Table1[[#This Row],[Winning Score]]-Table1[[#This Row],[Losing Score]]</f>
        <v>8</v>
      </c>
      <c r="O1293" s="1">
        <f>Table1[[#This Row],[Losing Seed]]-Table1[[#This Row],[Winning Seed]]</f>
        <v>7</v>
      </c>
      <c r="P1293" s="1" t="str">
        <f>IF(Table1[[#This Row],[SeD]]&lt;-2,Table1[[#This Row],[Winning Seed]]&amp; " over " &amp;Table1[[#This Row],[Losing Seed]],"")</f>
        <v/>
      </c>
      <c r="Q1293">
        <f>VLOOKUP(Table1[[#This Row],[Losing Seed]],'Seed History'!$N$4:$O$19,2)</f>
        <v>0.52083333333333337</v>
      </c>
      <c r="R1293" s="1">
        <f>IF(Table1[[#This Row],[Round]]="PI",0,Table1[[#This Row],[Round]]-1)</f>
        <v>0</v>
      </c>
      <c r="S1293">
        <f>Table1[[#This Row],[LAW]]-Table1[[#This Row],[LEW]]</f>
        <v>-0.52083333333333337</v>
      </c>
    </row>
    <row r="1294" spans="1:19" x14ac:dyDescent="0.25">
      <c r="A1294" s="66">
        <v>38429</v>
      </c>
      <c r="B1294" s="51">
        <f>YEAR(Table1[[#This Row],[Date]])</f>
        <v>2005</v>
      </c>
      <c r="C1294" s="1">
        <v>1</v>
      </c>
      <c r="D1294" t="s">
        <v>38</v>
      </c>
      <c r="E1294" s="1">
        <v>4</v>
      </c>
      <c r="F1294" t="s">
        <v>54</v>
      </c>
      <c r="G1294" t="str">
        <f>VLOOKUP(Table1[[#This Row],[Winner]],Ranking!C:D,2,FALSE)</f>
        <v>ACC</v>
      </c>
      <c r="H1294" s="1">
        <v>68</v>
      </c>
      <c r="I1294" s="1">
        <v>13</v>
      </c>
      <c r="J1294" t="s">
        <v>51</v>
      </c>
      <c r="K1294" t="str">
        <f>VLOOKUP(Table1[[#This Row],[Loser]],Ranking!C:D,2,FALSE)</f>
        <v>Pat</v>
      </c>
      <c r="L1294" s="1">
        <v>62</v>
      </c>
      <c r="N1294" s="1">
        <f>Table1[[#This Row],[Winning Score]]-Table1[[#This Row],[Losing Score]]</f>
        <v>6</v>
      </c>
      <c r="O1294" s="1">
        <f>Table1[[#This Row],[Losing Seed]]-Table1[[#This Row],[Winning Seed]]</f>
        <v>9</v>
      </c>
      <c r="P1294" s="1" t="str">
        <f>IF(Table1[[#This Row],[SeD]]&lt;-2,Table1[[#This Row],[Winning Seed]]&amp; " over " &amp;Table1[[#This Row],[Losing Seed]],"")</f>
        <v/>
      </c>
      <c r="Q1294">
        <f>VLOOKUP(Table1[[#This Row],[Losing Seed]],'Seed History'!$N$4:$O$19,2)</f>
        <v>0.25694444444444442</v>
      </c>
      <c r="R1294" s="1">
        <f>IF(Table1[[#This Row],[Round]]="PI",0,Table1[[#This Row],[Round]]-1)</f>
        <v>0</v>
      </c>
      <c r="S1294">
        <f>Table1[[#This Row],[LAW]]-Table1[[#This Row],[LEW]]</f>
        <v>-0.25694444444444442</v>
      </c>
    </row>
    <row r="1295" spans="1:19" x14ac:dyDescent="0.25">
      <c r="A1295" s="66">
        <v>38429</v>
      </c>
      <c r="B1295" s="51">
        <f>YEAR(Table1[[#This Row],[Date]])</f>
        <v>2005</v>
      </c>
      <c r="C1295" s="1">
        <v>1</v>
      </c>
      <c r="D1295" t="s">
        <v>38</v>
      </c>
      <c r="E1295" s="1">
        <v>5</v>
      </c>
      <c r="F1295" t="s">
        <v>216</v>
      </c>
      <c r="G1295" t="str">
        <f>VLOOKUP(Table1[[#This Row],[Winner]],Ranking!C:D,2,FALSE)</f>
        <v>ACC</v>
      </c>
      <c r="H1295" s="1">
        <v>80</v>
      </c>
      <c r="I1295" s="1">
        <v>12</v>
      </c>
      <c r="J1295" t="s">
        <v>213</v>
      </c>
      <c r="K1295" t="str">
        <f>VLOOKUP(Table1[[#This Row],[Loser]],Ranking!C:D,2,FALSE)</f>
        <v>A10</v>
      </c>
      <c r="L1295" s="1">
        <v>68</v>
      </c>
      <c r="N1295" s="1">
        <f>Table1[[#This Row],[Winning Score]]-Table1[[#This Row],[Losing Score]]</f>
        <v>12</v>
      </c>
      <c r="O1295" s="1">
        <f>Table1[[#This Row],[Losing Seed]]-Table1[[#This Row],[Winning Seed]]</f>
        <v>7</v>
      </c>
      <c r="P1295" s="1" t="str">
        <f>IF(Table1[[#This Row],[SeD]]&lt;-2,Table1[[#This Row],[Winning Seed]]&amp; " over " &amp;Table1[[#This Row],[Losing Seed]],"")</f>
        <v/>
      </c>
      <c r="Q1295">
        <f>VLOOKUP(Table1[[#This Row],[Losing Seed]],'Seed History'!$N$4:$O$19,2)</f>
        <v>0.52083333333333337</v>
      </c>
      <c r="R1295" s="1">
        <f>IF(Table1[[#This Row],[Round]]="PI",0,Table1[[#This Row],[Round]]-1)</f>
        <v>0</v>
      </c>
      <c r="S1295">
        <f>Table1[[#This Row],[LAW]]-Table1[[#This Row],[LEW]]</f>
        <v>-0.52083333333333337</v>
      </c>
    </row>
    <row r="1296" spans="1:19" x14ac:dyDescent="0.25">
      <c r="A1296" s="66">
        <v>38429</v>
      </c>
      <c r="B1296" s="51">
        <f>YEAR(Table1[[#This Row],[Date]])</f>
        <v>2005</v>
      </c>
      <c r="C1296" s="1">
        <v>1</v>
      </c>
      <c r="D1296" t="s">
        <v>49</v>
      </c>
      <c r="E1296" s="1">
        <v>10</v>
      </c>
      <c r="F1296" t="s">
        <v>301</v>
      </c>
      <c r="G1296" t="e">
        <f>VLOOKUP(Table1[[#This Row],[Winner]],Ranking!C:D,2,FALSE)</f>
        <v>#N/A</v>
      </c>
      <c r="H1296" s="1">
        <v>75</v>
      </c>
      <c r="I1296" s="1">
        <v>7</v>
      </c>
      <c r="J1296" t="s">
        <v>165</v>
      </c>
      <c r="K1296" t="str">
        <f>VLOOKUP(Table1[[#This Row],[Loser]],Ranking!C:D,2,FALSE)</f>
        <v>CUSA</v>
      </c>
      <c r="L1296" s="1">
        <v>63</v>
      </c>
      <c r="N1296" s="1">
        <f>Table1[[#This Row],[Winning Score]]-Table1[[#This Row],[Losing Score]]</f>
        <v>12</v>
      </c>
      <c r="O1296" s="1">
        <f>Table1[[#This Row],[Losing Seed]]-Table1[[#This Row],[Winning Seed]]</f>
        <v>-3</v>
      </c>
      <c r="P1296" s="1" t="str">
        <f>IF(Table1[[#This Row],[SeD]]&lt;-2,Table1[[#This Row],[Winning Seed]]&amp; " over " &amp;Table1[[#This Row],[Losing Seed]],"")</f>
        <v>10 over 7</v>
      </c>
      <c r="Q1296">
        <f>VLOOKUP(Table1[[#This Row],[Losing Seed]],'Seed History'!$N$4:$O$19,2)</f>
        <v>0.90277777777777779</v>
      </c>
      <c r="R1296" s="1">
        <f>IF(Table1[[#This Row],[Round]]="PI",0,Table1[[#This Row],[Round]]-1)</f>
        <v>0</v>
      </c>
      <c r="S1296">
        <f>Table1[[#This Row],[LAW]]-Table1[[#This Row],[LEW]]</f>
        <v>-0.90277777777777779</v>
      </c>
    </row>
    <row r="1297" spans="1:19" x14ac:dyDescent="0.25">
      <c r="A1297" s="66">
        <v>38429</v>
      </c>
      <c r="B1297" s="51">
        <f>YEAR(Table1[[#This Row],[Date]])</f>
        <v>2005</v>
      </c>
      <c r="C1297" s="1">
        <v>1</v>
      </c>
      <c r="D1297" t="s">
        <v>49</v>
      </c>
      <c r="E1297" s="1">
        <v>9</v>
      </c>
      <c r="F1297" t="s">
        <v>237</v>
      </c>
      <c r="G1297" t="str">
        <f>VLOOKUP(Table1[[#This Row],[Winner]],Ranking!C:D,2,FALSE)</f>
        <v>B12</v>
      </c>
      <c r="H1297" s="1">
        <v>64</v>
      </c>
      <c r="I1297" s="1">
        <v>8</v>
      </c>
      <c r="J1297" t="s">
        <v>274</v>
      </c>
      <c r="K1297" t="str">
        <f>VLOOKUP(Table1[[#This Row],[Loser]],Ranking!C:D,2,FALSE)</f>
        <v>B10</v>
      </c>
      <c r="L1297" s="1">
        <v>53</v>
      </c>
      <c r="N1297" s="1">
        <f>Table1[[#This Row],[Winning Score]]-Table1[[#This Row],[Losing Score]]</f>
        <v>11</v>
      </c>
      <c r="O1297" s="1">
        <f>Table1[[#This Row],[Losing Seed]]-Table1[[#This Row],[Winning Seed]]</f>
        <v>-1</v>
      </c>
      <c r="P1297" s="1" t="str">
        <f>IF(Table1[[#This Row],[SeD]]&lt;-2,Table1[[#This Row],[Winning Seed]]&amp; " over " &amp;Table1[[#This Row],[Losing Seed]],"")</f>
        <v/>
      </c>
      <c r="Q1297">
        <f>VLOOKUP(Table1[[#This Row],[Losing Seed]],'Seed History'!$N$4:$O$19,2)</f>
        <v>0.70833333333333337</v>
      </c>
      <c r="R1297" s="1">
        <f>IF(Table1[[#This Row],[Round]]="PI",0,Table1[[#This Row],[Round]]-1)</f>
        <v>0</v>
      </c>
      <c r="S1297">
        <f>Table1[[#This Row],[LAW]]-Table1[[#This Row],[LEW]]</f>
        <v>-0.70833333333333337</v>
      </c>
    </row>
    <row r="1298" spans="1:19" x14ac:dyDescent="0.25">
      <c r="A1298" s="66">
        <v>38429</v>
      </c>
      <c r="B1298" s="51">
        <f>YEAR(Table1[[#This Row],[Date]])</f>
        <v>2005</v>
      </c>
      <c r="C1298" s="1">
        <v>1</v>
      </c>
      <c r="D1298" t="s">
        <v>63</v>
      </c>
      <c r="E1298" s="1">
        <v>9</v>
      </c>
      <c r="F1298" t="s">
        <v>275</v>
      </c>
      <c r="G1298" t="str">
        <f>VLOOKUP(Table1[[#This Row],[Winner]],Ranking!C:D,2,FALSE)</f>
        <v>SEC</v>
      </c>
      <c r="H1298" s="1">
        <v>93</v>
      </c>
      <c r="I1298" s="1">
        <v>8</v>
      </c>
      <c r="J1298" t="s">
        <v>369</v>
      </c>
      <c r="K1298" t="str">
        <f>VLOOKUP(Table1[[#This Row],[Loser]],Ranking!C:D,2,FALSE)</f>
        <v>P12</v>
      </c>
      <c r="L1298" s="1">
        <v>70</v>
      </c>
      <c r="N1298" s="1">
        <f>Table1[[#This Row],[Winning Score]]-Table1[[#This Row],[Losing Score]]</f>
        <v>23</v>
      </c>
      <c r="O1298" s="1">
        <f>Table1[[#This Row],[Losing Seed]]-Table1[[#This Row],[Winning Seed]]</f>
        <v>-1</v>
      </c>
      <c r="P1298" s="1" t="str">
        <f>IF(Table1[[#This Row],[SeD]]&lt;-2,Table1[[#This Row],[Winning Seed]]&amp; " over " &amp;Table1[[#This Row],[Losing Seed]],"")</f>
        <v/>
      </c>
      <c r="Q1298">
        <f>VLOOKUP(Table1[[#This Row],[Losing Seed]],'Seed History'!$N$4:$O$19,2)</f>
        <v>0.70833333333333337</v>
      </c>
      <c r="R1298" s="1">
        <f>IF(Table1[[#This Row],[Round]]="PI",0,Table1[[#This Row],[Round]]-1)</f>
        <v>0</v>
      </c>
      <c r="S1298">
        <f>Table1[[#This Row],[LAW]]-Table1[[#This Row],[LEW]]</f>
        <v>-0.70833333333333337</v>
      </c>
    </row>
    <row r="1299" spans="1:19" x14ac:dyDescent="0.25">
      <c r="A1299" s="66">
        <v>38430</v>
      </c>
      <c r="B1299" s="51">
        <f>YEAR(Table1[[#This Row],[Date]])</f>
        <v>2005</v>
      </c>
      <c r="C1299" s="1">
        <v>2</v>
      </c>
      <c r="D1299" t="s">
        <v>439</v>
      </c>
      <c r="E1299" s="1">
        <v>12</v>
      </c>
      <c r="F1299" t="s">
        <v>273</v>
      </c>
      <c r="G1299" t="str">
        <f>VLOOKUP(Table1[[#This Row],[Winner]],Ranking!C:D,2,FALSE)</f>
        <v>Horz</v>
      </c>
      <c r="H1299" s="1">
        <v>83</v>
      </c>
      <c r="I1299" s="1">
        <v>4</v>
      </c>
      <c r="J1299" t="s">
        <v>138</v>
      </c>
      <c r="K1299" t="str">
        <f>VLOOKUP(Table1[[#This Row],[Loser]],Ranking!C:D,2,FALSE)</f>
        <v>ACC</v>
      </c>
      <c r="L1299" s="1">
        <v>75</v>
      </c>
      <c r="N1299" s="1">
        <f>Table1[[#This Row],[Winning Score]]-Table1[[#This Row],[Losing Score]]</f>
        <v>8</v>
      </c>
      <c r="O1299" s="1">
        <f>Table1[[#This Row],[Losing Seed]]-Table1[[#This Row],[Winning Seed]]</f>
        <v>-8</v>
      </c>
      <c r="P1299" s="1" t="str">
        <f>IF(Table1[[#This Row],[SeD]]&lt;-2,Table1[[#This Row],[Winning Seed]]&amp; " over " &amp;Table1[[#This Row],[Losing Seed]],"")</f>
        <v>12 over 4</v>
      </c>
      <c r="Q1299">
        <f>VLOOKUP(Table1[[#This Row],[Losing Seed]],'Seed History'!$N$4:$O$19,2)</f>
        <v>1.5208333333333333</v>
      </c>
      <c r="R1299" s="1">
        <f>IF(Table1[[#This Row],[Round]]="PI",0,Table1[[#This Row],[Round]]-1)</f>
        <v>1</v>
      </c>
      <c r="S1299">
        <f>Table1[[#This Row],[LAW]]-Table1[[#This Row],[LEW]]</f>
        <v>-0.52083333333333326</v>
      </c>
    </row>
    <row r="1300" spans="1:19" x14ac:dyDescent="0.25">
      <c r="A1300" s="66">
        <v>38430</v>
      </c>
      <c r="B1300" s="51">
        <f>YEAR(Table1[[#This Row],[Date]])</f>
        <v>2005</v>
      </c>
      <c r="C1300" s="1">
        <v>2</v>
      </c>
      <c r="D1300" t="s">
        <v>38</v>
      </c>
      <c r="E1300" s="1">
        <v>7</v>
      </c>
      <c r="F1300" t="s">
        <v>412</v>
      </c>
      <c r="G1300" t="str">
        <f>VLOOKUP(Table1[[#This Row],[Winner]],Ranking!C:D,2,FALSE)</f>
        <v>B12</v>
      </c>
      <c r="H1300" s="1">
        <v>111</v>
      </c>
      <c r="I1300" s="1">
        <v>2</v>
      </c>
      <c r="J1300" t="s">
        <v>408</v>
      </c>
      <c r="K1300" t="str">
        <f>VLOOKUP(Table1[[#This Row],[Loser]],Ranking!C:D,2,FALSE)</f>
        <v>ACC</v>
      </c>
      <c r="L1300" s="1">
        <v>105</v>
      </c>
      <c r="M1300" s="1" t="s">
        <v>463</v>
      </c>
      <c r="N1300" s="1">
        <f>Table1[[#This Row],[Winning Score]]-Table1[[#This Row],[Losing Score]]</f>
        <v>6</v>
      </c>
      <c r="O1300" s="1">
        <f>Table1[[#This Row],[Losing Seed]]-Table1[[#This Row],[Winning Seed]]</f>
        <v>-5</v>
      </c>
      <c r="P1300" s="1" t="str">
        <f>IF(Table1[[#This Row],[SeD]]&lt;-2,Table1[[#This Row],[Winning Seed]]&amp; " over " &amp;Table1[[#This Row],[Losing Seed]],"")</f>
        <v>7 over 2</v>
      </c>
      <c r="Q1300">
        <f>VLOOKUP(Table1[[#This Row],[Losing Seed]],'Seed History'!$N$4:$O$19,2)</f>
        <v>2.3472222222222223</v>
      </c>
      <c r="R1300" s="1">
        <f>IF(Table1[[#This Row],[Round]]="PI",0,Table1[[#This Row],[Round]]-1)</f>
        <v>1</v>
      </c>
      <c r="S1300">
        <f>Table1[[#This Row],[LAW]]-Table1[[#This Row],[LEW]]</f>
        <v>-1.3472222222222223</v>
      </c>
    </row>
    <row r="1301" spans="1:19" x14ac:dyDescent="0.25">
      <c r="A1301" s="66">
        <v>38430</v>
      </c>
      <c r="B1301" s="51">
        <f>YEAR(Table1[[#This Row],[Date]])</f>
        <v>2005</v>
      </c>
      <c r="C1301" s="1">
        <v>2</v>
      </c>
      <c r="D1301" t="s">
        <v>439</v>
      </c>
      <c r="E1301" s="1">
        <v>1</v>
      </c>
      <c r="F1301" t="s">
        <v>230</v>
      </c>
      <c r="G1301" t="str">
        <f>VLOOKUP(Table1[[#This Row],[Winner]],Ranking!C:D,2,FALSE)</f>
        <v>B10</v>
      </c>
      <c r="H1301" s="1">
        <v>71</v>
      </c>
      <c r="I1301" s="1">
        <v>9</v>
      </c>
      <c r="J1301" t="s">
        <v>289</v>
      </c>
      <c r="K1301" t="str">
        <f>VLOOKUP(Table1[[#This Row],[Loser]],Ranking!C:D,2,FALSE)</f>
        <v>MWC</v>
      </c>
      <c r="L1301" s="1">
        <v>59</v>
      </c>
      <c r="N1301" s="1">
        <f>Table1[[#This Row],[Winning Score]]-Table1[[#This Row],[Losing Score]]</f>
        <v>12</v>
      </c>
      <c r="O1301" s="1">
        <f>Table1[[#This Row],[Losing Seed]]-Table1[[#This Row],[Winning Seed]]</f>
        <v>8</v>
      </c>
      <c r="P1301" s="1" t="str">
        <f>IF(Table1[[#This Row],[SeD]]&lt;-2,Table1[[#This Row],[Winning Seed]]&amp; " over " &amp;Table1[[#This Row],[Losing Seed]],"")</f>
        <v/>
      </c>
      <c r="Q1301">
        <f>VLOOKUP(Table1[[#This Row],[Losing Seed]],'Seed History'!$N$4:$O$19,2)</f>
        <v>0.59027777777777779</v>
      </c>
      <c r="R1301" s="1">
        <f>IF(Table1[[#This Row],[Round]]="PI",0,Table1[[#This Row],[Round]]-1)</f>
        <v>1</v>
      </c>
      <c r="S1301">
        <f>Table1[[#This Row],[LAW]]-Table1[[#This Row],[LEW]]</f>
        <v>0.40972222222222221</v>
      </c>
    </row>
    <row r="1302" spans="1:19" x14ac:dyDescent="0.25">
      <c r="A1302" s="66">
        <v>38430</v>
      </c>
      <c r="B1302" s="51">
        <f>YEAR(Table1[[#This Row],[Date]])</f>
        <v>2005</v>
      </c>
      <c r="C1302" s="1">
        <v>2</v>
      </c>
      <c r="D1302" t="s">
        <v>439</v>
      </c>
      <c r="E1302" s="1">
        <v>3</v>
      </c>
      <c r="F1302" t="s">
        <v>48</v>
      </c>
      <c r="G1302" t="str">
        <f>VLOOKUP(Table1[[#This Row],[Winner]],Ranking!C:D,2,FALSE)</f>
        <v>P12</v>
      </c>
      <c r="H1302" s="1">
        <v>85</v>
      </c>
      <c r="I1302" s="1">
        <v>11</v>
      </c>
      <c r="J1302" t="s">
        <v>68</v>
      </c>
      <c r="K1302" t="str">
        <f>VLOOKUP(Table1[[#This Row],[Loser]],Ranking!C:D,2,FALSE)</f>
        <v>CUSA</v>
      </c>
      <c r="L1302" s="1">
        <v>63</v>
      </c>
      <c r="N1302" s="1">
        <f>Table1[[#This Row],[Winning Score]]-Table1[[#This Row],[Losing Score]]</f>
        <v>22</v>
      </c>
      <c r="O1302" s="1">
        <f>Table1[[#This Row],[Losing Seed]]-Table1[[#This Row],[Winning Seed]]</f>
        <v>8</v>
      </c>
      <c r="P1302" s="1" t="str">
        <f>IF(Table1[[#This Row],[SeD]]&lt;-2,Table1[[#This Row],[Winning Seed]]&amp; " over " &amp;Table1[[#This Row],[Losing Seed]],"")</f>
        <v/>
      </c>
      <c r="Q1302">
        <f>VLOOKUP(Table1[[#This Row],[Losing Seed]],'Seed History'!$N$4:$O$19,2)</f>
        <v>0.63194444444444442</v>
      </c>
      <c r="R1302" s="1">
        <f>IF(Table1[[#This Row],[Round]]="PI",0,Table1[[#This Row],[Round]]-1)</f>
        <v>1</v>
      </c>
      <c r="S1302">
        <f>Table1[[#This Row],[LAW]]-Table1[[#This Row],[LEW]]</f>
        <v>0.36805555555555558</v>
      </c>
    </row>
    <row r="1303" spans="1:19" x14ac:dyDescent="0.25">
      <c r="A1303" s="66">
        <v>38430</v>
      </c>
      <c r="B1303" s="51">
        <f>YEAR(Table1[[#This Row],[Date]])</f>
        <v>2005</v>
      </c>
      <c r="C1303" s="1">
        <v>2</v>
      </c>
      <c r="D1303" t="s">
        <v>63</v>
      </c>
      <c r="E1303" s="1">
        <v>2</v>
      </c>
      <c r="F1303" t="s">
        <v>26</v>
      </c>
      <c r="G1303" t="str">
        <f>VLOOKUP(Table1[[#This Row],[Winner]],Ranking!C:D,2,FALSE)</f>
        <v>SEC</v>
      </c>
      <c r="H1303" s="1">
        <v>69</v>
      </c>
      <c r="I1303" s="1">
        <v>7</v>
      </c>
      <c r="J1303" t="s">
        <v>28</v>
      </c>
      <c r="K1303" t="str">
        <f>VLOOKUP(Table1[[#This Row],[Loser]],Ranking!C:D,2,FALSE)</f>
        <v>Amer</v>
      </c>
      <c r="L1303" s="1">
        <v>60</v>
      </c>
      <c r="N1303" s="1">
        <f>Table1[[#This Row],[Winning Score]]-Table1[[#This Row],[Losing Score]]</f>
        <v>9</v>
      </c>
      <c r="O1303" s="1">
        <f>Table1[[#This Row],[Losing Seed]]-Table1[[#This Row],[Winning Seed]]</f>
        <v>5</v>
      </c>
      <c r="P1303" s="1" t="str">
        <f>IF(Table1[[#This Row],[SeD]]&lt;-2,Table1[[#This Row],[Winning Seed]]&amp; " over " &amp;Table1[[#This Row],[Losing Seed]],"")</f>
        <v/>
      </c>
      <c r="Q1303">
        <f>VLOOKUP(Table1[[#This Row],[Losing Seed]],'Seed History'!$N$4:$O$19,2)</f>
        <v>0.90277777777777779</v>
      </c>
      <c r="R1303" s="1">
        <f>IF(Table1[[#This Row],[Round]]="PI",0,Table1[[#This Row],[Round]]-1)</f>
        <v>1</v>
      </c>
      <c r="S1303">
        <f>Table1[[#This Row],[LAW]]-Table1[[#This Row],[LEW]]</f>
        <v>9.722222222222221E-2</v>
      </c>
    </row>
    <row r="1304" spans="1:19" x14ac:dyDescent="0.25">
      <c r="A1304" s="66">
        <v>38430</v>
      </c>
      <c r="B1304" s="51">
        <f>YEAR(Table1[[#This Row],[Date]])</f>
        <v>2005</v>
      </c>
      <c r="C1304" s="1">
        <v>2</v>
      </c>
      <c r="D1304" t="s">
        <v>38</v>
      </c>
      <c r="E1304" s="1">
        <v>1</v>
      </c>
      <c r="F1304" t="s">
        <v>409</v>
      </c>
      <c r="G1304" t="str">
        <f>VLOOKUP(Table1[[#This Row],[Winner]],Ranking!C:D,2,FALSE)</f>
        <v>P12</v>
      </c>
      <c r="H1304" s="1">
        <v>97</v>
      </c>
      <c r="I1304" s="1">
        <v>8</v>
      </c>
      <c r="J1304" t="s">
        <v>320</v>
      </c>
      <c r="K1304" t="str">
        <f>VLOOKUP(Table1[[#This Row],[Loser]],Ranking!C:D,2,FALSE)</f>
        <v>WCC</v>
      </c>
      <c r="L1304" s="1">
        <v>79</v>
      </c>
      <c r="N1304" s="1">
        <f>Table1[[#This Row],[Winning Score]]-Table1[[#This Row],[Losing Score]]</f>
        <v>18</v>
      </c>
      <c r="O1304" s="1">
        <f>Table1[[#This Row],[Losing Seed]]-Table1[[#This Row],[Winning Seed]]</f>
        <v>7</v>
      </c>
      <c r="P1304" s="1" t="str">
        <f>IF(Table1[[#This Row],[SeD]]&lt;-2,Table1[[#This Row],[Winning Seed]]&amp; " over " &amp;Table1[[#This Row],[Losing Seed]],"")</f>
        <v/>
      </c>
      <c r="Q1304">
        <f>VLOOKUP(Table1[[#This Row],[Losing Seed]],'Seed History'!$N$4:$O$19,2)</f>
        <v>0.70833333333333337</v>
      </c>
      <c r="R1304" s="1">
        <f>IF(Table1[[#This Row],[Round]]="PI",0,Table1[[#This Row],[Round]]-1)</f>
        <v>1</v>
      </c>
      <c r="S1304">
        <f>Table1[[#This Row],[LAW]]-Table1[[#This Row],[LEW]]</f>
        <v>0.29166666666666663</v>
      </c>
    </row>
    <row r="1305" spans="1:19" x14ac:dyDescent="0.25">
      <c r="A1305" s="66">
        <v>38430</v>
      </c>
      <c r="B1305" s="51">
        <f>YEAR(Table1[[#This Row],[Date]])</f>
        <v>2005</v>
      </c>
      <c r="C1305" s="1">
        <v>2</v>
      </c>
      <c r="D1305" t="s">
        <v>63</v>
      </c>
      <c r="E1305" s="1">
        <v>6</v>
      </c>
      <c r="F1305" t="s">
        <v>65</v>
      </c>
      <c r="G1305" t="str">
        <f>VLOOKUP(Table1[[#This Row],[Winner]],Ranking!C:D,2,FALSE)</f>
        <v>P12</v>
      </c>
      <c r="H1305" s="1">
        <v>67</v>
      </c>
      <c r="I1305" s="1">
        <v>3</v>
      </c>
      <c r="J1305" t="s">
        <v>58</v>
      </c>
      <c r="K1305" t="str">
        <f>VLOOKUP(Table1[[#This Row],[Loser]],Ranking!C:D,2,FALSE)</f>
        <v>B12</v>
      </c>
      <c r="L1305" s="1">
        <v>58</v>
      </c>
      <c r="N1305" s="1">
        <f>Table1[[#This Row],[Winning Score]]-Table1[[#This Row],[Losing Score]]</f>
        <v>9</v>
      </c>
      <c r="O1305" s="1">
        <f>Table1[[#This Row],[Losing Seed]]-Table1[[#This Row],[Winning Seed]]</f>
        <v>-3</v>
      </c>
      <c r="P1305" s="1" t="str">
        <f>IF(Table1[[#This Row],[SeD]]&lt;-2,Table1[[#This Row],[Winning Seed]]&amp; " over " &amp;Table1[[#This Row],[Losing Seed]],"")</f>
        <v>6 over 3</v>
      </c>
      <c r="Q1305">
        <f>VLOOKUP(Table1[[#This Row],[Losing Seed]],'Seed History'!$N$4:$O$19,2)</f>
        <v>1.8472222222222223</v>
      </c>
      <c r="R1305" s="1">
        <f>IF(Table1[[#This Row],[Round]]="PI",0,Table1[[#This Row],[Round]]-1)</f>
        <v>1</v>
      </c>
      <c r="S1305">
        <f>Table1[[#This Row],[LAW]]-Table1[[#This Row],[LEW]]</f>
        <v>-0.84722222222222232</v>
      </c>
    </row>
    <row r="1306" spans="1:19" x14ac:dyDescent="0.25">
      <c r="A1306" s="66">
        <v>38430</v>
      </c>
      <c r="B1306" s="51">
        <f>YEAR(Table1[[#This Row],[Date]])</f>
        <v>2005</v>
      </c>
      <c r="C1306" s="1">
        <v>2</v>
      </c>
      <c r="D1306" t="s">
        <v>38</v>
      </c>
      <c r="E1306" s="1">
        <v>6</v>
      </c>
      <c r="F1306" t="s">
        <v>92</v>
      </c>
      <c r="G1306" t="str">
        <f>VLOOKUP(Table1[[#This Row],[Winner]],Ranking!C:D,2,FALSE)</f>
        <v>B12</v>
      </c>
      <c r="H1306" s="1">
        <v>71</v>
      </c>
      <c r="I1306" s="1">
        <v>3</v>
      </c>
      <c r="J1306" t="s">
        <v>71</v>
      </c>
      <c r="K1306" t="str">
        <f>VLOOKUP(Table1[[#This Row],[Loser]],Ranking!C:D,2,FALSE)</f>
        <v>WCC</v>
      </c>
      <c r="L1306" s="1">
        <v>69</v>
      </c>
      <c r="N1306" s="1">
        <f>Table1[[#This Row],[Winning Score]]-Table1[[#This Row],[Losing Score]]</f>
        <v>2</v>
      </c>
      <c r="O1306" s="1">
        <f>Table1[[#This Row],[Losing Seed]]-Table1[[#This Row],[Winning Seed]]</f>
        <v>-3</v>
      </c>
      <c r="P1306" s="1" t="str">
        <f>IF(Table1[[#This Row],[SeD]]&lt;-2,Table1[[#This Row],[Winning Seed]]&amp; " over " &amp;Table1[[#This Row],[Losing Seed]],"")</f>
        <v>6 over 3</v>
      </c>
      <c r="Q1306">
        <f>VLOOKUP(Table1[[#This Row],[Losing Seed]],'Seed History'!$N$4:$O$19,2)</f>
        <v>1.8472222222222223</v>
      </c>
      <c r="R1306" s="1">
        <f>IF(Table1[[#This Row],[Round]]="PI",0,Table1[[#This Row],[Round]]-1)</f>
        <v>1</v>
      </c>
      <c r="S1306">
        <f>Table1[[#This Row],[LAW]]-Table1[[#This Row],[LEW]]</f>
        <v>-0.84722222222222232</v>
      </c>
    </row>
    <row r="1307" spans="1:19" x14ac:dyDescent="0.25">
      <c r="A1307" s="66">
        <v>38431</v>
      </c>
      <c r="B1307" s="51">
        <f>YEAR(Table1[[#This Row],[Date]])</f>
        <v>2005</v>
      </c>
      <c r="C1307" s="1">
        <v>2</v>
      </c>
      <c r="D1307" t="s">
        <v>49</v>
      </c>
      <c r="E1307" s="1">
        <v>10</v>
      </c>
      <c r="F1307" t="s">
        <v>301</v>
      </c>
      <c r="G1307" t="e">
        <f>VLOOKUP(Table1[[#This Row],[Winner]],Ranking!C:D,2,FALSE)</f>
        <v>#N/A</v>
      </c>
      <c r="H1307" s="1">
        <v>65</v>
      </c>
      <c r="I1307" s="1">
        <v>2</v>
      </c>
      <c r="J1307" t="s">
        <v>80</v>
      </c>
      <c r="K1307" t="str">
        <f>VLOOKUP(Table1[[#This Row],[Loser]],Ranking!C:D,2,FALSE)</f>
        <v>BE</v>
      </c>
      <c r="L1307" s="1">
        <v>62</v>
      </c>
      <c r="N1307" s="1">
        <f>Table1[[#This Row],[Winning Score]]-Table1[[#This Row],[Losing Score]]</f>
        <v>3</v>
      </c>
      <c r="O1307" s="1">
        <f>Table1[[#This Row],[Losing Seed]]-Table1[[#This Row],[Winning Seed]]</f>
        <v>-8</v>
      </c>
      <c r="P1307" s="1" t="str">
        <f>IF(Table1[[#This Row],[SeD]]&lt;-2,Table1[[#This Row],[Winning Seed]]&amp; " over " &amp;Table1[[#This Row],[Losing Seed]],"")</f>
        <v>10 over 2</v>
      </c>
      <c r="Q1307">
        <f>VLOOKUP(Table1[[#This Row],[Losing Seed]],'Seed History'!$N$4:$O$19,2)</f>
        <v>2.3472222222222223</v>
      </c>
      <c r="R1307" s="1">
        <f>IF(Table1[[#This Row],[Round]]="PI",0,Table1[[#This Row],[Round]]-1)</f>
        <v>1</v>
      </c>
      <c r="S1307">
        <f>Table1[[#This Row],[LAW]]-Table1[[#This Row],[LEW]]</f>
        <v>-1.3472222222222223</v>
      </c>
    </row>
    <row r="1308" spans="1:19" x14ac:dyDescent="0.25">
      <c r="A1308" s="66">
        <v>38431</v>
      </c>
      <c r="B1308" s="51">
        <f>YEAR(Table1[[#This Row],[Date]])</f>
        <v>2005</v>
      </c>
      <c r="C1308" s="1">
        <v>2</v>
      </c>
      <c r="D1308" t="s">
        <v>49</v>
      </c>
      <c r="E1308" s="1">
        <v>1</v>
      </c>
      <c r="F1308" t="s">
        <v>298</v>
      </c>
      <c r="G1308" t="str">
        <f>VLOOKUP(Table1[[#This Row],[Winner]],Ranking!C:D,2,FALSE)</f>
        <v>ACC</v>
      </c>
      <c r="H1308" s="1">
        <v>92</v>
      </c>
      <c r="I1308" s="1">
        <v>9</v>
      </c>
      <c r="J1308" t="s">
        <v>237</v>
      </c>
      <c r="K1308" t="str">
        <f>VLOOKUP(Table1[[#This Row],[Loser]],Ranking!C:D,2,FALSE)</f>
        <v>B12</v>
      </c>
      <c r="L1308" s="1">
        <v>65</v>
      </c>
      <c r="N1308" s="1">
        <f>Table1[[#This Row],[Winning Score]]-Table1[[#This Row],[Losing Score]]</f>
        <v>27</v>
      </c>
      <c r="O1308" s="1">
        <f>Table1[[#This Row],[Losing Seed]]-Table1[[#This Row],[Winning Seed]]</f>
        <v>8</v>
      </c>
      <c r="P1308" s="1" t="str">
        <f>IF(Table1[[#This Row],[SeD]]&lt;-2,Table1[[#This Row],[Winning Seed]]&amp; " over " &amp;Table1[[#This Row],[Losing Seed]],"")</f>
        <v/>
      </c>
      <c r="Q1308">
        <f>VLOOKUP(Table1[[#This Row],[Losing Seed]],'Seed History'!$N$4:$O$19,2)</f>
        <v>0.59027777777777779</v>
      </c>
      <c r="R1308" s="1">
        <f>IF(Table1[[#This Row],[Round]]="PI",0,Table1[[#This Row],[Round]]-1)</f>
        <v>1</v>
      </c>
      <c r="S1308">
        <f>Table1[[#This Row],[LAW]]-Table1[[#This Row],[LEW]]</f>
        <v>0.40972222222222221</v>
      </c>
    </row>
    <row r="1309" spans="1:19" x14ac:dyDescent="0.25">
      <c r="A1309" s="66">
        <v>38431</v>
      </c>
      <c r="B1309" s="51">
        <f>YEAR(Table1[[#This Row],[Date]])</f>
        <v>2005</v>
      </c>
      <c r="C1309" s="1">
        <v>2</v>
      </c>
      <c r="D1309" t="s">
        <v>49</v>
      </c>
      <c r="E1309" s="1">
        <v>6</v>
      </c>
      <c r="F1309" t="s">
        <v>39</v>
      </c>
      <c r="G1309" t="str">
        <f>VLOOKUP(Table1[[#This Row],[Winner]],Ranking!C:D,2,FALSE)</f>
        <v>B10</v>
      </c>
      <c r="H1309" s="1">
        <v>71</v>
      </c>
      <c r="I1309" s="1">
        <v>14</v>
      </c>
      <c r="J1309" t="s">
        <v>148</v>
      </c>
      <c r="K1309" t="str">
        <f>VLOOKUP(Table1[[#This Row],[Loser]],Ranking!C:D,2,FALSE)</f>
        <v>Pat</v>
      </c>
      <c r="L1309" s="1">
        <v>62</v>
      </c>
      <c r="N1309" s="1">
        <f>Table1[[#This Row],[Winning Score]]-Table1[[#This Row],[Losing Score]]</f>
        <v>9</v>
      </c>
      <c r="O1309" s="1">
        <f>Table1[[#This Row],[Losing Seed]]-Table1[[#This Row],[Winning Seed]]</f>
        <v>8</v>
      </c>
      <c r="P1309" s="1" t="str">
        <f>IF(Table1[[#This Row],[SeD]]&lt;-2,Table1[[#This Row],[Winning Seed]]&amp; " over " &amp;Table1[[#This Row],[Losing Seed]],"")</f>
        <v/>
      </c>
      <c r="Q1309">
        <f>VLOOKUP(Table1[[#This Row],[Losing Seed]],'Seed History'!$N$4:$O$19,2)</f>
        <v>0.16666666666666666</v>
      </c>
      <c r="R1309" s="1">
        <f>IF(Table1[[#This Row],[Round]]="PI",0,Table1[[#This Row],[Round]]-1)</f>
        <v>1</v>
      </c>
      <c r="S1309">
        <f>Table1[[#This Row],[LAW]]-Table1[[#This Row],[LEW]]</f>
        <v>0.83333333333333337</v>
      </c>
    </row>
    <row r="1310" spans="1:19" x14ac:dyDescent="0.25">
      <c r="A1310" s="66">
        <v>38431</v>
      </c>
      <c r="B1310" s="51">
        <f>YEAR(Table1[[#This Row],[Date]])</f>
        <v>2005</v>
      </c>
      <c r="C1310" s="1">
        <v>2</v>
      </c>
      <c r="D1310" t="s">
        <v>439</v>
      </c>
      <c r="E1310" s="1">
        <v>2</v>
      </c>
      <c r="F1310" t="s">
        <v>316</v>
      </c>
      <c r="G1310" t="str">
        <f>VLOOKUP(Table1[[#This Row],[Winner]],Ranking!C:D,2,FALSE)</f>
        <v>B12</v>
      </c>
      <c r="H1310" s="1">
        <v>85</v>
      </c>
      <c r="I1310" s="1">
        <v>7</v>
      </c>
      <c r="J1310" t="s">
        <v>362</v>
      </c>
      <c r="K1310" t="str">
        <f>VLOOKUP(Table1[[#This Row],[Loser]],Ranking!C:D,2,FALSE)</f>
        <v>MVC</v>
      </c>
      <c r="L1310" s="1">
        <v>77</v>
      </c>
      <c r="N1310" s="1">
        <f>Table1[[#This Row],[Winning Score]]-Table1[[#This Row],[Losing Score]]</f>
        <v>8</v>
      </c>
      <c r="O1310" s="1">
        <f>Table1[[#This Row],[Losing Seed]]-Table1[[#This Row],[Winning Seed]]</f>
        <v>5</v>
      </c>
      <c r="P1310" s="1" t="str">
        <f>IF(Table1[[#This Row],[SeD]]&lt;-2,Table1[[#This Row],[Winning Seed]]&amp; " over " &amp;Table1[[#This Row],[Losing Seed]],"")</f>
        <v/>
      </c>
      <c r="Q1310">
        <f>VLOOKUP(Table1[[#This Row],[Losing Seed]],'Seed History'!$N$4:$O$19,2)</f>
        <v>0.90277777777777779</v>
      </c>
      <c r="R1310" s="1">
        <f>IF(Table1[[#This Row],[Round]]="PI",0,Table1[[#This Row],[Round]]-1)</f>
        <v>1</v>
      </c>
      <c r="S1310">
        <f>Table1[[#This Row],[LAW]]-Table1[[#This Row],[LEW]]</f>
        <v>9.722222222222221E-2</v>
      </c>
    </row>
    <row r="1311" spans="1:19" x14ac:dyDescent="0.25">
      <c r="A1311" s="66">
        <v>38431</v>
      </c>
      <c r="B1311" s="51">
        <f>YEAR(Table1[[#This Row],[Date]])</f>
        <v>2005</v>
      </c>
      <c r="C1311" s="1">
        <v>2</v>
      </c>
      <c r="D1311" t="s">
        <v>63</v>
      </c>
      <c r="E1311" s="1">
        <v>1</v>
      </c>
      <c r="F1311" t="s">
        <v>64</v>
      </c>
      <c r="G1311" t="str">
        <f>VLOOKUP(Table1[[#This Row],[Winner]],Ranking!C:D,2,FALSE)</f>
        <v>ACC</v>
      </c>
      <c r="H1311" s="1">
        <v>63</v>
      </c>
      <c r="I1311" s="1">
        <v>9</v>
      </c>
      <c r="J1311" t="s">
        <v>275</v>
      </c>
      <c r="K1311" t="str">
        <f>VLOOKUP(Table1[[#This Row],[Loser]],Ranking!C:D,2,FALSE)</f>
        <v>SEC</v>
      </c>
      <c r="L1311" s="1">
        <v>55</v>
      </c>
      <c r="N1311" s="1">
        <f>Table1[[#This Row],[Winning Score]]-Table1[[#This Row],[Losing Score]]</f>
        <v>8</v>
      </c>
      <c r="O1311" s="1">
        <f>Table1[[#This Row],[Losing Seed]]-Table1[[#This Row],[Winning Seed]]</f>
        <v>8</v>
      </c>
      <c r="P1311" s="1" t="str">
        <f>IF(Table1[[#This Row],[SeD]]&lt;-2,Table1[[#This Row],[Winning Seed]]&amp; " over " &amp;Table1[[#This Row],[Losing Seed]],"")</f>
        <v/>
      </c>
      <c r="Q1311">
        <f>VLOOKUP(Table1[[#This Row],[Losing Seed]],'Seed History'!$N$4:$O$19,2)</f>
        <v>0.59027777777777779</v>
      </c>
      <c r="R1311" s="1">
        <f>IF(Table1[[#This Row],[Round]]="PI",0,Table1[[#This Row],[Round]]-1)</f>
        <v>1</v>
      </c>
      <c r="S1311">
        <f>Table1[[#This Row],[LAW]]-Table1[[#This Row],[LEW]]</f>
        <v>0.40972222222222221</v>
      </c>
    </row>
    <row r="1312" spans="1:19" x14ac:dyDescent="0.25">
      <c r="A1312" s="66">
        <v>38431</v>
      </c>
      <c r="B1312" s="51">
        <f>YEAR(Table1[[#This Row],[Date]])</f>
        <v>2005</v>
      </c>
      <c r="C1312" s="1">
        <v>2</v>
      </c>
      <c r="D1312" t="s">
        <v>63</v>
      </c>
      <c r="E1312" s="1">
        <v>5</v>
      </c>
      <c r="F1312" t="s">
        <v>271</v>
      </c>
      <c r="G1312" t="str">
        <f>VLOOKUP(Table1[[#This Row],[Winner]],Ranking!C:D,2,FALSE)</f>
        <v>B10</v>
      </c>
      <c r="H1312" s="1">
        <v>72</v>
      </c>
      <c r="I1312" s="1">
        <v>13</v>
      </c>
      <c r="J1312" t="s">
        <v>404</v>
      </c>
      <c r="K1312" t="str">
        <f>VLOOKUP(Table1[[#This Row],[Loser]],Ranking!C:D,2,FALSE)</f>
        <v>AE</v>
      </c>
      <c r="L1312" s="1">
        <v>61</v>
      </c>
      <c r="N1312" s="1">
        <f>Table1[[#This Row],[Winning Score]]-Table1[[#This Row],[Losing Score]]</f>
        <v>11</v>
      </c>
      <c r="O1312" s="1">
        <f>Table1[[#This Row],[Losing Seed]]-Table1[[#This Row],[Winning Seed]]</f>
        <v>8</v>
      </c>
      <c r="P1312" s="1" t="str">
        <f>IF(Table1[[#This Row],[SeD]]&lt;-2,Table1[[#This Row],[Winning Seed]]&amp; " over " &amp;Table1[[#This Row],[Losing Seed]],"")</f>
        <v/>
      </c>
      <c r="Q1312">
        <f>VLOOKUP(Table1[[#This Row],[Losing Seed]],'Seed History'!$N$4:$O$19,2)</f>
        <v>0.25694444444444442</v>
      </c>
      <c r="R1312" s="1">
        <f>IF(Table1[[#This Row],[Round]]="PI",0,Table1[[#This Row],[Round]]-1)</f>
        <v>1</v>
      </c>
      <c r="S1312">
        <f>Table1[[#This Row],[LAW]]-Table1[[#This Row],[LEW]]</f>
        <v>0.74305555555555558</v>
      </c>
    </row>
    <row r="1313" spans="1:19" x14ac:dyDescent="0.25">
      <c r="A1313" s="66">
        <v>38431</v>
      </c>
      <c r="B1313" s="51">
        <f>YEAR(Table1[[#This Row],[Date]])</f>
        <v>2005</v>
      </c>
      <c r="C1313" s="1">
        <v>2</v>
      </c>
      <c r="D1313" t="s">
        <v>38</v>
      </c>
      <c r="E1313" s="1">
        <v>4</v>
      </c>
      <c r="F1313" t="s">
        <v>54</v>
      </c>
      <c r="G1313" t="str">
        <f>VLOOKUP(Table1[[#This Row],[Winner]],Ranking!C:D,2,FALSE)</f>
        <v>ACC</v>
      </c>
      <c r="H1313" s="1">
        <v>76</v>
      </c>
      <c r="I1313" s="1">
        <v>5</v>
      </c>
      <c r="J1313" t="s">
        <v>216</v>
      </c>
      <c r="K1313" t="str">
        <f>VLOOKUP(Table1[[#This Row],[Loser]],Ranking!C:D,2,FALSE)</f>
        <v>ACC</v>
      </c>
      <c r="L1313" s="1">
        <v>54</v>
      </c>
      <c r="N1313" s="1">
        <f>Table1[[#This Row],[Winning Score]]-Table1[[#This Row],[Losing Score]]</f>
        <v>22</v>
      </c>
      <c r="O1313" s="1">
        <f>Table1[[#This Row],[Losing Seed]]-Table1[[#This Row],[Winning Seed]]</f>
        <v>1</v>
      </c>
      <c r="P1313" s="1" t="str">
        <f>IF(Table1[[#This Row],[SeD]]&lt;-2,Table1[[#This Row],[Winning Seed]]&amp; " over " &amp;Table1[[#This Row],[Losing Seed]],"")</f>
        <v/>
      </c>
      <c r="Q1313">
        <f>VLOOKUP(Table1[[#This Row],[Losing Seed]],'Seed History'!$N$4:$O$19,2)</f>
        <v>1.1180555555555556</v>
      </c>
      <c r="R1313" s="1">
        <f>IF(Table1[[#This Row],[Round]]="PI",0,Table1[[#This Row],[Round]]-1)</f>
        <v>1</v>
      </c>
      <c r="S1313">
        <f>Table1[[#This Row],[LAW]]-Table1[[#This Row],[LEW]]</f>
        <v>-0.11805555555555558</v>
      </c>
    </row>
    <row r="1314" spans="1:19" x14ac:dyDescent="0.25">
      <c r="A1314" s="66">
        <v>38431</v>
      </c>
      <c r="B1314" s="51">
        <f>YEAR(Table1[[#This Row],[Date]])</f>
        <v>2005</v>
      </c>
      <c r="C1314" s="1">
        <v>2</v>
      </c>
      <c r="D1314" t="s">
        <v>49</v>
      </c>
      <c r="E1314" s="1">
        <v>5</v>
      </c>
      <c r="F1314" t="s">
        <v>50</v>
      </c>
      <c r="G1314" t="str">
        <f>VLOOKUP(Table1[[#This Row],[Winner]],Ranking!C:D,2,FALSE)</f>
        <v>BE</v>
      </c>
      <c r="H1314" s="1">
        <v>76</v>
      </c>
      <c r="I1314" s="1">
        <v>4</v>
      </c>
      <c r="J1314" t="s">
        <v>81</v>
      </c>
      <c r="K1314" t="str">
        <f>VLOOKUP(Table1[[#This Row],[Loser]],Ranking!C:D,2,FALSE)</f>
        <v>SEC</v>
      </c>
      <c r="L1314" s="1">
        <v>65</v>
      </c>
      <c r="N1314" s="1">
        <f>Table1[[#This Row],[Winning Score]]-Table1[[#This Row],[Losing Score]]</f>
        <v>11</v>
      </c>
      <c r="O1314" s="1">
        <f>Table1[[#This Row],[Losing Seed]]-Table1[[#This Row],[Winning Seed]]</f>
        <v>-1</v>
      </c>
      <c r="P1314" s="1" t="str">
        <f>IF(Table1[[#This Row],[SeD]]&lt;-2,Table1[[#This Row],[Winning Seed]]&amp; " over " &amp;Table1[[#This Row],[Losing Seed]],"")</f>
        <v/>
      </c>
      <c r="Q1314">
        <f>VLOOKUP(Table1[[#This Row],[Losing Seed]],'Seed History'!$N$4:$O$19,2)</f>
        <v>1.5208333333333333</v>
      </c>
      <c r="R1314" s="1">
        <f>IF(Table1[[#This Row],[Round]]="PI",0,Table1[[#This Row],[Round]]-1)</f>
        <v>1</v>
      </c>
      <c r="S1314">
        <f>Table1[[#This Row],[LAW]]-Table1[[#This Row],[LEW]]</f>
        <v>-0.52083333333333326</v>
      </c>
    </row>
    <row r="1315" spans="1:19" x14ac:dyDescent="0.25">
      <c r="A1315" s="66">
        <v>38435</v>
      </c>
      <c r="B1315" s="51">
        <f>YEAR(Table1[[#This Row],[Date]])</f>
        <v>2005</v>
      </c>
      <c r="C1315" s="1">
        <v>3</v>
      </c>
      <c r="D1315" t="s">
        <v>439</v>
      </c>
      <c r="E1315" s="1">
        <v>1</v>
      </c>
      <c r="F1315" t="s">
        <v>230</v>
      </c>
      <c r="G1315" t="str">
        <f>VLOOKUP(Table1[[#This Row],[Winner]],Ranking!C:D,2,FALSE)</f>
        <v>B10</v>
      </c>
      <c r="H1315" s="1">
        <v>77</v>
      </c>
      <c r="I1315" s="1">
        <v>12</v>
      </c>
      <c r="J1315" t="s">
        <v>273</v>
      </c>
      <c r="K1315" t="str">
        <f>VLOOKUP(Table1[[#This Row],[Loser]],Ranking!C:D,2,FALSE)</f>
        <v>Horz</v>
      </c>
      <c r="L1315" s="1">
        <v>63</v>
      </c>
      <c r="N1315" s="1">
        <f>Table1[[#This Row],[Winning Score]]-Table1[[#This Row],[Losing Score]]</f>
        <v>14</v>
      </c>
      <c r="O1315" s="1">
        <f>Table1[[#This Row],[Losing Seed]]-Table1[[#This Row],[Winning Seed]]</f>
        <v>11</v>
      </c>
      <c r="P1315" s="1" t="str">
        <f>IF(Table1[[#This Row],[SeD]]&lt;-2,Table1[[#This Row],[Winning Seed]]&amp; " over " &amp;Table1[[#This Row],[Losing Seed]],"")</f>
        <v/>
      </c>
      <c r="Q1315">
        <f>VLOOKUP(Table1[[#This Row],[Losing Seed]],'Seed History'!$N$4:$O$19,2)</f>
        <v>0.52083333333333337</v>
      </c>
      <c r="R1315" s="1">
        <f>IF(Table1[[#This Row],[Round]]="PI",0,Table1[[#This Row],[Round]]-1)</f>
        <v>2</v>
      </c>
      <c r="S1315">
        <f>Table1[[#This Row],[LAW]]-Table1[[#This Row],[LEW]]</f>
        <v>1.4791666666666665</v>
      </c>
    </row>
    <row r="1316" spans="1:19" x14ac:dyDescent="0.25">
      <c r="A1316" s="66">
        <v>38435</v>
      </c>
      <c r="B1316" s="51">
        <f>YEAR(Table1[[#This Row],[Date]])</f>
        <v>2005</v>
      </c>
      <c r="C1316" s="1">
        <v>3</v>
      </c>
      <c r="D1316" t="s">
        <v>38</v>
      </c>
      <c r="E1316" s="1">
        <v>4</v>
      </c>
      <c r="F1316" t="s">
        <v>54</v>
      </c>
      <c r="G1316" t="str">
        <f>VLOOKUP(Table1[[#This Row],[Winner]],Ranking!C:D,2,FALSE)</f>
        <v>ACC</v>
      </c>
      <c r="H1316" s="1">
        <v>93</v>
      </c>
      <c r="I1316" s="1">
        <v>1</v>
      </c>
      <c r="J1316" t="s">
        <v>409</v>
      </c>
      <c r="K1316" t="str">
        <f>VLOOKUP(Table1[[#This Row],[Loser]],Ranking!C:D,2,FALSE)</f>
        <v>P12</v>
      </c>
      <c r="L1316" s="1">
        <v>79</v>
      </c>
      <c r="N1316" s="1">
        <f>Table1[[#This Row],[Winning Score]]-Table1[[#This Row],[Losing Score]]</f>
        <v>14</v>
      </c>
      <c r="O1316" s="1">
        <f>Table1[[#This Row],[Losing Seed]]-Table1[[#This Row],[Winning Seed]]</f>
        <v>-3</v>
      </c>
      <c r="P1316" s="1" t="str">
        <f>IF(Table1[[#This Row],[SeD]]&lt;-2,Table1[[#This Row],[Winning Seed]]&amp; " over " &amp;Table1[[#This Row],[Losing Seed]],"")</f>
        <v>4 over 1</v>
      </c>
      <c r="Q1316">
        <f>VLOOKUP(Table1[[#This Row],[Losing Seed]],'Seed History'!$N$4:$O$19,2)</f>
        <v>3.3263888888888888</v>
      </c>
      <c r="R1316" s="1">
        <f>IF(Table1[[#This Row],[Round]]="PI",0,Table1[[#This Row],[Round]]-1)</f>
        <v>2</v>
      </c>
      <c r="S1316">
        <f>Table1[[#This Row],[LAW]]-Table1[[#This Row],[LEW]]</f>
        <v>-1.3263888888888888</v>
      </c>
    </row>
    <row r="1317" spans="1:19" x14ac:dyDescent="0.25">
      <c r="A1317" s="66">
        <v>38435</v>
      </c>
      <c r="B1317" s="51">
        <f>YEAR(Table1[[#This Row],[Date]])</f>
        <v>2005</v>
      </c>
      <c r="C1317" s="1">
        <v>3</v>
      </c>
      <c r="D1317" t="s">
        <v>439</v>
      </c>
      <c r="E1317" s="1">
        <v>3</v>
      </c>
      <c r="F1317" t="s">
        <v>48</v>
      </c>
      <c r="G1317" t="str">
        <f>VLOOKUP(Table1[[#This Row],[Winner]],Ranking!C:D,2,FALSE)</f>
        <v>P12</v>
      </c>
      <c r="H1317" s="1">
        <v>79</v>
      </c>
      <c r="I1317" s="1">
        <v>2</v>
      </c>
      <c r="J1317" t="s">
        <v>316</v>
      </c>
      <c r="K1317" t="str">
        <f>VLOOKUP(Table1[[#This Row],[Loser]],Ranking!C:D,2,FALSE)</f>
        <v>B12</v>
      </c>
      <c r="L1317" s="1">
        <v>78</v>
      </c>
      <c r="N1317" s="1">
        <f>Table1[[#This Row],[Winning Score]]-Table1[[#This Row],[Losing Score]]</f>
        <v>1</v>
      </c>
      <c r="O1317" s="1">
        <f>Table1[[#This Row],[Losing Seed]]-Table1[[#This Row],[Winning Seed]]</f>
        <v>-1</v>
      </c>
      <c r="P1317" s="1" t="str">
        <f>IF(Table1[[#This Row],[SeD]]&lt;-2,Table1[[#This Row],[Winning Seed]]&amp; " over " &amp;Table1[[#This Row],[Losing Seed]],"")</f>
        <v/>
      </c>
      <c r="Q1317">
        <f>VLOOKUP(Table1[[#This Row],[Losing Seed]],'Seed History'!$N$4:$O$19,2)</f>
        <v>2.3472222222222223</v>
      </c>
      <c r="R1317" s="1">
        <f>IF(Table1[[#This Row],[Round]]="PI",0,Table1[[#This Row],[Round]]-1)</f>
        <v>2</v>
      </c>
      <c r="S1317">
        <f>Table1[[#This Row],[LAW]]-Table1[[#This Row],[LEW]]</f>
        <v>-0.34722222222222232</v>
      </c>
    </row>
    <row r="1318" spans="1:19" x14ac:dyDescent="0.25">
      <c r="A1318" s="66">
        <v>38435</v>
      </c>
      <c r="B1318" s="51">
        <f>YEAR(Table1[[#This Row],[Date]])</f>
        <v>2005</v>
      </c>
      <c r="C1318" s="1">
        <v>3</v>
      </c>
      <c r="D1318" t="s">
        <v>38</v>
      </c>
      <c r="E1318" s="1">
        <v>7</v>
      </c>
      <c r="F1318" t="s">
        <v>412</v>
      </c>
      <c r="G1318" t="str">
        <f>VLOOKUP(Table1[[#This Row],[Winner]],Ranking!C:D,2,FALSE)</f>
        <v>B12</v>
      </c>
      <c r="H1318" s="1">
        <v>65</v>
      </c>
      <c r="I1318" s="1">
        <v>6</v>
      </c>
      <c r="J1318" t="s">
        <v>92</v>
      </c>
      <c r="K1318" t="str">
        <f>VLOOKUP(Table1[[#This Row],[Loser]],Ranking!C:D,2,FALSE)</f>
        <v>B12</v>
      </c>
      <c r="L1318" s="1">
        <v>60</v>
      </c>
      <c r="N1318" s="1">
        <f>Table1[[#This Row],[Winning Score]]-Table1[[#This Row],[Losing Score]]</f>
        <v>5</v>
      </c>
      <c r="O1318" s="1">
        <f>Table1[[#This Row],[Losing Seed]]-Table1[[#This Row],[Winning Seed]]</f>
        <v>-1</v>
      </c>
      <c r="P1318" s="1" t="str">
        <f>IF(Table1[[#This Row],[SeD]]&lt;-2,Table1[[#This Row],[Winning Seed]]&amp; " over " &amp;Table1[[#This Row],[Losing Seed]],"")</f>
        <v/>
      </c>
      <c r="Q1318">
        <f>VLOOKUP(Table1[[#This Row],[Losing Seed]],'Seed History'!$N$4:$O$19,2)</f>
        <v>1.0625</v>
      </c>
      <c r="R1318" s="1">
        <f>IF(Table1[[#This Row],[Round]]="PI",0,Table1[[#This Row],[Round]]-1)</f>
        <v>2</v>
      </c>
      <c r="S1318">
        <f>Table1[[#This Row],[LAW]]-Table1[[#This Row],[LEW]]</f>
        <v>0.9375</v>
      </c>
    </row>
    <row r="1319" spans="1:19" x14ac:dyDescent="0.25">
      <c r="A1319" s="66">
        <v>38436</v>
      </c>
      <c r="B1319" s="51">
        <f>YEAR(Table1[[#This Row],[Date]])</f>
        <v>2005</v>
      </c>
      <c r="C1319" s="1">
        <v>3</v>
      </c>
      <c r="D1319" t="s">
        <v>63</v>
      </c>
      <c r="E1319" s="1">
        <v>5</v>
      </c>
      <c r="F1319" t="s">
        <v>271</v>
      </c>
      <c r="G1319" t="str">
        <f>VLOOKUP(Table1[[#This Row],[Winner]],Ranking!C:D,2,FALSE)</f>
        <v>B10</v>
      </c>
      <c r="H1319" s="1">
        <v>78</v>
      </c>
      <c r="I1319" s="1">
        <v>1</v>
      </c>
      <c r="J1319" t="s">
        <v>64</v>
      </c>
      <c r="K1319" t="str">
        <f>VLOOKUP(Table1[[#This Row],[Loser]],Ranking!C:D,2,FALSE)</f>
        <v>ACC</v>
      </c>
      <c r="L1319" s="1">
        <v>68</v>
      </c>
      <c r="N1319" s="1">
        <f>Table1[[#This Row],[Winning Score]]-Table1[[#This Row],[Losing Score]]</f>
        <v>10</v>
      </c>
      <c r="O1319" s="1">
        <f>Table1[[#This Row],[Losing Seed]]-Table1[[#This Row],[Winning Seed]]</f>
        <v>-4</v>
      </c>
      <c r="P1319" s="1" t="str">
        <f>IF(Table1[[#This Row],[SeD]]&lt;-2,Table1[[#This Row],[Winning Seed]]&amp; " over " &amp;Table1[[#This Row],[Losing Seed]],"")</f>
        <v>5 over 1</v>
      </c>
      <c r="Q1319">
        <f>VLOOKUP(Table1[[#This Row],[Losing Seed]],'Seed History'!$N$4:$O$19,2)</f>
        <v>3.3263888888888888</v>
      </c>
      <c r="R1319" s="1">
        <f>IF(Table1[[#This Row],[Round]]="PI",0,Table1[[#This Row],[Round]]-1)</f>
        <v>2</v>
      </c>
      <c r="S1319">
        <f>Table1[[#This Row],[LAW]]-Table1[[#This Row],[LEW]]</f>
        <v>-1.3263888888888888</v>
      </c>
    </row>
    <row r="1320" spans="1:19" x14ac:dyDescent="0.25">
      <c r="A1320" s="66">
        <v>38436</v>
      </c>
      <c r="B1320" s="51">
        <f>YEAR(Table1[[#This Row],[Date]])</f>
        <v>2005</v>
      </c>
      <c r="C1320" s="1">
        <v>3</v>
      </c>
      <c r="D1320" t="s">
        <v>49</v>
      </c>
      <c r="E1320" s="1">
        <v>1</v>
      </c>
      <c r="F1320" t="s">
        <v>298</v>
      </c>
      <c r="G1320" t="str">
        <f>VLOOKUP(Table1[[#This Row],[Winner]],Ranking!C:D,2,FALSE)</f>
        <v>ACC</v>
      </c>
      <c r="H1320" s="1">
        <v>67</v>
      </c>
      <c r="I1320" s="1">
        <v>5</v>
      </c>
      <c r="J1320" t="s">
        <v>50</v>
      </c>
      <c r="K1320" t="str">
        <f>VLOOKUP(Table1[[#This Row],[Loser]],Ranking!C:D,2,FALSE)</f>
        <v>BE</v>
      </c>
      <c r="L1320" s="1">
        <v>66</v>
      </c>
      <c r="N1320" s="1">
        <f>Table1[[#This Row],[Winning Score]]-Table1[[#This Row],[Losing Score]]</f>
        <v>1</v>
      </c>
      <c r="O1320" s="1">
        <f>Table1[[#This Row],[Losing Seed]]-Table1[[#This Row],[Winning Seed]]</f>
        <v>4</v>
      </c>
      <c r="P1320" s="1" t="str">
        <f>IF(Table1[[#This Row],[SeD]]&lt;-2,Table1[[#This Row],[Winning Seed]]&amp; " over " &amp;Table1[[#This Row],[Losing Seed]],"")</f>
        <v/>
      </c>
      <c r="Q1320">
        <f>VLOOKUP(Table1[[#This Row],[Losing Seed]],'Seed History'!$N$4:$O$19,2)</f>
        <v>1.1180555555555556</v>
      </c>
      <c r="R1320" s="1">
        <f>IF(Table1[[#This Row],[Round]]="PI",0,Table1[[#This Row],[Round]]-1)</f>
        <v>2</v>
      </c>
      <c r="S1320">
        <f>Table1[[#This Row],[LAW]]-Table1[[#This Row],[LEW]]</f>
        <v>0.88194444444444442</v>
      </c>
    </row>
    <row r="1321" spans="1:19" x14ac:dyDescent="0.25">
      <c r="A1321" s="66">
        <v>38436</v>
      </c>
      <c r="B1321" s="51">
        <f>YEAR(Table1[[#This Row],[Date]])</f>
        <v>2005</v>
      </c>
      <c r="C1321" s="1">
        <v>3</v>
      </c>
      <c r="D1321" t="s">
        <v>49</v>
      </c>
      <c r="E1321" s="1">
        <v>6</v>
      </c>
      <c r="F1321" t="s">
        <v>39</v>
      </c>
      <c r="G1321" t="str">
        <f>VLOOKUP(Table1[[#This Row],[Winner]],Ranking!C:D,2,FALSE)</f>
        <v>B10</v>
      </c>
      <c r="H1321" s="1">
        <v>65</v>
      </c>
      <c r="I1321" s="1">
        <v>10</v>
      </c>
      <c r="J1321" t="s">
        <v>301</v>
      </c>
      <c r="K1321" t="e">
        <f>VLOOKUP(Table1[[#This Row],[Loser]],Ranking!C:D,2,FALSE)</f>
        <v>#N/A</v>
      </c>
      <c r="L1321" s="1">
        <v>56</v>
      </c>
      <c r="N1321" s="1">
        <f>Table1[[#This Row],[Winning Score]]-Table1[[#This Row],[Losing Score]]</f>
        <v>9</v>
      </c>
      <c r="O1321" s="1">
        <f>Table1[[#This Row],[Losing Seed]]-Table1[[#This Row],[Winning Seed]]</f>
        <v>4</v>
      </c>
      <c r="P1321" s="1" t="str">
        <f>IF(Table1[[#This Row],[SeD]]&lt;-2,Table1[[#This Row],[Winning Seed]]&amp; " over " &amp;Table1[[#This Row],[Losing Seed]],"")</f>
        <v/>
      </c>
      <c r="Q1321">
        <f>VLOOKUP(Table1[[#This Row],[Losing Seed]],'Seed History'!$N$4:$O$19,2)</f>
        <v>0.61805555555555558</v>
      </c>
      <c r="R1321" s="1">
        <f>IF(Table1[[#This Row],[Round]]="PI",0,Table1[[#This Row],[Round]]-1)</f>
        <v>2</v>
      </c>
      <c r="S1321">
        <f>Table1[[#This Row],[LAW]]-Table1[[#This Row],[LEW]]</f>
        <v>1.3819444444444444</v>
      </c>
    </row>
    <row r="1322" spans="1:19" x14ac:dyDescent="0.25">
      <c r="A1322" s="66">
        <v>38436</v>
      </c>
      <c r="B1322" s="51">
        <f>YEAR(Table1[[#This Row],[Date]])</f>
        <v>2005</v>
      </c>
      <c r="C1322" s="1">
        <v>3</v>
      </c>
      <c r="D1322" t="s">
        <v>63</v>
      </c>
      <c r="E1322" s="1">
        <v>2</v>
      </c>
      <c r="F1322" t="s">
        <v>26</v>
      </c>
      <c r="G1322" t="str">
        <f>VLOOKUP(Table1[[#This Row],[Winner]],Ranking!C:D,2,FALSE)</f>
        <v>SEC</v>
      </c>
      <c r="H1322" s="1">
        <v>62</v>
      </c>
      <c r="I1322" s="1">
        <v>6</v>
      </c>
      <c r="J1322" t="s">
        <v>65</v>
      </c>
      <c r="K1322" t="str">
        <f>VLOOKUP(Table1[[#This Row],[Loser]],Ranking!C:D,2,FALSE)</f>
        <v>P12</v>
      </c>
      <c r="L1322" s="1">
        <v>52</v>
      </c>
      <c r="N1322" s="1">
        <f>Table1[[#This Row],[Winning Score]]-Table1[[#This Row],[Losing Score]]</f>
        <v>10</v>
      </c>
      <c r="O1322" s="1">
        <f>Table1[[#This Row],[Losing Seed]]-Table1[[#This Row],[Winning Seed]]</f>
        <v>4</v>
      </c>
      <c r="P1322" s="1" t="str">
        <f>IF(Table1[[#This Row],[SeD]]&lt;-2,Table1[[#This Row],[Winning Seed]]&amp; " over " &amp;Table1[[#This Row],[Losing Seed]],"")</f>
        <v/>
      </c>
      <c r="Q1322">
        <f>VLOOKUP(Table1[[#This Row],[Losing Seed]],'Seed History'!$N$4:$O$19,2)</f>
        <v>1.0625</v>
      </c>
      <c r="R1322" s="1">
        <f>IF(Table1[[#This Row],[Round]]="PI",0,Table1[[#This Row],[Round]]-1)</f>
        <v>2</v>
      </c>
      <c r="S1322">
        <f>Table1[[#This Row],[LAW]]-Table1[[#This Row],[LEW]]</f>
        <v>0.9375</v>
      </c>
    </row>
    <row r="1323" spans="1:19" x14ac:dyDescent="0.25">
      <c r="A1323" s="66">
        <v>38437</v>
      </c>
      <c r="B1323" s="51">
        <f>YEAR(Table1[[#This Row],[Date]])</f>
        <v>2005</v>
      </c>
      <c r="C1323" s="1">
        <v>4</v>
      </c>
      <c r="D1323" t="s">
        <v>439</v>
      </c>
      <c r="E1323" s="1">
        <v>1</v>
      </c>
      <c r="F1323" t="s">
        <v>230</v>
      </c>
      <c r="G1323" t="str">
        <f>VLOOKUP(Table1[[#This Row],[Winner]],Ranking!C:D,2,FALSE)</f>
        <v>B10</v>
      </c>
      <c r="H1323" s="1">
        <v>90</v>
      </c>
      <c r="I1323" s="1">
        <v>3</v>
      </c>
      <c r="J1323" t="s">
        <v>48</v>
      </c>
      <c r="K1323" t="str">
        <f>VLOOKUP(Table1[[#This Row],[Loser]],Ranking!C:D,2,FALSE)</f>
        <v>P12</v>
      </c>
      <c r="L1323" s="1">
        <v>89</v>
      </c>
      <c r="M1323" s="1" t="s">
        <v>462</v>
      </c>
      <c r="N1323" s="1">
        <f>Table1[[#This Row],[Winning Score]]-Table1[[#This Row],[Losing Score]]</f>
        <v>1</v>
      </c>
      <c r="O1323" s="1">
        <f>Table1[[#This Row],[Losing Seed]]-Table1[[#This Row],[Winning Seed]]</f>
        <v>2</v>
      </c>
      <c r="P1323" s="1" t="str">
        <f>IF(Table1[[#This Row],[SeD]]&lt;-2,Table1[[#This Row],[Winning Seed]]&amp; " over " &amp;Table1[[#This Row],[Losing Seed]],"")</f>
        <v/>
      </c>
      <c r="Q1323">
        <f>VLOOKUP(Table1[[#This Row],[Losing Seed]],'Seed History'!$N$4:$O$19,2)</f>
        <v>1.8472222222222223</v>
      </c>
      <c r="R1323" s="1">
        <f>IF(Table1[[#This Row],[Round]]="PI",0,Table1[[#This Row],[Round]]-1)</f>
        <v>3</v>
      </c>
      <c r="S1323">
        <f>Table1[[#This Row],[LAW]]-Table1[[#This Row],[LEW]]</f>
        <v>1.1527777777777777</v>
      </c>
    </row>
    <row r="1324" spans="1:19" x14ac:dyDescent="0.25">
      <c r="A1324" s="66">
        <v>38437</v>
      </c>
      <c r="B1324" s="51">
        <f>YEAR(Table1[[#This Row],[Date]])</f>
        <v>2005</v>
      </c>
      <c r="C1324" s="1">
        <v>4</v>
      </c>
      <c r="D1324" t="s">
        <v>38</v>
      </c>
      <c r="E1324" s="1">
        <v>4</v>
      </c>
      <c r="F1324" t="s">
        <v>54</v>
      </c>
      <c r="G1324" t="str">
        <f>VLOOKUP(Table1[[#This Row],[Winner]],Ranking!C:D,2,FALSE)</f>
        <v>ACC</v>
      </c>
      <c r="H1324" s="1">
        <v>93</v>
      </c>
      <c r="I1324" s="1">
        <v>7</v>
      </c>
      <c r="J1324" t="s">
        <v>412</v>
      </c>
      <c r="K1324" t="str">
        <f>VLOOKUP(Table1[[#This Row],[Loser]],Ranking!C:D,2,FALSE)</f>
        <v>B12</v>
      </c>
      <c r="L1324" s="1">
        <v>85</v>
      </c>
      <c r="M1324" s="1" t="s">
        <v>462</v>
      </c>
      <c r="N1324" s="1">
        <f>Table1[[#This Row],[Winning Score]]-Table1[[#This Row],[Losing Score]]</f>
        <v>8</v>
      </c>
      <c r="O1324" s="1">
        <f>Table1[[#This Row],[Losing Seed]]-Table1[[#This Row],[Winning Seed]]</f>
        <v>3</v>
      </c>
      <c r="P1324" s="1" t="str">
        <f>IF(Table1[[#This Row],[SeD]]&lt;-2,Table1[[#This Row],[Winning Seed]]&amp; " over " &amp;Table1[[#This Row],[Losing Seed]],"")</f>
        <v/>
      </c>
      <c r="Q1324">
        <f>VLOOKUP(Table1[[#This Row],[Losing Seed]],'Seed History'!$N$4:$O$19,2)</f>
        <v>0.90277777777777779</v>
      </c>
      <c r="R1324" s="1">
        <f>IF(Table1[[#This Row],[Round]]="PI",0,Table1[[#This Row],[Round]]-1)</f>
        <v>3</v>
      </c>
      <c r="S1324">
        <f>Table1[[#This Row],[LAW]]-Table1[[#This Row],[LEW]]</f>
        <v>2.0972222222222223</v>
      </c>
    </row>
    <row r="1325" spans="1:19" x14ac:dyDescent="0.25">
      <c r="A1325" s="66">
        <v>38438</v>
      </c>
      <c r="B1325" s="51">
        <f>YEAR(Table1[[#This Row],[Date]])</f>
        <v>2005</v>
      </c>
      <c r="C1325" s="1">
        <v>4</v>
      </c>
      <c r="D1325" t="s">
        <v>63</v>
      </c>
      <c r="E1325" s="1">
        <v>5</v>
      </c>
      <c r="F1325" t="s">
        <v>271</v>
      </c>
      <c r="G1325" t="str">
        <f>VLOOKUP(Table1[[#This Row],[Winner]],Ranking!C:D,2,FALSE)</f>
        <v>B10</v>
      </c>
      <c r="H1325" s="1">
        <v>94</v>
      </c>
      <c r="I1325" s="1">
        <v>2</v>
      </c>
      <c r="J1325" t="s">
        <v>26</v>
      </c>
      <c r="K1325" t="str">
        <f>VLOOKUP(Table1[[#This Row],[Loser]],Ranking!C:D,2,FALSE)</f>
        <v>SEC</v>
      </c>
      <c r="L1325" s="1">
        <v>88</v>
      </c>
      <c r="M1325" s="1" t="s">
        <v>463</v>
      </c>
      <c r="N1325" s="1">
        <f>Table1[[#This Row],[Winning Score]]-Table1[[#This Row],[Losing Score]]</f>
        <v>6</v>
      </c>
      <c r="O1325" s="1">
        <f>Table1[[#This Row],[Losing Seed]]-Table1[[#This Row],[Winning Seed]]</f>
        <v>-3</v>
      </c>
      <c r="P1325" s="1" t="str">
        <f>IF(Table1[[#This Row],[SeD]]&lt;-2,Table1[[#This Row],[Winning Seed]]&amp; " over " &amp;Table1[[#This Row],[Losing Seed]],"")</f>
        <v>5 over 2</v>
      </c>
      <c r="Q1325">
        <f>VLOOKUP(Table1[[#This Row],[Losing Seed]],'Seed History'!$N$4:$O$19,2)</f>
        <v>2.3472222222222223</v>
      </c>
      <c r="R1325" s="1">
        <f>IF(Table1[[#This Row],[Round]]="PI",0,Table1[[#This Row],[Round]]-1)</f>
        <v>3</v>
      </c>
      <c r="S1325">
        <f>Table1[[#This Row],[LAW]]-Table1[[#This Row],[LEW]]</f>
        <v>0.65277777777777768</v>
      </c>
    </row>
    <row r="1326" spans="1:19" x14ac:dyDescent="0.25">
      <c r="A1326" s="66">
        <v>38438</v>
      </c>
      <c r="B1326" s="51">
        <f>YEAR(Table1[[#This Row],[Date]])</f>
        <v>2005</v>
      </c>
      <c r="C1326" s="1">
        <v>4</v>
      </c>
      <c r="D1326" t="s">
        <v>49</v>
      </c>
      <c r="E1326" s="1">
        <v>1</v>
      </c>
      <c r="F1326" t="s">
        <v>298</v>
      </c>
      <c r="G1326" t="str">
        <f>VLOOKUP(Table1[[#This Row],[Winner]],Ranking!C:D,2,FALSE)</f>
        <v>ACC</v>
      </c>
      <c r="H1326" s="1">
        <v>88</v>
      </c>
      <c r="I1326" s="1">
        <v>6</v>
      </c>
      <c r="J1326" t="s">
        <v>39</v>
      </c>
      <c r="K1326" t="str">
        <f>VLOOKUP(Table1[[#This Row],[Loser]],Ranking!C:D,2,FALSE)</f>
        <v>B10</v>
      </c>
      <c r="L1326" s="1">
        <v>82</v>
      </c>
      <c r="N1326" s="1">
        <f>Table1[[#This Row],[Winning Score]]-Table1[[#This Row],[Losing Score]]</f>
        <v>6</v>
      </c>
      <c r="O1326" s="1">
        <f>Table1[[#This Row],[Losing Seed]]-Table1[[#This Row],[Winning Seed]]</f>
        <v>5</v>
      </c>
      <c r="P1326" s="1" t="str">
        <f>IF(Table1[[#This Row],[SeD]]&lt;-2,Table1[[#This Row],[Winning Seed]]&amp; " over " &amp;Table1[[#This Row],[Losing Seed]],"")</f>
        <v/>
      </c>
      <c r="Q1326">
        <f>VLOOKUP(Table1[[#This Row],[Losing Seed]],'Seed History'!$N$4:$O$19,2)</f>
        <v>1.0625</v>
      </c>
      <c r="R1326" s="1">
        <f>IF(Table1[[#This Row],[Round]]="PI",0,Table1[[#This Row],[Round]]-1)</f>
        <v>3</v>
      </c>
      <c r="S1326">
        <f>Table1[[#This Row],[LAW]]-Table1[[#This Row],[LEW]]</f>
        <v>1.9375</v>
      </c>
    </row>
    <row r="1327" spans="1:19" x14ac:dyDescent="0.25">
      <c r="A1327" s="66">
        <v>38444</v>
      </c>
      <c r="B1327" s="51">
        <f>YEAR(Table1[[#This Row],[Date]])</f>
        <v>2005</v>
      </c>
      <c r="C1327" s="1">
        <v>5</v>
      </c>
      <c r="D1327" t="s">
        <v>467</v>
      </c>
      <c r="E1327" s="1">
        <v>1</v>
      </c>
      <c r="F1327" t="s">
        <v>298</v>
      </c>
      <c r="G1327" t="str">
        <f>VLOOKUP(Table1[[#This Row],[Winner]],Ranking!C:D,2,FALSE)</f>
        <v>ACC</v>
      </c>
      <c r="H1327" s="1">
        <v>87</v>
      </c>
      <c r="I1327" s="1">
        <v>5</v>
      </c>
      <c r="J1327" t="s">
        <v>271</v>
      </c>
      <c r="K1327" t="str">
        <f>VLOOKUP(Table1[[#This Row],[Loser]],Ranking!C:D,2,FALSE)</f>
        <v>B10</v>
      </c>
      <c r="L1327" s="1">
        <v>71</v>
      </c>
      <c r="N1327" s="1">
        <f>Table1[[#This Row],[Winning Score]]-Table1[[#This Row],[Losing Score]]</f>
        <v>16</v>
      </c>
      <c r="O1327" s="1">
        <f>Table1[[#This Row],[Losing Seed]]-Table1[[#This Row],[Winning Seed]]</f>
        <v>4</v>
      </c>
      <c r="P1327" s="1" t="str">
        <f>IF(Table1[[#This Row],[SeD]]&lt;-2,Table1[[#This Row],[Winning Seed]]&amp; " over " &amp;Table1[[#This Row],[Losing Seed]],"")</f>
        <v/>
      </c>
      <c r="Q1327">
        <f>VLOOKUP(Table1[[#This Row],[Losing Seed]],'Seed History'!$N$4:$O$19,2)</f>
        <v>1.1180555555555556</v>
      </c>
      <c r="R1327" s="1">
        <f>IF(Table1[[#This Row],[Round]]="PI",0,Table1[[#This Row],[Round]]-1)</f>
        <v>4</v>
      </c>
      <c r="S1327">
        <f>Table1[[#This Row],[LAW]]-Table1[[#This Row],[LEW]]</f>
        <v>2.8819444444444446</v>
      </c>
    </row>
    <row r="1328" spans="1:19" x14ac:dyDescent="0.25">
      <c r="A1328" s="66">
        <v>38444</v>
      </c>
      <c r="B1328" s="51">
        <f>YEAR(Table1[[#This Row],[Date]])</f>
        <v>2005</v>
      </c>
      <c r="C1328" s="1">
        <v>5</v>
      </c>
      <c r="D1328" t="s">
        <v>467</v>
      </c>
      <c r="E1328" s="1">
        <v>1</v>
      </c>
      <c r="F1328" t="s">
        <v>230</v>
      </c>
      <c r="G1328" t="str">
        <f>VLOOKUP(Table1[[#This Row],[Winner]],Ranking!C:D,2,FALSE)</f>
        <v>B10</v>
      </c>
      <c r="H1328" s="1">
        <v>72</v>
      </c>
      <c r="I1328" s="1">
        <v>4</v>
      </c>
      <c r="J1328" t="s">
        <v>54</v>
      </c>
      <c r="K1328" t="str">
        <f>VLOOKUP(Table1[[#This Row],[Loser]],Ranking!C:D,2,FALSE)</f>
        <v>ACC</v>
      </c>
      <c r="L1328" s="1">
        <v>57</v>
      </c>
      <c r="N1328" s="1">
        <f>Table1[[#This Row],[Winning Score]]-Table1[[#This Row],[Losing Score]]</f>
        <v>15</v>
      </c>
      <c r="O1328" s="1">
        <f>Table1[[#This Row],[Losing Seed]]-Table1[[#This Row],[Winning Seed]]</f>
        <v>3</v>
      </c>
      <c r="P1328" s="1" t="str">
        <f>IF(Table1[[#This Row],[SeD]]&lt;-2,Table1[[#This Row],[Winning Seed]]&amp; " over " &amp;Table1[[#This Row],[Losing Seed]],"")</f>
        <v/>
      </c>
      <c r="Q1328">
        <f>VLOOKUP(Table1[[#This Row],[Losing Seed]],'Seed History'!$N$4:$O$19,2)</f>
        <v>1.5208333333333333</v>
      </c>
      <c r="R1328" s="1">
        <f>IF(Table1[[#This Row],[Round]]="PI",0,Table1[[#This Row],[Round]]-1)</f>
        <v>4</v>
      </c>
      <c r="S1328">
        <f>Table1[[#This Row],[LAW]]-Table1[[#This Row],[LEW]]</f>
        <v>2.479166666666667</v>
      </c>
    </row>
    <row r="1329" spans="1:19" x14ac:dyDescent="0.25">
      <c r="A1329" s="66">
        <v>38446</v>
      </c>
      <c r="B1329" s="51">
        <f>YEAR(Table1[[#This Row],[Date]])</f>
        <v>2005</v>
      </c>
      <c r="C1329" s="1">
        <v>6</v>
      </c>
      <c r="D1329" t="s">
        <v>468</v>
      </c>
      <c r="E1329" s="1">
        <v>1</v>
      </c>
      <c r="F1329" t="s">
        <v>298</v>
      </c>
      <c r="G1329" t="str">
        <f>VLOOKUP(Table1[[#This Row],[Winner]],Ranking!C:D,2,FALSE)</f>
        <v>ACC</v>
      </c>
      <c r="H1329" s="1">
        <v>75</v>
      </c>
      <c r="I1329" s="1">
        <v>1</v>
      </c>
      <c r="J1329" t="s">
        <v>230</v>
      </c>
      <c r="K1329" t="str">
        <f>VLOOKUP(Table1[[#This Row],[Loser]],Ranking!C:D,2,FALSE)</f>
        <v>B10</v>
      </c>
      <c r="L1329" s="1">
        <v>70</v>
      </c>
      <c r="N1329" s="1">
        <f>Table1[[#This Row],[Winning Score]]-Table1[[#This Row],[Losing Score]]</f>
        <v>5</v>
      </c>
      <c r="O1329" s="1">
        <f>Table1[[#This Row],[Losing Seed]]-Table1[[#This Row],[Winning Seed]]</f>
        <v>0</v>
      </c>
      <c r="P1329" s="1" t="str">
        <f>IF(Table1[[#This Row],[SeD]]&lt;-2,Table1[[#This Row],[Winning Seed]]&amp; " over " &amp;Table1[[#This Row],[Losing Seed]],"")</f>
        <v/>
      </c>
      <c r="Q1329">
        <f>VLOOKUP(Table1[[#This Row],[Losing Seed]],'Seed History'!$N$4:$O$19,2)</f>
        <v>3.3263888888888888</v>
      </c>
      <c r="R1329" s="1">
        <f>IF(Table1[[#This Row],[Round]]="PI",0,Table1[[#This Row],[Round]]-1)</f>
        <v>5</v>
      </c>
      <c r="S1329">
        <f>Table1[[#This Row],[LAW]]-Table1[[#This Row],[LEW]]</f>
        <v>1.6736111111111112</v>
      </c>
    </row>
    <row r="1330" spans="1:19" x14ac:dyDescent="0.25">
      <c r="A1330" s="66">
        <v>38790</v>
      </c>
      <c r="B1330" s="51">
        <f>YEAR(Table1[[#This Row],[Date]])</f>
        <v>2006</v>
      </c>
      <c r="C1330" s="1" t="s">
        <v>476</v>
      </c>
      <c r="D1330" t="s">
        <v>439</v>
      </c>
      <c r="E1330" s="1">
        <v>16</v>
      </c>
      <c r="F1330" t="s">
        <v>279</v>
      </c>
      <c r="G1330" t="str">
        <f>VLOOKUP(Table1[[#This Row],[Winner]],Ranking!C:D,2,FALSE)</f>
        <v>MAAC</v>
      </c>
      <c r="H1330" s="1">
        <v>71</v>
      </c>
      <c r="I1330" s="1">
        <v>16</v>
      </c>
      <c r="J1330" t="s">
        <v>27</v>
      </c>
      <c r="K1330" t="str">
        <f>VLOOKUP(Table1[[#This Row],[Loser]],Ranking!C:D,2,FALSE)</f>
        <v>BSth</v>
      </c>
      <c r="L1330" s="1">
        <v>49</v>
      </c>
      <c r="N1330" s="1">
        <f>Table1[[#This Row],[Winning Score]]-Table1[[#This Row],[Losing Score]]</f>
        <v>22</v>
      </c>
      <c r="O1330" s="1">
        <f>Table1[[#This Row],[Losing Seed]]-Table1[[#This Row],[Winning Seed]]</f>
        <v>0</v>
      </c>
      <c r="P1330" s="1" t="str">
        <f>IF(Table1[[#This Row],[SeD]]&lt;-2,Table1[[#This Row],[Winning Seed]]&amp; " over " &amp;Table1[[#This Row],[Losing Seed]],"")</f>
        <v/>
      </c>
      <c r="Q1330">
        <f>VLOOKUP(Table1[[#This Row],[Losing Seed]],'Seed History'!$N$4:$O$19,2)</f>
        <v>6.9444444444444441E-3</v>
      </c>
      <c r="R1330" s="1">
        <f>IF(Table1[[#This Row],[Round]]="PI",0,Table1[[#This Row],[Round]]-1)</f>
        <v>0</v>
      </c>
      <c r="S1330">
        <f>Table1[[#This Row],[LAW]]-Table1[[#This Row],[LEW]]</f>
        <v>-6.9444444444444441E-3</v>
      </c>
    </row>
    <row r="1331" spans="1:19" x14ac:dyDescent="0.25">
      <c r="A1331" s="66">
        <v>38792</v>
      </c>
      <c r="B1331" s="51">
        <f>YEAR(Table1[[#This Row],[Date]])</f>
        <v>2006</v>
      </c>
      <c r="C1331" s="1">
        <v>1</v>
      </c>
      <c r="D1331" t="s">
        <v>439</v>
      </c>
      <c r="E1331" s="1">
        <v>12</v>
      </c>
      <c r="F1331" t="s">
        <v>280</v>
      </c>
      <c r="G1331" t="str">
        <f>VLOOKUP(Table1[[#This Row],[Winner]],Ranking!C:D,2,FALSE)</f>
        <v>BSky</v>
      </c>
      <c r="H1331" s="1">
        <v>87</v>
      </c>
      <c r="I1331" s="1">
        <v>5</v>
      </c>
      <c r="J1331" t="s">
        <v>289</v>
      </c>
      <c r="K1331" t="str">
        <f>VLOOKUP(Table1[[#This Row],[Loser]],Ranking!C:D,2,FALSE)</f>
        <v>MWC</v>
      </c>
      <c r="L1331" s="1">
        <v>79</v>
      </c>
      <c r="N1331" s="1">
        <f>Table1[[#This Row],[Winning Score]]-Table1[[#This Row],[Losing Score]]</f>
        <v>8</v>
      </c>
      <c r="O1331" s="1">
        <f>Table1[[#This Row],[Losing Seed]]-Table1[[#This Row],[Winning Seed]]</f>
        <v>-7</v>
      </c>
      <c r="P1331" s="1" t="str">
        <f>IF(Table1[[#This Row],[SeD]]&lt;-2,Table1[[#This Row],[Winning Seed]]&amp; " over " &amp;Table1[[#This Row],[Losing Seed]],"")</f>
        <v>12 over 5</v>
      </c>
      <c r="Q1331">
        <f>VLOOKUP(Table1[[#This Row],[Losing Seed]],'Seed History'!$N$4:$O$19,2)</f>
        <v>1.1180555555555556</v>
      </c>
      <c r="R1331" s="1">
        <f>IF(Table1[[#This Row],[Round]]="PI",0,Table1[[#This Row],[Round]]-1)</f>
        <v>0</v>
      </c>
      <c r="S1331">
        <f>Table1[[#This Row],[LAW]]-Table1[[#This Row],[LEW]]</f>
        <v>-1.1180555555555556</v>
      </c>
    </row>
    <row r="1332" spans="1:19" x14ac:dyDescent="0.25">
      <c r="A1332" s="66">
        <v>38792</v>
      </c>
      <c r="B1332" s="51">
        <f>YEAR(Table1[[#This Row],[Date]])</f>
        <v>2006</v>
      </c>
      <c r="C1332" s="1">
        <v>1</v>
      </c>
      <c r="D1332" t="s">
        <v>63</v>
      </c>
      <c r="E1332" s="1">
        <v>12</v>
      </c>
      <c r="F1332" t="s">
        <v>79</v>
      </c>
      <c r="G1332" t="str">
        <f>VLOOKUP(Table1[[#This Row],[Winner]],Ranking!C:D,2,FALSE)</f>
        <v>SEC</v>
      </c>
      <c r="H1332" s="1">
        <v>66</v>
      </c>
      <c r="I1332" s="1">
        <v>5</v>
      </c>
      <c r="J1332" t="s">
        <v>86</v>
      </c>
      <c r="K1332" t="str">
        <f>VLOOKUP(Table1[[#This Row],[Loser]],Ranking!C:D,2,FALSE)</f>
        <v>ACC</v>
      </c>
      <c r="L1332" s="1">
        <v>58</v>
      </c>
      <c r="N1332" s="1">
        <f>Table1[[#This Row],[Winning Score]]-Table1[[#This Row],[Losing Score]]</f>
        <v>8</v>
      </c>
      <c r="O1332" s="1">
        <f>Table1[[#This Row],[Losing Seed]]-Table1[[#This Row],[Winning Seed]]</f>
        <v>-7</v>
      </c>
      <c r="P1332" s="1" t="str">
        <f>IF(Table1[[#This Row],[SeD]]&lt;-2,Table1[[#This Row],[Winning Seed]]&amp; " over " &amp;Table1[[#This Row],[Losing Seed]],"")</f>
        <v>12 over 5</v>
      </c>
      <c r="Q1332">
        <f>VLOOKUP(Table1[[#This Row],[Losing Seed]],'Seed History'!$N$4:$O$19,2)</f>
        <v>1.1180555555555556</v>
      </c>
      <c r="R1332" s="1">
        <f>IF(Table1[[#This Row],[Round]]="PI",0,Table1[[#This Row],[Round]]-1)</f>
        <v>0</v>
      </c>
      <c r="S1332">
        <f>Table1[[#This Row],[LAW]]-Table1[[#This Row],[LEW]]</f>
        <v>-1.1180555555555556</v>
      </c>
    </row>
    <row r="1333" spans="1:19" x14ac:dyDescent="0.25">
      <c r="A1333" s="66">
        <v>38792</v>
      </c>
      <c r="B1333" s="51">
        <f>YEAR(Table1[[#This Row],[Date]])</f>
        <v>2006</v>
      </c>
      <c r="C1333" s="1">
        <v>1</v>
      </c>
      <c r="D1333" t="s">
        <v>439</v>
      </c>
      <c r="E1333" s="1">
        <v>11</v>
      </c>
      <c r="F1333" t="s">
        <v>273</v>
      </c>
      <c r="G1333" t="str">
        <f>VLOOKUP(Table1[[#This Row],[Winner]],Ranking!C:D,2,FALSE)</f>
        <v>Horz</v>
      </c>
      <c r="H1333" s="1">
        <v>82</v>
      </c>
      <c r="I1333" s="1">
        <v>6</v>
      </c>
      <c r="J1333" t="s">
        <v>58</v>
      </c>
      <c r="K1333" t="str">
        <f>VLOOKUP(Table1[[#This Row],[Loser]],Ranking!C:D,2,FALSE)</f>
        <v>B12</v>
      </c>
      <c r="L1333" s="1">
        <v>74</v>
      </c>
      <c r="N1333" s="1">
        <f>Table1[[#This Row],[Winning Score]]-Table1[[#This Row],[Losing Score]]</f>
        <v>8</v>
      </c>
      <c r="O1333" s="1">
        <f>Table1[[#This Row],[Losing Seed]]-Table1[[#This Row],[Winning Seed]]</f>
        <v>-5</v>
      </c>
      <c r="P1333" s="1" t="str">
        <f>IF(Table1[[#This Row],[SeD]]&lt;-2,Table1[[#This Row],[Winning Seed]]&amp; " over " &amp;Table1[[#This Row],[Losing Seed]],"")</f>
        <v>11 over 6</v>
      </c>
      <c r="Q1333">
        <f>VLOOKUP(Table1[[#This Row],[Losing Seed]],'Seed History'!$N$4:$O$19,2)</f>
        <v>1.0625</v>
      </c>
      <c r="R1333" s="1">
        <f>IF(Table1[[#This Row],[Round]]="PI",0,Table1[[#This Row],[Round]]-1)</f>
        <v>0</v>
      </c>
      <c r="S1333">
        <f>Table1[[#This Row],[LAW]]-Table1[[#This Row],[LEW]]</f>
        <v>-1.0625</v>
      </c>
    </row>
    <row r="1334" spans="1:19" x14ac:dyDescent="0.25">
      <c r="A1334" s="66">
        <v>38792</v>
      </c>
      <c r="B1334" s="51">
        <f>YEAR(Table1[[#This Row],[Date]])</f>
        <v>2006</v>
      </c>
      <c r="C1334" s="1">
        <v>1</v>
      </c>
      <c r="D1334" t="s">
        <v>38</v>
      </c>
      <c r="E1334" s="1">
        <v>10</v>
      </c>
      <c r="F1334" t="s">
        <v>113</v>
      </c>
      <c r="G1334" t="str">
        <f>VLOOKUP(Table1[[#This Row],[Winner]],Ranking!C:D,2,FALSE)</f>
        <v>SEC</v>
      </c>
      <c r="H1334" s="1">
        <v>90</v>
      </c>
      <c r="I1334" s="1">
        <v>7</v>
      </c>
      <c r="J1334" t="s">
        <v>262</v>
      </c>
      <c r="K1334" t="str">
        <f>VLOOKUP(Table1[[#This Row],[Loser]],Ranking!C:D,2,FALSE)</f>
        <v>BE</v>
      </c>
      <c r="L1334" s="1">
        <v>85</v>
      </c>
      <c r="N1334" s="1">
        <f>Table1[[#This Row],[Winning Score]]-Table1[[#This Row],[Losing Score]]</f>
        <v>5</v>
      </c>
      <c r="O1334" s="1">
        <f>Table1[[#This Row],[Losing Seed]]-Table1[[#This Row],[Winning Seed]]</f>
        <v>-3</v>
      </c>
      <c r="P1334" s="1" t="str">
        <f>IF(Table1[[#This Row],[SeD]]&lt;-2,Table1[[#This Row],[Winning Seed]]&amp; " over " &amp;Table1[[#This Row],[Losing Seed]],"")</f>
        <v>10 over 7</v>
      </c>
      <c r="Q1334">
        <f>VLOOKUP(Table1[[#This Row],[Losing Seed]],'Seed History'!$N$4:$O$19,2)</f>
        <v>0.90277777777777779</v>
      </c>
      <c r="R1334" s="1">
        <f>IF(Table1[[#This Row],[Round]]="PI",0,Table1[[#This Row],[Round]]-1)</f>
        <v>0</v>
      </c>
      <c r="S1334">
        <f>Table1[[#This Row],[LAW]]-Table1[[#This Row],[LEW]]</f>
        <v>-0.90277777777777779</v>
      </c>
    </row>
    <row r="1335" spans="1:19" x14ac:dyDescent="0.25">
      <c r="A1335" s="66">
        <v>38792</v>
      </c>
      <c r="B1335" s="51">
        <f>YEAR(Table1[[#This Row],[Date]])</f>
        <v>2006</v>
      </c>
      <c r="C1335" s="1">
        <v>1</v>
      </c>
      <c r="D1335" t="s">
        <v>49</v>
      </c>
      <c r="E1335" s="1">
        <v>2</v>
      </c>
      <c r="F1335" t="s">
        <v>374</v>
      </c>
      <c r="G1335" t="str">
        <f>VLOOKUP(Table1[[#This Row],[Winner]],Ranking!C:D,2,FALSE)</f>
        <v>SEC</v>
      </c>
      <c r="H1335" s="1">
        <v>63</v>
      </c>
      <c r="I1335" s="1">
        <v>15</v>
      </c>
      <c r="J1335" t="s">
        <v>419</v>
      </c>
      <c r="K1335" t="str">
        <f>VLOOKUP(Table1[[#This Row],[Loser]],Ranking!C:D,2,FALSE)</f>
        <v>BSth</v>
      </c>
      <c r="L1335" s="1">
        <v>61</v>
      </c>
      <c r="N1335" s="1">
        <f>Table1[[#This Row],[Winning Score]]-Table1[[#This Row],[Losing Score]]</f>
        <v>2</v>
      </c>
      <c r="O1335" s="1">
        <f>Table1[[#This Row],[Losing Seed]]-Table1[[#This Row],[Winning Seed]]</f>
        <v>13</v>
      </c>
      <c r="P1335" s="1" t="str">
        <f>IF(Table1[[#This Row],[SeD]]&lt;-2,Table1[[#This Row],[Winning Seed]]&amp; " over " &amp;Table1[[#This Row],[Losing Seed]],"")</f>
        <v/>
      </c>
      <c r="Q1335">
        <f>VLOOKUP(Table1[[#This Row],[Losing Seed]],'Seed History'!$N$4:$O$19,2)</f>
        <v>7.6388888888888895E-2</v>
      </c>
      <c r="R1335" s="1">
        <f>IF(Table1[[#This Row],[Round]]="PI",0,Table1[[#This Row],[Round]]-1)</f>
        <v>0</v>
      </c>
      <c r="S1335">
        <f>Table1[[#This Row],[LAW]]-Table1[[#This Row],[LEW]]</f>
        <v>-7.6388888888888895E-2</v>
      </c>
    </row>
    <row r="1336" spans="1:19" x14ac:dyDescent="0.25">
      <c r="A1336" s="66">
        <v>38792</v>
      </c>
      <c r="B1336" s="51">
        <f>YEAR(Table1[[#This Row],[Date]])</f>
        <v>2006</v>
      </c>
      <c r="C1336" s="1">
        <v>1</v>
      </c>
      <c r="D1336" t="s">
        <v>49</v>
      </c>
      <c r="E1336" s="1">
        <v>4</v>
      </c>
      <c r="F1336" t="s">
        <v>230</v>
      </c>
      <c r="G1336" t="str">
        <f>VLOOKUP(Table1[[#This Row],[Winner]],Ranking!C:D,2,FALSE)</f>
        <v>B10</v>
      </c>
      <c r="H1336" s="1">
        <v>78</v>
      </c>
      <c r="I1336" s="1">
        <v>13</v>
      </c>
      <c r="J1336" t="s">
        <v>109</v>
      </c>
      <c r="K1336" t="str">
        <f>VLOOKUP(Table1[[#This Row],[Loser]],Ranking!C:D,2,FALSE)</f>
        <v>MWC</v>
      </c>
      <c r="L1336" s="1">
        <v>69</v>
      </c>
      <c r="N1336" s="1">
        <f>Table1[[#This Row],[Winning Score]]-Table1[[#This Row],[Losing Score]]</f>
        <v>9</v>
      </c>
      <c r="O1336" s="1">
        <f>Table1[[#This Row],[Losing Seed]]-Table1[[#This Row],[Winning Seed]]</f>
        <v>9</v>
      </c>
      <c r="P1336" s="1" t="str">
        <f>IF(Table1[[#This Row],[SeD]]&lt;-2,Table1[[#This Row],[Winning Seed]]&amp; " over " &amp;Table1[[#This Row],[Losing Seed]],"")</f>
        <v/>
      </c>
      <c r="Q1336">
        <f>VLOOKUP(Table1[[#This Row],[Losing Seed]],'Seed History'!$N$4:$O$19,2)</f>
        <v>0.25694444444444442</v>
      </c>
      <c r="R1336" s="1">
        <f>IF(Table1[[#This Row],[Round]]="PI",0,Table1[[#This Row],[Round]]-1)</f>
        <v>0</v>
      </c>
      <c r="S1336">
        <f>Table1[[#This Row],[LAW]]-Table1[[#This Row],[LEW]]</f>
        <v>-0.25694444444444442</v>
      </c>
    </row>
    <row r="1337" spans="1:19" x14ac:dyDescent="0.25">
      <c r="A1337" s="66">
        <v>38792</v>
      </c>
      <c r="B1337" s="51">
        <f>YEAR(Table1[[#This Row],[Date]])</f>
        <v>2006</v>
      </c>
      <c r="C1337" s="1">
        <v>1</v>
      </c>
      <c r="D1337" t="s">
        <v>49</v>
      </c>
      <c r="E1337" s="1">
        <v>5</v>
      </c>
      <c r="F1337" t="s">
        <v>409</v>
      </c>
      <c r="G1337" t="str">
        <f>VLOOKUP(Table1[[#This Row],[Winner]],Ranking!C:D,2,FALSE)</f>
        <v>P12</v>
      </c>
      <c r="H1337" s="1">
        <v>75</v>
      </c>
      <c r="I1337" s="1">
        <v>12</v>
      </c>
      <c r="J1337" t="s">
        <v>400</v>
      </c>
      <c r="K1337" t="str">
        <f>VLOOKUP(Table1[[#This Row],[Loser]],Ranking!C:D,2,FALSE)</f>
        <v>MWC</v>
      </c>
      <c r="L1337" s="1">
        <v>61</v>
      </c>
      <c r="N1337" s="1">
        <f>Table1[[#This Row],[Winning Score]]-Table1[[#This Row],[Losing Score]]</f>
        <v>14</v>
      </c>
      <c r="O1337" s="1">
        <f>Table1[[#This Row],[Losing Seed]]-Table1[[#This Row],[Winning Seed]]</f>
        <v>7</v>
      </c>
      <c r="P1337" s="1" t="str">
        <f>IF(Table1[[#This Row],[SeD]]&lt;-2,Table1[[#This Row],[Winning Seed]]&amp; " over " &amp;Table1[[#This Row],[Losing Seed]],"")</f>
        <v/>
      </c>
      <c r="Q1337">
        <f>VLOOKUP(Table1[[#This Row],[Losing Seed]],'Seed History'!$N$4:$O$19,2)</f>
        <v>0.52083333333333337</v>
      </c>
      <c r="R1337" s="1">
        <f>IF(Table1[[#This Row],[Round]]="PI",0,Table1[[#This Row],[Round]]-1)</f>
        <v>0</v>
      </c>
      <c r="S1337">
        <f>Table1[[#This Row],[LAW]]-Table1[[#This Row],[LEW]]</f>
        <v>-0.52083333333333337</v>
      </c>
    </row>
    <row r="1338" spans="1:19" x14ac:dyDescent="0.25">
      <c r="A1338" s="66">
        <v>38792</v>
      </c>
      <c r="B1338" s="51">
        <f>YEAR(Table1[[#This Row],[Date]])</f>
        <v>2006</v>
      </c>
      <c r="C1338" s="1">
        <v>1</v>
      </c>
      <c r="D1338" t="s">
        <v>49</v>
      </c>
      <c r="E1338" s="1">
        <v>7</v>
      </c>
      <c r="F1338" t="s">
        <v>417</v>
      </c>
      <c r="G1338" t="str">
        <f>VLOOKUP(Table1[[#This Row],[Winner]],Ranking!C:D,2,FALSE)</f>
        <v>Amer</v>
      </c>
      <c r="H1338" s="1">
        <v>86</v>
      </c>
      <c r="I1338" s="1">
        <v>10</v>
      </c>
      <c r="J1338" t="s">
        <v>87</v>
      </c>
      <c r="K1338" t="str">
        <f>VLOOKUP(Table1[[#This Row],[Loser]],Ranking!C:D,2,FALSE)</f>
        <v>BE</v>
      </c>
      <c r="L1338" s="1">
        <v>66</v>
      </c>
      <c r="N1338" s="1">
        <f>Table1[[#This Row],[Winning Score]]-Table1[[#This Row],[Losing Score]]</f>
        <v>20</v>
      </c>
      <c r="O1338" s="1">
        <f>Table1[[#This Row],[Losing Seed]]-Table1[[#This Row],[Winning Seed]]</f>
        <v>3</v>
      </c>
      <c r="P1338" s="1" t="str">
        <f>IF(Table1[[#This Row],[SeD]]&lt;-2,Table1[[#This Row],[Winning Seed]]&amp; " over " &amp;Table1[[#This Row],[Losing Seed]],"")</f>
        <v/>
      </c>
      <c r="Q1338">
        <f>VLOOKUP(Table1[[#This Row],[Losing Seed]],'Seed History'!$N$4:$O$19,2)</f>
        <v>0.61805555555555558</v>
      </c>
      <c r="R1338" s="1">
        <f>IF(Table1[[#This Row],[Round]]="PI",0,Table1[[#This Row],[Round]]-1)</f>
        <v>0</v>
      </c>
      <c r="S1338">
        <f>Table1[[#This Row],[LAW]]-Table1[[#This Row],[LEW]]</f>
        <v>-0.61805555555555558</v>
      </c>
    </row>
    <row r="1339" spans="1:19" x14ac:dyDescent="0.25">
      <c r="A1339" s="66">
        <v>38792</v>
      </c>
      <c r="B1339" s="51">
        <f>YEAR(Table1[[#This Row],[Date]])</f>
        <v>2006</v>
      </c>
      <c r="C1339" s="1">
        <v>1</v>
      </c>
      <c r="D1339" t="s">
        <v>439</v>
      </c>
      <c r="E1339" s="1">
        <v>3</v>
      </c>
      <c r="F1339" t="s">
        <v>81</v>
      </c>
      <c r="G1339" t="str">
        <f>VLOOKUP(Table1[[#This Row],[Winner]],Ranking!C:D,2,FALSE)</f>
        <v>SEC</v>
      </c>
      <c r="H1339" s="1">
        <v>76</v>
      </c>
      <c r="I1339" s="1">
        <v>14</v>
      </c>
      <c r="J1339" t="s">
        <v>353</v>
      </c>
      <c r="K1339" t="str">
        <f>VLOOKUP(Table1[[#This Row],[Loser]],Ranking!C:D,2,FALSE)</f>
        <v>SB</v>
      </c>
      <c r="L1339" s="1">
        <v>50</v>
      </c>
      <c r="N1339" s="1">
        <f>Table1[[#This Row],[Winning Score]]-Table1[[#This Row],[Losing Score]]</f>
        <v>26</v>
      </c>
      <c r="O1339" s="1">
        <f>Table1[[#This Row],[Losing Seed]]-Table1[[#This Row],[Winning Seed]]</f>
        <v>11</v>
      </c>
      <c r="P1339" s="1" t="str">
        <f>IF(Table1[[#This Row],[SeD]]&lt;-2,Table1[[#This Row],[Winning Seed]]&amp; " over " &amp;Table1[[#This Row],[Losing Seed]],"")</f>
        <v/>
      </c>
      <c r="Q1339">
        <f>VLOOKUP(Table1[[#This Row],[Losing Seed]],'Seed History'!$N$4:$O$19,2)</f>
        <v>0.16666666666666666</v>
      </c>
      <c r="R1339" s="1">
        <f>IF(Table1[[#This Row],[Round]]="PI",0,Table1[[#This Row],[Round]]-1)</f>
        <v>0</v>
      </c>
      <c r="S1339">
        <f>Table1[[#This Row],[LAW]]-Table1[[#This Row],[LEW]]</f>
        <v>-0.16666666666666666</v>
      </c>
    </row>
    <row r="1340" spans="1:19" x14ac:dyDescent="0.25">
      <c r="A1340" s="66">
        <v>38792</v>
      </c>
      <c r="B1340" s="51">
        <f>YEAR(Table1[[#This Row],[Date]])</f>
        <v>2006</v>
      </c>
      <c r="C1340" s="1">
        <v>1</v>
      </c>
      <c r="D1340" t="s">
        <v>439</v>
      </c>
      <c r="E1340" s="1">
        <v>4</v>
      </c>
      <c r="F1340" t="s">
        <v>138</v>
      </c>
      <c r="G1340" t="str">
        <f>VLOOKUP(Table1[[#This Row],[Winner]],Ranking!C:D,2,FALSE)</f>
        <v>ACC</v>
      </c>
      <c r="H1340" s="1">
        <v>88</v>
      </c>
      <c r="I1340" s="1">
        <v>13</v>
      </c>
      <c r="J1340" t="s">
        <v>320</v>
      </c>
      <c r="K1340" t="str">
        <f>VLOOKUP(Table1[[#This Row],[Loser]],Ranking!C:D,2,FALSE)</f>
        <v>WCC</v>
      </c>
      <c r="L1340" s="1">
        <v>76</v>
      </c>
      <c r="M1340" s="1" t="s">
        <v>463</v>
      </c>
      <c r="N1340" s="1">
        <f>Table1[[#This Row],[Winning Score]]-Table1[[#This Row],[Losing Score]]</f>
        <v>12</v>
      </c>
      <c r="O1340" s="1">
        <f>Table1[[#This Row],[Losing Seed]]-Table1[[#This Row],[Winning Seed]]</f>
        <v>9</v>
      </c>
      <c r="P1340" s="1" t="str">
        <f>IF(Table1[[#This Row],[SeD]]&lt;-2,Table1[[#This Row],[Winning Seed]]&amp; " over " &amp;Table1[[#This Row],[Losing Seed]],"")</f>
        <v/>
      </c>
      <c r="Q1340">
        <f>VLOOKUP(Table1[[#This Row],[Losing Seed]],'Seed History'!$N$4:$O$19,2)</f>
        <v>0.25694444444444442</v>
      </c>
      <c r="R1340" s="1">
        <f>IF(Table1[[#This Row],[Round]]="PI",0,Table1[[#This Row],[Round]]-1)</f>
        <v>0</v>
      </c>
      <c r="S1340">
        <f>Table1[[#This Row],[LAW]]-Table1[[#This Row],[LEW]]</f>
        <v>-0.25694444444444442</v>
      </c>
    </row>
    <row r="1341" spans="1:19" x14ac:dyDescent="0.25">
      <c r="A1341" s="66">
        <v>38792</v>
      </c>
      <c r="B1341" s="51">
        <f>YEAR(Table1[[#This Row],[Date]])</f>
        <v>2006</v>
      </c>
      <c r="C1341" s="1">
        <v>1</v>
      </c>
      <c r="D1341" t="s">
        <v>63</v>
      </c>
      <c r="E1341" s="1">
        <v>1</v>
      </c>
      <c r="F1341" t="s">
        <v>64</v>
      </c>
      <c r="G1341" t="str">
        <f>VLOOKUP(Table1[[#This Row],[Winner]],Ranking!C:D,2,FALSE)</f>
        <v>ACC</v>
      </c>
      <c r="H1341" s="1">
        <v>70</v>
      </c>
      <c r="I1341" s="1">
        <v>16</v>
      </c>
      <c r="J1341" t="s">
        <v>361</v>
      </c>
      <c r="K1341" t="str">
        <f>VLOOKUP(Table1[[#This Row],[Loser]],Ranking!C:D,2,FALSE)</f>
        <v>SWAC</v>
      </c>
      <c r="L1341" s="1">
        <v>54</v>
      </c>
      <c r="N1341" s="1">
        <f>Table1[[#This Row],[Winning Score]]-Table1[[#This Row],[Losing Score]]</f>
        <v>16</v>
      </c>
      <c r="O1341" s="1">
        <f>Table1[[#This Row],[Losing Seed]]-Table1[[#This Row],[Winning Seed]]</f>
        <v>15</v>
      </c>
      <c r="P1341" s="1" t="str">
        <f>IF(Table1[[#This Row],[SeD]]&lt;-2,Table1[[#This Row],[Winning Seed]]&amp; " over " &amp;Table1[[#This Row],[Losing Seed]],"")</f>
        <v/>
      </c>
      <c r="Q1341">
        <f>VLOOKUP(Table1[[#This Row],[Losing Seed]],'Seed History'!$N$4:$O$19,2)</f>
        <v>6.9444444444444441E-3</v>
      </c>
      <c r="R1341" s="1">
        <f>IF(Table1[[#This Row],[Round]]="PI",0,Table1[[#This Row],[Round]]-1)</f>
        <v>0</v>
      </c>
      <c r="S1341">
        <f>Table1[[#This Row],[LAW]]-Table1[[#This Row],[LEW]]</f>
        <v>-6.9444444444444441E-3</v>
      </c>
    </row>
    <row r="1342" spans="1:19" x14ac:dyDescent="0.25">
      <c r="A1342" s="66">
        <v>38792</v>
      </c>
      <c r="B1342" s="51">
        <f>YEAR(Table1[[#This Row],[Date]])</f>
        <v>2006</v>
      </c>
      <c r="C1342" s="1">
        <v>1</v>
      </c>
      <c r="D1342" t="s">
        <v>63</v>
      </c>
      <c r="E1342" s="1">
        <v>4</v>
      </c>
      <c r="F1342" t="s">
        <v>52</v>
      </c>
      <c r="G1342" t="str">
        <f>VLOOKUP(Table1[[#This Row],[Winner]],Ranking!C:D,2,FALSE)</f>
        <v>SEC</v>
      </c>
      <c r="H1342" s="1">
        <v>80</v>
      </c>
      <c r="I1342" s="1">
        <v>13</v>
      </c>
      <c r="J1342" t="s">
        <v>236</v>
      </c>
      <c r="K1342" t="str">
        <f>VLOOKUP(Table1[[#This Row],[Loser]],Ranking!C:D,2,FALSE)</f>
        <v>MAAC</v>
      </c>
      <c r="L1342" s="1">
        <v>64</v>
      </c>
      <c r="N1342" s="1">
        <f>Table1[[#This Row],[Winning Score]]-Table1[[#This Row],[Losing Score]]</f>
        <v>16</v>
      </c>
      <c r="O1342" s="1">
        <f>Table1[[#This Row],[Losing Seed]]-Table1[[#This Row],[Winning Seed]]</f>
        <v>9</v>
      </c>
      <c r="P1342" s="1" t="str">
        <f>IF(Table1[[#This Row],[SeD]]&lt;-2,Table1[[#This Row],[Winning Seed]]&amp; " over " &amp;Table1[[#This Row],[Losing Seed]],"")</f>
        <v/>
      </c>
      <c r="Q1342">
        <f>VLOOKUP(Table1[[#This Row],[Losing Seed]],'Seed History'!$N$4:$O$19,2)</f>
        <v>0.25694444444444442</v>
      </c>
      <c r="R1342" s="1">
        <f>IF(Table1[[#This Row],[Round]]="PI",0,Table1[[#This Row],[Round]]-1)</f>
        <v>0</v>
      </c>
      <c r="S1342">
        <f>Table1[[#This Row],[LAW]]-Table1[[#This Row],[LEW]]</f>
        <v>-0.25694444444444442</v>
      </c>
    </row>
    <row r="1343" spans="1:19" x14ac:dyDescent="0.25">
      <c r="A1343" s="66">
        <v>38792</v>
      </c>
      <c r="B1343" s="51">
        <f>YEAR(Table1[[#This Row],[Date]])</f>
        <v>2006</v>
      </c>
      <c r="C1343" s="1">
        <v>1</v>
      </c>
      <c r="D1343" t="s">
        <v>63</v>
      </c>
      <c r="E1343" s="1">
        <v>8</v>
      </c>
      <c r="F1343" t="s">
        <v>213</v>
      </c>
      <c r="G1343" t="str">
        <f>VLOOKUP(Table1[[#This Row],[Winner]],Ranking!C:D,2,FALSE)</f>
        <v>A10</v>
      </c>
      <c r="H1343" s="1">
        <v>88</v>
      </c>
      <c r="I1343" s="1">
        <v>9</v>
      </c>
      <c r="J1343" t="s">
        <v>395</v>
      </c>
      <c r="K1343" t="str">
        <f>VLOOKUP(Table1[[#This Row],[Loser]],Ranking!C:D,2,FALSE)</f>
        <v>CAA</v>
      </c>
      <c r="L1343" s="1">
        <v>85</v>
      </c>
      <c r="M1343" s="1" t="s">
        <v>462</v>
      </c>
      <c r="N1343" s="1">
        <f>Table1[[#This Row],[Winning Score]]-Table1[[#This Row],[Losing Score]]</f>
        <v>3</v>
      </c>
      <c r="O1343" s="1">
        <f>Table1[[#This Row],[Losing Seed]]-Table1[[#This Row],[Winning Seed]]</f>
        <v>1</v>
      </c>
      <c r="P1343" s="1" t="str">
        <f>IF(Table1[[#This Row],[SeD]]&lt;-2,Table1[[#This Row],[Winning Seed]]&amp; " over " &amp;Table1[[#This Row],[Losing Seed]],"")</f>
        <v/>
      </c>
      <c r="Q1343">
        <f>VLOOKUP(Table1[[#This Row],[Losing Seed]],'Seed History'!$N$4:$O$19,2)</f>
        <v>0.59027777777777779</v>
      </c>
      <c r="R1343" s="1">
        <f>IF(Table1[[#This Row],[Round]]="PI",0,Table1[[#This Row],[Round]]-1)</f>
        <v>0</v>
      </c>
      <c r="S1343">
        <f>Table1[[#This Row],[LAW]]-Table1[[#This Row],[LEW]]</f>
        <v>-0.59027777777777779</v>
      </c>
    </row>
    <row r="1344" spans="1:19" x14ac:dyDescent="0.25">
      <c r="A1344" s="66">
        <v>38792</v>
      </c>
      <c r="B1344" s="51">
        <f>YEAR(Table1[[#This Row],[Date]])</f>
        <v>2006</v>
      </c>
      <c r="C1344" s="1">
        <v>1</v>
      </c>
      <c r="D1344" t="s">
        <v>38</v>
      </c>
      <c r="E1344" s="1">
        <v>2</v>
      </c>
      <c r="F1344" t="s">
        <v>67</v>
      </c>
      <c r="G1344" t="str">
        <f>VLOOKUP(Table1[[#This Row],[Winner]],Ranking!C:D,2,FALSE)</f>
        <v>P12</v>
      </c>
      <c r="H1344" s="1">
        <v>78</v>
      </c>
      <c r="I1344" s="1">
        <v>15</v>
      </c>
      <c r="J1344" t="s">
        <v>62</v>
      </c>
      <c r="K1344" t="str">
        <f>VLOOKUP(Table1[[#This Row],[Loser]],Ranking!C:D,2,FALSE)</f>
        <v>OVC</v>
      </c>
      <c r="L1344" s="1">
        <v>44</v>
      </c>
      <c r="N1344" s="1">
        <f>Table1[[#This Row],[Winning Score]]-Table1[[#This Row],[Losing Score]]</f>
        <v>34</v>
      </c>
      <c r="O1344" s="1">
        <f>Table1[[#This Row],[Losing Seed]]-Table1[[#This Row],[Winning Seed]]</f>
        <v>13</v>
      </c>
      <c r="P1344" s="1" t="str">
        <f>IF(Table1[[#This Row],[SeD]]&lt;-2,Table1[[#This Row],[Winning Seed]]&amp; " over " &amp;Table1[[#This Row],[Losing Seed]],"")</f>
        <v/>
      </c>
      <c r="Q1344">
        <f>VLOOKUP(Table1[[#This Row],[Losing Seed]],'Seed History'!$N$4:$O$19,2)</f>
        <v>7.6388888888888895E-2</v>
      </c>
      <c r="R1344" s="1">
        <f>IF(Table1[[#This Row],[Round]]="PI",0,Table1[[#This Row],[Round]]-1)</f>
        <v>0</v>
      </c>
      <c r="S1344">
        <f>Table1[[#This Row],[LAW]]-Table1[[#This Row],[LEW]]</f>
        <v>-7.6388888888888895E-2</v>
      </c>
    </row>
    <row r="1345" spans="1:19" x14ac:dyDescent="0.25">
      <c r="A1345" s="66">
        <v>38792</v>
      </c>
      <c r="B1345" s="51">
        <f>YEAR(Table1[[#This Row],[Date]])</f>
        <v>2006</v>
      </c>
      <c r="C1345" s="1">
        <v>1</v>
      </c>
      <c r="D1345" t="s">
        <v>38</v>
      </c>
      <c r="E1345" s="1">
        <v>3</v>
      </c>
      <c r="F1345" t="s">
        <v>71</v>
      </c>
      <c r="G1345" t="str">
        <f>VLOOKUP(Table1[[#This Row],[Winner]],Ranking!C:D,2,FALSE)</f>
        <v>WCC</v>
      </c>
      <c r="H1345" s="1">
        <v>79</v>
      </c>
      <c r="I1345" s="1">
        <v>14</v>
      </c>
      <c r="J1345" t="s">
        <v>44</v>
      </c>
      <c r="K1345" t="str">
        <f>VLOOKUP(Table1[[#This Row],[Loser]],Ranking!C:D,2,FALSE)</f>
        <v>BE</v>
      </c>
      <c r="L1345" s="1">
        <v>75</v>
      </c>
      <c r="N1345" s="1">
        <f>Table1[[#This Row],[Winning Score]]-Table1[[#This Row],[Losing Score]]</f>
        <v>4</v>
      </c>
      <c r="O1345" s="1">
        <f>Table1[[#This Row],[Losing Seed]]-Table1[[#This Row],[Winning Seed]]</f>
        <v>11</v>
      </c>
      <c r="P1345" s="1" t="str">
        <f>IF(Table1[[#This Row],[SeD]]&lt;-2,Table1[[#This Row],[Winning Seed]]&amp; " over " &amp;Table1[[#This Row],[Losing Seed]],"")</f>
        <v/>
      </c>
      <c r="Q1345">
        <f>VLOOKUP(Table1[[#This Row],[Losing Seed]],'Seed History'!$N$4:$O$19,2)</f>
        <v>0.16666666666666666</v>
      </c>
      <c r="R1345" s="1">
        <f>IF(Table1[[#This Row],[Round]]="PI",0,Table1[[#This Row],[Round]]-1)</f>
        <v>0</v>
      </c>
      <c r="S1345">
        <f>Table1[[#This Row],[LAW]]-Table1[[#This Row],[LEW]]</f>
        <v>-0.16666666666666666</v>
      </c>
    </row>
    <row r="1346" spans="1:19" x14ac:dyDescent="0.25">
      <c r="A1346" s="66">
        <v>38792</v>
      </c>
      <c r="B1346" s="51">
        <f>YEAR(Table1[[#This Row],[Date]])</f>
        <v>2006</v>
      </c>
      <c r="C1346" s="1">
        <v>1</v>
      </c>
      <c r="D1346" t="s">
        <v>38</v>
      </c>
      <c r="E1346" s="1">
        <v>6</v>
      </c>
      <c r="F1346" t="s">
        <v>36</v>
      </c>
      <c r="G1346" t="str">
        <f>VLOOKUP(Table1[[#This Row],[Winner]],Ranking!C:D,2,FALSE)</f>
        <v>B10</v>
      </c>
      <c r="H1346" s="1">
        <v>87</v>
      </c>
      <c r="I1346" s="1">
        <v>11</v>
      </c>
      <c r="J1346" t="s">
        <v>344</v>
      </c>
      <c r="K1346" t="str">
        <f>VLOOKUP(Table1[[#This Row],[Loser]],Ranking!C:D,2,FALSE)</f>
        <v>MWC</v>
      </c>
      <c r="L1346" s="1">
        <v>83</v>
      </c>
      <c r="N1346" s="1">
        <f>Table1[[#This Row],[Winning Score]]-Table1[[#This Row],[Losing Score]]</f>
        <v>4</v>
      </c>
      <c r="O1346" s="1">
        <f>Table1[[#This Row],[Losing Seed]]-Table1[[#This Row],[Winning Seed]]</f>
        <v>5</v>
      </c>
      <c r="P1346" s="1" t="str">
        <f>IF(Table1[[#This Row],[SeD]]&lt;-2,Table1[[#This Row],[Winning Seed]]&amp; " over " &amp;Table1[[#This Row],[Losing Seed]],"")</f>
        <v/>
      </c>
      <c r="Q1346">
        <f>VLOOKUP(Table1[[#This Row],[Losing Seed]],'Seed History'!$N$4:$O$19,2)</f>
        <v>0.63194444444444442</v>
      </c>
      <c r="R1346" s="1">
        <f>IF(Table1[[#This Row],[Round]]="PI",0,Table1[[#This Row],[Round]]-1)</f>
        <v>0</v>
      </c>
      <c r="S1346">
        <f>Table1[[#This Row],[LAW]]-Table1[[#This Row],[LEW]]</f>
        <v>-0.63194444444444442</v>
      </c>
    </row>
    <row r="1347" spans="1:19" x14ac:dyDescent="0.25">
      <c r="A1347" s="66">
        <v>38793</v>
      </c>
      <c r="B1347" s="51">
        <f>YEAR(Table1[[#This Row],[Date]])</f>
        <v>2006</v>
      </c>
      <c r="C1347" s="1">
        <v>1</v>
      </c>
      <c r="D1347" t="s">
        <v>63</v>
      </c>
      <c r="E1347" s="1">
        <v>14</v>
      </c>
      <c r="F1347" t="s">
        <v>312</v>
      </c>
      <c r="G1347" t="str">
        <f>VLOOKUP(Table1[[#This Row],[Winner]],Ranking!C:D,2,FALSE)</f>
        <v>Slnd</v>
      </c>
      <c r="H1347" s="1">
        <v>64</v>
      </c>
      <c r="I1347" s="1">
        <v>3</v>
      </c>
      <c r="J1347" t="s">
        <v>69</v>
      </c>
      <c r="K1347" t="str">
        <f>VLOOKUP(Table1[[#This Row],[Loser]],Ranking!C:D,2,FALSE)</f>
        <v>B10</v>
      </c>
      <c r="L1347" s="1">
        <v>63</v>
      </c>
      <c r="N1347" s="1">
        <f>Table1[[#This Row],[Winning Score]]-Table1[[#This Row],[Losing Score]]</f>
        <v>1</v>
      </c>
      <c r="O1347" s="1">
        <f>Table1[[#This Row],[Losing Seed]]-Table1[[#This Row],[Winning Seed]]</f>
        <v>-11</v>
      </c>
      <c r="P1347" s="1" t="str">
        <f>IF(Table1[[#This Row],[SeD]]&lt;-2,Table1[[#This Row],[Winning Seed]]&amp; " over " &amp;Table1[[#This Row],[Losing Seed]],"")</f>
        <v>14 over 3</v>
      </c>
      <c r="Q1347">
        <f>VLOOKUP(Table1[[#This Row],[Losing Seed]],'Seed History'!$N$4:$O$19,2)</f>
        <v>1.8472222222222223</v>
      </c>
      <c r="R1347" s="1">
        <f>IF(Table1[[#This Row],[Round]]="PI",0,Table1[[#This Row],[Round]]-1)</f>
        <v>0</v>
      </c>
      <c r="S1347">
        <f>Table1[[#This Row],[LAW]]-Table1[[#This Row],[LEW]]</f>
        <v>-1.8472222222222223</v>
      </c>
    </row>
    <row r="1348" spans="1:19" x14ac:dyDescent="0.25">
      <c r="A1348" s="66">
        <v>38793</v>
      </c>
      <c r="B1348" s="51">
        <f>YEAR(Table1[[#This Row],[Date]])</f>
        <v>2006</v>
      </c>
      <c r="C1348" s="1">
        <v>1</v>
      </c>
      <c r="D1348" t="s">
        <v>38</v>
      </c>
      <c r="E1348" s="1">
        <v>13</v>
      </c>
      <c r="F1348" t="s">
        <v>142</v>
      </c>
      <c r="G1348" t="str">
        <f>VLOOKUP(Table1[[#This Row],[Winner]],Ranking!C:D,2,FALSE)</f>
        <v>MVC</v>
      </c>
      <c r="H1348" s="1">
        <v>77</v>
      </c>
      <c r="I1348" s="1">
        <v>4</v>
      </c>
      <c r="J1348" t="s">
        <v>37</v>
      </c>
      <c r="K1348" t="str">
        <f>VLOOKUP(Table1[[#This Row],[Loser]],Ranking!C:D,2,FALSE)</f>
        <v>B12</v>
      </c>
      <c r="L1348" s="1">
        <v>73</v>
      </c>
      <c r="N1348" s="1">
        <f>Table1[[#This Row],[Winning Score]]-Table1[[#This Row],[Losing Score]]</f>
        <v>4</v>
      </c>
      <c r="O1348" s="1">
        <f>Table1[[#This Row],[Losing Seed]]-Table1[[#This Row],[Winning Seed]]</f>
        <v>-9</v>
      </c>
      <c r="P1348" s="1" t="str">
        <f>IF(Table1[[#This Row],[SeD]]&lt;-2,Table1[[#This Row],[Winning Seed]]&amp; " over " &amp;Table1[[#This Row],[Losing Seed]],"")</f>
        <v>13 over 4</v>
      </c>
      <c r="Q1348">
        <f>VLOOKUP(Table1[[#This Row],[Losing Seed]],'Seed History'!$N$4:$O$19,2)</f>
        <v>1.5208333333333333</v>
      </c>
      <c r="R1348" s="1">
        <f>IF(Table1[[#This Row],[Round]]="PI",0,Table1[[#This Row],[Round]]-1)</f>
        <v>0</v>
      </c>
      <c r="S1348">
        <f>Table1[[#This Row],[LAW]]-Table1[[#This Row],[LEW]]</f>
        <v>-1.5208333333333333</v>
      </c>
    </row>
    <row r="1349" spans="1:19" x14ac:dyDescent="0.25">
      <c r="A1349" s="66">
        <v>38793</v>
      </c>
      <c r="B1349" s="51">
        <f>YEAR(Table1[[#This Row],[Date]])</f>
        <v>2006</v>
      </c>
      <c r="C1349" s="1">
        <v>1</v>
      </c>
      <c r="D1349" t="s">
        <v>49</v>
      </c>
      <c r="E1349" s="1">
        <v>11</v>
      </c>
      <c r="F1349" t="s">
        <v>212</v>
      </c>
      <c r="G1349" t="str">
        <f>VLOOKUP(Table1[[#This Row],[Winner]],Ranking!C:D,2,FALSE)</f>
        <v>A10</v>
      </c>
      <c r="H1349" s="1">
        <v>75</v>
      </c>
      <c r="I1349" s="1">
        <v>6</v>
      </c>
      <c r="J1349" t="s">
        <v>271</v>
      </c>
      <c r="K1349" t="str">
        <f>VLOOKUP(Table1[[#This Row],[Loser]],Ranking!C:D,2,FALSE)</f>
        <v>B10</v>
      </c>
      <c r="L1349" s="1">
        <v>65</v>
      </c>
      <c r="N1349" s="1">
        <f>Table1[[#This Row],[Winning Score]]-Table1[[#This Row],[Losing Score]]</f>
        <v>10</v>
      </c>
      <c r="O1349" s="1">
        <f>Table1[[#This Row],[Losing Seed]]-Table1[[#This Row],[Winning Seed]]</f>
        <v>-5</v>
      </c>
      <c r="P1349" s="1" t="str">
        <f>IF(Table1[[#This Row],[SeD]]&lt;-2,Table1[[#This Row],[Winning Seed]]&amp; " over " &amp;Table1[[#This Row],[Losing Seed]],"")</f>
        <v>11 over 6</v>
      </c>
      <c r="Q1349">
        <f>VLOOKUP(Table1[[#This Row],[Losing Seed]],'Seed History'!$N$4:$O$19,2)</f>
        <v>1.0625</v>
      </c>
      <c r="R1349" s="1">
        <f>IF(Table1[[#This Row],[Round]]="PI",0,Table1[[#This Row],[Round]]-1)</f>
        <v>0</v>
      </c>
      <c r="S1349">
        <f>Table1[[#This Row],[LAW]]-Table1[[#This Row],[LEW]]</f>
        <v>-1.0625</v>
      </c>
    </row>
    <row r="1350" spans="1:19" x14ac:dyDescent="0.25">
      <c r="A1350" s="66">
        <v>38793</v>
      </c>
      <c r="B1350" s="51">
        <f>YEAR(Table1[[#This Row],[Date]])</f>
        <v>2006</v>
      </c>
      <c r="C1350" s="1">
        <v>1</v>
      </c>
      <c r="D1350" t="s">
        <v>63</v>
      </c>
      <c r="E1350" s="1">
        <v>10</v>
      </c>
      <c r="F1350" t="s">
        <v>301</v>
      </c>
      <c r="G1350" t="e">
        <f>VLOOKUP(Table1[[#This Row],[Winner]],Ranking!C:D,2,FALSE)</f>
        <v>#N/A</v>
      </c>
      <c r="H1350" s="1">
        <v>58</v>
      </c>
      <c r="I1350" s="1">
        <v>7</v>
      </c>
      <c r="J1350" t="s">
        <v>84</v>
      </c>
      <c r="K1350" t="str">
        <f>VLOOKUP(Table1[[#This Row],[Loser]],Ranking!C:D,2,FALSE)</f>
        <v>P12</v>
      </c>
      <c r="L1350" s="1">
        <v>52</v>
      </c>
      <c r="N1350" s="1">
        <f>Table1[[#This Row],[Winning Score]]-Table1[[#This Row],[Losing Score]]</f>
        <v>6</v>
      </c>
      <c r="O1350" s="1">
        <f>Table1[[#This Row],[Losing Seed]]-Table1[[#This Row],[Winning Seed]]</f>
        <v>-3</v>
      </c>
      <c r="P1350" s="1" t="str">
        <f>IF(Table1[[#This Row],[SeD]]&lt;-2,Table1[[#This Row],[Winning Seed]]&amp; " over " &amp;Table1[[#This Row],[Losing Seed]],"")</f>
        <v>10 over 7</v>
      </c>
      <c r="Q1350">
        <f>VLOOKUP(Table1[[#This Row],[Losing Seed]],'Seed History'!$N$4:$O$19,2)</f>
        <v>0.90277777777777779</v>
      </c>
      <c r="R1350" s="1">
        <f>IF(Table1[[#This Row],[Round]]="PI",0,Table1[[#This Row],[Round]]-1)</f>
        <v>0</v>
      </c>
      <c r="S1350">
        <f>Table1[[#This Row],[LAW]]-Table1[[#This Row],[LEW]]</f>
        <v>-0.90277777777777779</v>
      </c>
    </row>
    <row r="1351" spans="1:19" x14ac:dyDescent="0.25">
      <c r="A1351" s="66">
        <v>38793</v>
      </c>
      <c r="B1351" s="51">
        <f>YEAR(Table1[[#This Row],[Date]])</f>
        <v>2006</v>
      </c>
      <c r="C1351" s="1">
        <v>1</v>
      </c>
      <c r="D1351" t="s">
        <v>49</v>
      </c>
      <c r="E1351" s="1">
        <v>1</v>
      </c>
      <c r="F1351" t="s">
        <v>80</v>
      </c>
      <c r="G1351" t="str">
        <f>VLOOKUP(Table1[[#This Row],[Winner]],Ranking!C:D,2,FALSE)</f>
        <v>BE</v>
      </c>
      <c r="H1351" s="1">
        <v>72</v>
      </c>
      <c r="I1351" s="1">
        <v>16</v>
      </c>
      <c r="J1351" t="s">
        <v>59</v>
      </c>
      <c r="K1351" t="str">
        <f>VLOOKUP(Table1[[#This Row],[Loser]],Ranking!C:D,2,FALSE)</f>
        <v>AE</v>
      </c>
      <c r="L1351" s="1">
        <v>59</v>
      </c>
      <c r="N1351" s="1">
        <f>Table1[[#This Row],[Winning Score]]-Table1[[#This Row],[Losing Score]]</f>
        <v>13</v>
      </c>
      <c r="O1351" s="1">
        <f>Table1[[#This Row],[Losing Seed]]-Table1[[#This Row],[Winning Seed]]</f>
        <v>15</v>
      </c>
      <c r="P1351" s="1" t="str">
        <f>IF(Table1[[#This Row],[SeD]]&lt;-2,Table1[[#This Row],[Winning Seed]]&amp; " over " &amp;Table1[[#This Row],[Losing Seed]],"")</f>
        <v/>
      </c>
      <c r="Q1351">
        <f>VLOOKUP(Table1[[#This Row],[Losing Seed]],'Seed History'!$N$4:$O$19,2)</f>
        <v>6.9444444444444441E-3</v>
      </c>
      <c r="R1351" s="1">
        <f>IF(Table1[[#This Row],[Round]]="PI",0,Table1[[#This Row],[Round]]-1)</f>
        <v>0</v>
      </c>
      <c r="S1351">
        <f>Table1[[#This Row],[LAW]]-Table1[[#This Row],[LEW]]</f>
        <v>-6.9444444444444441E-3</v>
      </c>
    </row>
    <row r="1352" spans="1:19" x14ac:dyDescent="0.25">
      <c r="A1352" s="66">
        <v>38793</v>
      </c>
      <c r="B1352" s="51">
        <f>YEAR(Table1[[#This Row],[Date]])</f>
        <v>2006</v>
      </c>
      <c r="C1352" s="1">
        <v>1</v>
      </c>
      <c r="D1352" t="s">
        <v>49</v>
      </c>
      <c r="E1352" s="1">
        <v>3</v>
      </c>
      <c r="F1352" t="s">
        <v>298</v>
      </c>
      <c r="G1352" t="str">
        <f>VLOOKUP(Table1[[#This Row],[Winner]],Ranking!C:D,2,FALSE)</f>
        <v>ACC</v>
      </c>
      <c r="H1352" s="1">
        <v>69</v>
      </c>
      <c r="I1352" s="1">
        <v>14</v>
      </c>
      <c r="J1352" t="s">
        <v>285</v>
      </c>
      <c r="K1352" t="str">
        <f>VLOOKUP(Table1[[#This Row],[Loser]],Ranking!C:D,2,FALSE)</f>
        <v>OVC</v>
      </c>
      <c r="L1352" s="1">
        <v>65</v>
      </c>
      <c r="N1352" s="1">
        <f>Table1[[#This Row],[Winning Score]]-Table1[[#This Row],[Losing Score]]</f>
        <v>4</v>
      </c>
      <c r="O1352" s="1">
        <f>Table1[[#This Row],[Losing Seed]]-Table1[[#This Row],[Winning Seed]]</f>
        <v>11</v>
      </c>
      <c r="P1352" s="1" t="str">
        <f>IF(Table1[[#This Row],[SeD]]&lt;-2,Table1[[#This Row],[Winning Seed]]&amp; " over " &amp;Table1[[#This Row],[Losing Seed]],"")</f>
        <v/>
      </c>
      <c r="Q1352">
        <f>VLOOKUP(Table1[[#This Row],[Losing Seed]],'Seed History'!$N$4:$O$19,2)</f>
        <v>0.16666666666666666</v>
      </c>
      <c r="R1352" s="1">
        <f>IF(Table1[[#This Row],[Round]]="PI",0,Table1[[#This Row],[Round]]-1)</f>
        <v>0</v>
      </c>
      <c r="S1352">
        <f>Table1[[#This Row],[LAW]]-Table1[[#This Row],[LEW]]</f>
        <v>-0.16666666666666666</v>
      </c>
    </row>
    <row r="1353" spans="1:19" x14ac:dyDescent="0.25">
      <c r="A1353" s="66">
        <v>38793</v>
      </c>
      <c r="B1353" s="51">
        <f>YEAR(Table1[[#This Row],[Date]])</f>
        <v>2006</v>
      </c>
      <c r="C1353" s="1">
        <v>1</v>
      </c>
      <c r="D1353" t="s">
        <v>49</v>
      </c>
      <c r="E1353" s="1">
        <v>8</v>
      </c>
      <c r="F1353" t="s">
        <v>26</v>
      </c>
      <c r="G1353" t="str">
        <f>VLOOKUP(Table1[[#This Row],[Winner]],Ranking!C:D,2,FALSE)</f>
        <v>SEC</v>
      </c>
      <c r="H1353" s="1">
        <v>69</v>
      </c>
      <c r="I1353" s="1">
        <v>9</v>
      </c>
      <c r="J1353" t="s">
        <v>68</v>
      </c>
      <c r="K1353" t="str">
        <f>VLOOKUP(Table1[[#This Row],[Loser]],Ranking!C:D,2,FALSE)</f>
        <v>CUSA</v>
      </c>
      <c r="L1353" s="1">
        <v>64</v>
      </c>
      <c r="N1353" s="1">
        <f>Table1[[#This Row],[Winning Score]]-Table1[[#This Row],[Losing Score]]</f>
        <v>5</v>
      </c>
      <c r="O1353" s="1">
        <f>Table1[[#This Row],[Losing Seed]]-Table1[[#This Row],[Winning Seed]]</f>
        <v>1</v>
      </c>
      <c r="P1353" s="1" t="str">
        <f>IF(Table1[[#This Row],[SeD]]&lt;-2,Table1[[#This Row],[Winning Seed]]&amp; " over " &amp;Table1[[#This Row],[Losing Seed]],"")</f>
        <v/>
      </c>
      <c r="Q1353">
        <f>VLOOKUP(Table1[[#This Row],[Losing Seed]],'Seed History'!$N$4:$O$19,2)</f>
        <v>0.59027777777777779</v>
      </c>
      <c r="R1353" s="1">
        <f>IF(Table1[[#This Row],[Round]]="PI",0,Table1[[#This Row],[Round]]-1)</f>
        <v>0</v>
      </c>
      <c r="S1353">
        <f>Table1[[#This Row],[LAW]]-Table1[[#This Row],[LEW]]</f>
        <v>-0.59027777777777779</v>
      </c>
    </row>
    <row r="1354" spans="1:19" x14ac:dyDescent="0.25">
      <c r="A1354" s="66">
        <v>38793</v>
      </c>
      <c r="B1354" s="51">
        <f>YEAR(Table1[[#This Row],[Date]])</f>
        <v>2006</v>
      </c>
      <c r="C1354" s="1">
        <v>1</v>
      </c>
      <c r="D1354" t="s">
        <v>439</v>
      </c>
      <c r="E1354" s="1">
        <v>1</v>
      </c>
      <c r="F1354" t="s">
        <v>50</v>
      </c>
      <c r="G1354" t="str">
        <f>VLOOKUP(Table1[[#This Row],[Winner]],Ranking!C:D,2,FALSE)</f>
        <v>BE</v>
      </c>
      <c r="H1354" s="1">
        <v>58</v>
      </c>
      <c r="I1354" s="1">
        <v>16</v>
      </c>
      <c r="J1354" t="s">
        <v>279</v>
      </c>
      <c r="K1354" t="str">
        <f>VLOOKUP(Table1[[#This Row],[Loser]],Ranking!C:D,2,FALSE)</f>
        <v>MAAC</v>
      </c>
      <c r="L1354" s="1">
        <v>45</v>
      </c>
      <c r="N1354" s="1">
        <f>Table1[[#This Row],[Winning Score]]-Table1[[#This Row],[Losing Score]]</f>
        <v>13</v>
      </c>
      <c r="O1354" s="1">
        <f>Table1[[#This Row],[Losing Seed]]-Table1[[#This Row],[Winning Seed]]</f>
        <v>15</v>
      </c>
      <c r="P1354" s="1" t="str">
        <f>IF(Table1[[#This Row],[SeD]]&lt;-2,Table1[[#This Row],[Winning Seed]]&amp; " over " &amp;Table1[[#This Row],[Losing Seed]],"")</f>
        <v/>
      </c>
      <c r="Q1354">
        <f>VLOOKUP(Table1[[#This Row],[Losing Seed]],'Seed History'!$N$4:$O$19,2)</f>
        <v>6.9444444444444441E-3</v>
      </c>
      <c r="R1354" s="1">
        <f>IF(Table1[[#This Row],[Round]]="PI",0,Table1[[#This Row],[Round]]-1)</f>
        <v>0</v>
      </c>
      <c r="S1354">
        <f>Table1[[#This Row],[LAW]]-Table1[[#This Row],[LEW]]</f>
        <v>-6.9444444444444441E-3</v>
      </c>
    </row>
    <row r="1355" spans="1:19" x14ac:dyDescent="0.25">
      <c r="A1355" s="66">
        <v>38793</v>
      </c>
      <c r="B1355" s="51">
        <f>YEAR(Table1[[#This Row],[Date]])</f>
        <v>2006</v>
      </c>
      <c r="C1355" s="1">
        <v>1</v>
      </c>
      <c r="D1355" t="s">
        <v>439</v>
      </c>
      <c r="E1355" s="1">
        <v>2</v>
      </c>
      <c r="F1355" t="s">
        <v>315</v>
      </c>
      <c r="G1355" t="str">
        <f>VLOOKUP(Table1[[#This Row],[Winner]],Ranking!C:D,2,FALSE)</f>
        <v>B10</v>
      </c>
      <c r="H1355" s="1">
        <v>70</v>
      </c>
      <c r="I1355" s="1">
        <v>15</v>
      </c>
      <c r="J1355" t="s">
        <v>70</v>
      </c>
      <c r="K1355" t="str">
        <f>VLOOKUP(Table1[[#This Row],[Loser]],Ranking!C:D,2,FALSE)</f>
        <v>A10</v>
      </c>
      <c r="L1355" s="1">
        <v>62</v>
      </c>
      <c r="N1355" s="1">
        <f>Table1[[#This Row],[Winning Score]]-Table1[[#This Row],[Losing Score]]</f>
        <v>8</v>
      </c>
      <c r="O1355" s="1">
        <f>Table1[[#This Row],[Losing Seed]]-Table1[[#This Row],[Winning Seed]]</f>
        <v>13</v>
      </c>
      <c r="P1355" s="1" t="str">
        <f>IF(Table1[[#This Row],[SeD]]&lt;-2,Table1[[#This Row],[Winning Seed]]&amp; " over " &amp;Table1[[#This Row],[Losing Seed]],"")</f>
        <v/>
      </c>
      <c r="Q1355">
        <f>VLOOKUP(Table1[[#This Row],[Losing Seed]],'Seed History'!$N$4:$O$19,2)</f>
        <v>7.6388888888888895E-2</v>
      </c>
      <c r="R1355" s="1">
        <f>IF(Table1[[#This Row],[Round]]="PI",0,Table1[[#This Row],[Round]]-1)</f>
        <v>0</v>
      </c>
      <c r="S1355">
        <f>Table1[[#This Row],[LAW]]-Table1[[#This Row],[LEW]]</f>
        <v>-7.6388888888888895E-2</v>
      </c>
    </row>
    <row r="1356" spans="1:19" x14ac:dyDescent="0.25">
      <c r="A1356" s="66">
        <v>38793</v>
      </c>
      <c r="B1356" s="51">
        <f>YEAR(Table1[[#This Row],[Date]])</f>
        <v>2006</v>
      </c>
      <c r="C1356" s="1">
        <v>1</v>
      </c>
      <c r="D1356" t="s">
        <v>439</v>
      </c>
      <c r="E1356" s="1">
        <v>7</v>
      </c>
      <c r="F1356" t="s">
        <v>66</v>
      </c>
      <c r="G1356" t="str">
        <f>VLOOKUP(Table1[[#This Row],[Winner]],Ranking!C:D,2,FALSE)</f>
        <v>BE</v>
      </c>
      <c r="H1356" s="1">
        <v>54</v>
      </c>
      <c r="I1356" s="1">
        <v>10</v>
      </c>
      <c r="J1356" t="s">
        <v>310</v>
      </c>
      <c r="K1356" t="str">
        <f>VLOOKUP(Table1[[#This Row],[Loser]],Ranking!C:D,2,FALSE)</f>
        <v>MVC</v>
      </c>
      <c r="L1356" s="1">
        <v>49</v>
      </c>
      <c r="N1356" s="1">
        <f>Table1[[#This Row],[Winning Score]]-Table1[[#This Row],[Losing Score]]</f>
        <v>5</v>
      </c>
      <c r="O1356" s="1">
        <f>Table1[[#This Row],[Losing Seed]]-Table1[[#This Row],[Winning Seed]]</f>
        <v>3</v>
      </c>
      <c r="P1356" s="1" t="str">
        <f>IF(Table1[[#This Row],[SeD]]&lt;-2,Table1[[#This Row],[Winning Seed]]&amp; " over " &amp;Table1[[#This Row],[Losing Seed]],"")</f>
        <v/>
      </c>
      <c r="Q1356">
        <f>VLOOKUP(Table1[[#This Row],[Losing Seed]],'Seed History'!$N$4:$O$19,2)</f>
        <v>0.61805555555555558</v>
      </c>
      <c r="R1356" s="1">
        <f>IF(Table1[[#This Row],[Round]]="PI",0,Table1[[#This Row],[Round]]-1)</f>
        <v>0</v>
      </c>
      <c r="S1356">
        <f>Table1[[#This Row],[LAW]]-Table1[[#This Row],[LEW]]</f>
        <v>-0.61805555555555558</v>
      </c>
    </row>
    <row r="1357" spans="1:19" x14ac:dyDescent="0.25">
      <c r="A1357" s="66">
        <v>38793</v>
      </c>
      <c r="B1357" s="51">
        <f>YEAR(Table1[[#This Row],[Date]])</f>
        <v>2006</v>
      </c>
      <c r="C1357" s="1">
        <v>1</v>
      </c>
      <c r="D1357" t="s">
        <v>439</v>
      </c>
      <c r="E1357" s="1">
        <v>8</v>
      </c>
      <c r="F1357" t="s">
        <v>48</v>
      </c>
      <c r="G1357" t="str">
        <f>VLOOKUP(Table1[[#This Row],[Winner]],Ranking!C:D,2,FALSE)</f>
        <v>P12</v>
      </c>
      <c r="H1357" s="1">
        <v>94</v>
      </c>
      <c r="I1357" s="1">
        <v>9</v>
      </c>
      <c r="J1357" t="s">
        <v>39</v>
      </c>
      <c r="K1357" t="str">
        <f>VLOOKUP(Table1[[#This Row],[Loser]],Ranking!C:D,2,FALSE)</f>
        <v>B10</v>
      </c>
      <c r="L1357" s="1">
        <v>75</v>
      </c>
      <c r="N1357" s="1">
        <f>Table1[[#This Row],[Winning Score]]-Table1[[#This Row],[Losing Score]]</f>
        <v>19</v>
      </c>
      <c r="O1357" s="1">
        <f>Table1[[#This Row],[Losing Seed]]-Table1[[#This Row],[Winning Seed]]</f>
        <v>1</v>
      </c>
      <c r="P1357" s="1" t="str">
        <f>IF(Table1[[#This Row],[SeD]]&lt;-2,Table1[[#This Row],[Winning Seed]]&amp; " over " &amp;Table1[[#This Row],[Losing Seed]],"")</f>
        <v/>
      </c>
      <c r="Q1357">
        <f>VLOOKUP(Table1[[#This Row],[Losing Seed]],'Seed History'!$N$4:$O$19,2)</f>
        <v>0.59027777777777779</v>
      </c>
      <c r="R1357" s="1">
        <f>IF(Table1[[#This Row],[Round]]="PI",0,Table1[[#This Row],[Round]]-1)</f>
        <v>0</v>
      </c>
      <c r="S1357">
        <f>Table1[[#This Row],[LAW]]-Table1[[#This Row],[LEW]]</f>
        <v>-0.59027777777777779</v>
      </c>
    </row>
    <row r="1358" spans="1:19" x14ac:dyDescent="0.25">
      <c r="A1358" s="66">
        <v>38793</v>
      </c>
      <c r="B1358" s="51">
        <f>YEAR(Table1[[#This Row],[Date]])</f>
        <v>2006</v>
      </c>
      <c r="C1358" s="1">
        <v>1</v>
      </c>
      <c r="D1358" t="s">
        <v>63</v>
      </c>
      <c r="E1358" s="1">
        <v>2</v>
      </c>
      <c r="F1358" t="s">
        <v>34</v>
      </c>
      <c r="G1358" t="str">
        <f>VLOOKUP(Table1[[#This Row],[Winner]],Ranking!C:D,2,FALSE)</f>
        <v>B12</v>
      </c>
      <c r="H1358" s="1">
        <v>60</v>
      </c>
      <c r="I1358" s="1">
        <v>15</v>
      </c>
      <c r="J1358" t="s">
        <v>321</v>
      </c>
      <c r="K1358" t="str">
        <f>VLOOKUP(Table1[[#This Row],[Loser]],Ranking!C:D,2,FALSE)</f>
        <v>Ivy</v>
      </c>
      <c r="L1358" s="1">
        <v>52</v>
      </c>
      <c r="N1358" s="1">
        <f>Table1[[#This Row],[Winning Score]]-Table1[[#This Row],[Losing Score]]</f>
        <v>8</v>
      </c>
      <c r="O1358" s="1">
        <f>Table1[[#This Row],[Losing Seed]]-Table1[[#This Row],[Winning Seed]]</f>
        <v>13</v>
      </c>
      <c r="P1358" s="1" t="str">
        <f>IF(Table1[[#This Row],[SeD]]&lt;-2,Table1[[#This Row],[Winning Seed]]&amp; " over " &amp;Table1[[#This Row],[Losing Seed]],"")</f>
        <v/>
      </c>
      <c r="Q1358">
        <f>VLOOKUP(Table1[[#This Row],[Losing Seed]],'Seed History'!$N$4:$O$19,2)</f>
        <v>7.6388888888888895E-2</v>
      </c>
      <c r="R1358" s="1">
        <f>IF(Table1[[#This Row],[Round]]="PI",0,Table1[[#This Row],[Round]]-1)</f>
        <v>0</v>
      </c>
      <c r="S1358">
        <f>Table1[[#This Row],[LAW]]-Table1[[#This Row],[LEW]]</f>
        <v>-7.6388888888888895E-2</v>
      </c>
    </row>
    <row r="1359" spans="1:19" x14ac:dyDescent="0.25">
      <c r="A1359" s="66">
        <v>38793</v>
      </c>
      <c r="B1359" s="51">
        <f>YEAR(Table1[[#This Row],[Date]])</f>
        <v>2006</v>
      </c>
      <c r="C1359" s="1">
        <v>1</v>
      </c>
      <c r="D1359" t="s">
        <v>63</v>
      </c>
      <c r="E1359" s="1">
        <v>6</v>
      </c>
      <c r="F1359" t="s">
        <v>412</v>
      </c>
      <c r="G1359" t="str">
        <f>VLOOKUP(Table1[[#This Row],[Winner]],Ranking!C:D,2,FALSE)</f>
        <v>B12</v>
      </c>
      <c r="H1359" s="1">
        <v>64</v>
      </c>
      <c r="I1359" s="1">
        <v>11</v>
      </c>
      <c r="J1359" t="s">
        <v>362</v>
      </c>
      <c r="K1359" t="str">
        <f>VLOOKUP(Table1[[#This Row],[Loser]],Ranking!C:D,2,FALSE)</f>
        <v>MVC</v>
      </c>
      <c r="L1359" s="1">
        <v>46</v>
      </c>
      <c r="N1359" s="1">
        <f>Table1[[#This Row],[Winning Score]]-Table1[[#This Row],[Losing Score]]</f>
        <v>18</v>
      </c>
      <c r="O1359" s="1">
        <f>Table1[[#This Row],[Losing Seed]]-Table1[[#This Row],[Winning Seed]]</f>
        <v>5</v>
      </c>
      <c r="P1359" s="1" t="str">
        <f>IF(Table1[[#This Row],[SeD]]&lt;-2,Table1[[#This Row],[Winning Seed]]&amp; " over " &amp;Table1[[#This Row],[Losing Seed]],"")</f>
        <v/>
      </c>
      <c r="Q1359">
        <f>VLOOKUP(Table1[[#This Row],[Losing Seed]],'Seed History'!$N$4:$O$19,2)</f>
        <v>0.63194444444444442</v>
      </c>
      <c r="R1359" s="1">
        <f>IF(Table1[[#This Row],[Round]]="PI",0,Table1[[#This Row],[Round]]-1)</f>
        <v>0</v>
      </c>
      <c r="S1359">
        <f>Table1[[#This Row],[LAW]]-Table1[[#This Row],[LEW]]</f>
        <v>-0.63194444444444442</v>
      </c>
    </row>
    <row r="1360" spans="1:19" x14ac:dyDescent="0.25">
      <c r="A1360" s="66">
        <v>38793</v>
      </c>
      <c r="B1360" s="51">
        <f>YEAR(Table1[[#This Row],[Date]])</f>
        <v>2006</v>
      </c>
      <c r="C1360" s="1">
        <v>1</v>
      </c>
      <c r="D1360" t="s">
        <v>38</v>
      </c>
      <c r="E1360" s="1">
        <v>1</v>
      </c>
      <c r="F1360" t="s">
        <v>267</v>
      </c>
      <c r="G1360" t="str">
        <f>VLOOKUP(Table1[[#This Row],[Winner]],Ranking!C:D,2,FALSE)</f>
        <v>Amer</v>
      </c>
      <c r="H1360" s="1">
        <v>94</v>
      </c>
      <c r="I1360" s="1">
        <v>16</v>
      </c>
      <c r="J1360" t="s">
        <v>318</v>
      </c>
      <c r="K1360" t="str">
        <f>VLOOKUP(Table1[[#This Row],[Loser]],Ranking!C:D,2,FALSE)</f>
        <v>Sum</v>
      </c>
      <c r="L1360" s="1">
        <v>78</v>
      </c>
      <c r="N1360" s="1">
        <f>Table1[[#This Row],[Winning Score]]-Table1[[#This Row],[Losing Score]]</f>
        <v>16</v>
      </c>
      <c r="O1360" s="1">
        <f>Table1[[#This Row],[Losing Seed]]-Table1[[#This Row],[Winning Seed]]</f>
        <v>15</v>
      </c>
      <c r="P1360" s="1" t="str">
        <f>IF(Table1[[#This Row],[SeD]]&lt;-2,Table1[[#This Row],[Winning Seed]]&amp; " over " &amp;Table1[[#This Row],[Losing Seed]],"")</f>
        <v/>
      </c>
      <c r="Q1360">
        <f>VLOOKUP(Table1[[#This Row],[Losing Seed]],'Seed History'!$N$4:$O$19,2)</f>
        <v>6.9444444444444441E-3</v>
      </c>
      <c r="R1360" s="1">
        <f>IF(Table1[[#This Row],[Round]]="PI",0,Table1[[#This Row],[Round]]-1)</f>
        <v>0</v>
      </c>
      <c r="S1360">
        <f>Table1[[#This Row],[LAW]]-Table1[[#This Row],[LEW]]</f>
        <v>-6.9444444444444441E-3</v>
      </c>
    </row>
    <row r="1361" spans="1:19" x14ac:dyDescent="0.25">
      <c r="A1361" s="66">
        <v>38793</v>
      </c>
      <c r="B1361" s="51">
        <f>YEAR(Table1[[#This Row],[Date]])</f>
        <v>2006</v>
      </c>
      <c r="C1361" s="1">
        <v>1</v>
      </c>
      <c r="D1361" t="s">
        <v>38</v>
      </c>
      <c r="E1361" s="1">
        <v>5</v>
      </c>
      <c r="F1361" t="s">
        <v>83</v>
      </c>
      <c r="G1361" t="str">
        <f>VLOOKUP(Table1[[#This Row],[Winner]],Ranking!C:D,2,FALSE)</f>
        <v>ACC</v>
      </c>
      <c r="H1361" s="1">
        <v>79</v>
      </c>
      <c r="I1361" s="1">
        <v>12</v>
      </c>
      <c r="J1361" t="s">
        <v>245</v>
      </c>
      <c r="K1361" t="str">
        <f>VLOOKUP(Table1[[#This Row],[Loser]],Ranking!C:D,2,FALSE)</f>
        <v>MAC</v>
      </c>
      <c r="L1361" s="1">
        <v>64</v>
      </c>
      <c r="N1361" s="1">
        <f>Table1[[#This Row],[Winning Score]]-Table1[[#This Row],[Losing Score]]</f>
        <v>15</v>
      </c>
      <c r="O1361" s="1">
        <f>Table1[[#This Row],[Losing Seed]]-Table1[[#This Row],[Winning Seed]]</f>
        <v>7</v>
      </c>
      <c r="P1361" s="1" t="str">
        <f>IF(Table1[[#This Row],[SeD]]&lt;-2,Table1[[#This Row],[Winning Seed]]&amp; " over " &amp;Table1[[#This Row],[Losing Seed]],"")</f>
        <v/>
      </c>
      <c r="Q1361">
        <f>VLOOKUP(Table1[[#This Row],[Losing Seed]],'Seed History'!$N$4:$O$19,2)</f>
        <v>0.52083333333333337</v>
      </c>
      <c r="R1361" s="1">
        <f>IF(Table1[[#This Row],[Round]]="PI",0,Table1[[#This Row],[Round]]-1)</f>
        <v>0</v>
      </c>
      <c r="S1361">
        <f>Table1[[#This Row],[LAW]]-Table1[[#This Row],[LEW]]</f>
        <v>-0.52083333333333337</v>
      </c>
    </row>
    <row r="1362" spans="1:19" x14ac:dyDescent="0.25">
      <c r="A1362" s="66">
        <v>38793</v>
      </c>
      <c r="B1362" s="51">
        <f>YEAR(Table1[[#This Row],[Date]])</f>
        <v>2006</v>
      </c>
      <c r="C1362" s="1">
        <v>1</v>
      </c>
      <c r="D1362" t="s">
        <v>38</v>
      </c>
      <c r="E1362" s="1">
        <v>9</v>
      </c>
      <c r="F1362" t="s">
        <v>148</v>
      </c>
      <c r="G1362" t="str">
        <f>VLOOKUP(Table1[[#This Row],[Winner]],Ranking!C:D,2,FALSE)</f>
        <v>Pat</v>
      </c>
      <c r="H1362" s="1">
        <v>59</v>
      </c>
      <c r="I1362" s="1">
        <v>8</v>
      </c>
      <c r="J1362" t="s">
        <v>41</v>
      </c>
      <c r="K1362" t="str">
        <f>VLOOKUP(Table1[[#This Row],[Loser]],Ranking!C:D,2,FALSE)</f>
        <v>SEC</v>
      </c>
      <c r="L1362" s="1">
        <v>55</v>
      </c>
      <c r="N1362" s="1">
        <f>Table1[[#This Row],[Winning Score]]-Table1[[#This Row],[Losing Score]]</f>
        <v>4</v>
      </c>
      <c r="O1362" s="1">
        <f>Table1[[#This Row],[Losing Seed]]-Table1[[#This Row],[Winning Seed]]</f>
        <v>-1</v>
      </c>
      <c r="P1362" s="1" t="str">
        <f>IF(Table1[[#This Row],[SeD]]&lt;-2,Table1[[#This Row],[Winning Seed]]&amp; " over " &amp;Table1[[#This Row],[Losing Seed]],"")</f>
        <v/>
      </c>
      <c r="Q1362">
        <f>VLOOKUP(Table1[[#This Row],[Losing Seed]],'Seed History'!$N$4:$O$19,2)</f>
        <v>0.70833333333333337</v>
      </c>
      <c r="R1362" s="1">
        <f>IF(Table1[[#This Row],[Round]]="PI",0,Table1[[#This Row],[Round]]-1)</f>
        <v>0</v>
      </c>
      <c r="S1362">
        <f>Table1[[#This Row],[LAW]]-Table1[[#This Row],[LEW]]</f>
        <v>-0.70833333333333337</v>
      </c>
    </row>
    <row r="1363" spans="1:19" x14ac:dyDescent="0.25">
      <c r="A1363" s="66">
        <v>38794</v>
      </c>
      <c r="B1363" s="51">
        <f>YEAR(Table1[[#This Row],[Date]])</f>
        <v>2006</v>
      </c>
      <c r="C1363" s="1">
        <v>2</v>
      </c>
      <c r="D1363" t="s">
        <v>49</v>
      </c>
      <c r="E1363" s="1">
        <v>7</v>
      </c>
      <c r="F1363" t="s">
        <v>417</v>
      </c>
      <c r="G1363" t="str">
        <f>VLOOKUP(Table1[[#This Row],[Winner]],Ranking!C:D,2,FALSE)</f>
        <v>Amer</v>
      </c>
      <c r="H1363" s="1">
        <v>80</v>
      </c>
      <c r="I1363" s="1">
        <v>2</v>
      </c>
      <c r="J1363" t="s">
        <v>374</v>
      </c>
      <c r="K1363" t="str">
        <f>VLOOKUP(Table1[[#This Row],[Loser]],Ranking!C:D,2,FALSE)</f>
        <v>SEC</v>
      </c>
      <c r="L1363" s="1">
        <v>73</v>
      </c>
      <c r="N1363" s="1">
        <f>Table1[[#This Row],[Winning Score]]-Table1[[#This Row],[Losing Score]]</f>
        <v>7</v>
      </c>
      <c r="O1363" s="1">
        <f>Table1[[#This Row],[Losing Seed]]-Table1[[#This Row],[Winning Seed]]</f>
        <v>-5</v>
      </c>
      <c r="P1363" s="1" t="str">
        <f>IF(Table1[[#This Row],[SeD]]&lt;-2,Table1[[#This Row],[Winning Seed]]&amp; " over " &amp;Table1[[#This Row],[Losing Seed]],"")</f>
        <v>7 over 2</v>
      </c>
      <c r="Q1363">
        <f>VLOOKUP(Table1[[#This Row],[Losing Seed]],'Seed History'!$N$4:$O$19,2)</f>
        <v>2.3472222222222223</v>
      </c>
      <c r="R1363" s="1">
        <f>IF(Table1[[#This Row],[Round]]="PI",0,Table1[[#This Row],[Round]]-1)</f>
        <v>1</v>
      </c>
      <c r="S1363">
        <f>Table1[[#This Row],[LAW]]-Table1[[#This Row],[LEW]]</f>
        <v>-1.3472222222222223</v>
      </c>
    </row>
    <row r="1364" spans="1:19" x14ac:dyDescent="0.25">
      <c r="A1364" s="66">
        <v>38794</v>
      </c>
      <c r="B1364" s="51">
        <f>YEAR(Table1[[#This Row],[Date]])</f>
        <v>2006</v>
      </c>
      <c r="C1364" s="1">
        <v>2</v>
      </c>
      <c r="D1364" t="s">
        <v>439</v>
      </c>
      <c r="E1364" s="1">
        <v>3</v>
      </c>
      <c r="F1364" t="s">
        <v>81</v>
      </c>
      <c r="G1364" t="str">
        <f>VLOOKUP(Table1[[#This Row],[Winner]],Ranking!C:D,2,FALSE)</f>
        <v>SEC</v>
      </c>
      <c r="H1364" s="1">
        <v>82</v>
      </c>
      <c r="I1364" s="1">
        <v>11</v>
      </c>
      <c r="J1364" t="s">
        <v>273</v>
      </c>
      <c r="K1364" t="str">
        <f>VLOOKUP(Table1[[#This Row],[Loser]],Ranking!C:D,2,FALSE)</f>
        <v>Horz</v>
      </c>
      <c r="L1364" s="1">
        <v>60</v>
      </c>
      <c r="N1364" s="1">
        <f>Table1[[#This Row],[Winning Score]]-Table1[[#This Row],[Losing Score]]</f>
        <v>22</v>
      </c>
      <c r="O1364" s="1">
        <f>Table1[[#This Row],[Losing Seed]]-Table1[[#This Row],[Winning Seed]]</f>
        <v>8</v>
      </c>
      <c r="P1364" s="1" t="str">
        <f>IF(Table1[[#This Row],[SeD]]&lt;-2,Table1[[#This Row],[Winning Seed]]&amp; " over " &amp;Table1[[#This Row],[Losing Seed]],"")</f>
        <v/>
      </c>
      <c r="Q1364">
        <f>VLOOKUP(Table1[[#This Row],[Losing Seed]],'Seed History'!$N$4:$O$19,2)</f>
        <v>0.63194444444444442</v>
      </c>
      <c r="R1364" s="1">
        <f>IF(Table1[[#This Row],[Round]]="PI",0,Table1[[#This Row],[Round]]-1)</f>
        <v>1</v>
      </c>
      <c r="S1364">
        <f>Table1[[#This Row],[LAW]]-Table1[[#This Row],[LEW]]</f>
        <v>0.36805555555555558</v>
      </c>
    </row>
    <row r="1365" spans="1:19" x14ac:dyDescent="0.25">
      <c r="A1365" s="66">
        <v>38794</v>
      </c>
      <c r="B1365" s="51">
        <f>YEAR(Table1[[#This Row],[Date]])</f>
        <v>2006</v>
      </c>
      <c r="C1365" s="1">
        <v>2</v>
      </c>
      <c r="D1365" t="s">
        <v>439</v>
      </c>
      <c r="E1365" s="1">
        <v>4</v>
      </c>
      <c r="F1365" t="s">
        <v>138</v>
      </c>
      <c r="G1365" t="str">
        <f>VLOOKUP(Table1[[#This Row],[Winner]],Ranking!C:D,2,FALSE)</f>
        <v>ACC</v>
      </c>
      <c r="H1365" s="1">
        <v>69</v>
      </c>
      <c r="I1365" s="1">
        <v>12</v>
      </c>
      <c r="J1365" t="s">
        <v>280</v>
      </c>
      <c r="K1365" t="str">
        <f>VLOOKUP(Table1[[#This Row],[Loser]],Ranking!C:D,2,FALSE)</f>
        <v>BSky</v>
      </c>
      <c r="L1365" s="1">
        <v>56</v>
      </c>
      <c r="N1365" s="1">
        <f>Table1[[#This Row],[Winning Score]]-Table1[[#This Row],[Losing Score]]</f>
        <v>13</v>
      </c>
      <c r="O1365" s="1">
        <f>Table1[[#This Row],[Losing Seed]]-Table1[[#This Row],[Winning Seed]]</f>
        <v>8</v>
      </c>
      <c r="P1365" s="1" t="str">
        <f>IF(Table1[[#This Row],[SeD]]&lt;-2,Table1[[#This Row],[Winning Seed]]&amp; " over " &amp;Table1[[#This Row],[Losing Seed]],"")</f>
        <v/>
      </c>
      <c r="Q1365">
        <f>VLOOKUP(Table1[[#This Row],[Losing Seed]],'Seed History'!$N$4:$O$19,2)</f>
        <v>0.52083333333333337</v>
      </c>
      <c r="R1365" s="1">
        <f>IF(Table1[[#This Row],[Round]]="PI",0,Table1[[#This Row],[Round]]-1)</f>
        <v>1</v>
      </c>
      <c r="S1365">
        <f>Table1[[#This Row],[LAW]]-Table1[[#This Row],[LEW]]</f>
        <v>0.47916666666666663</v>
      </c>
    </row>
    <row r="1366" spans="1:19" x14ac:dyDescent="0.25">
      <c r="A1366" s="66">
        <v>38794</v>
      </c>
      <c r="B1366" s="51">
        <f>YEAR(Table1[[#This Row],[Date]])</f>
        <v>2006</v>
      </c>
      <c r="C1366" s="1">
        <v>2</v>
      </c>
      <c r="D1366" t="s">
        <v>63</v>
      </c>
      <c r="E1366" s="1">
        <v>1</v>
      </c>
      <c r="F1366" t="s">
        <v>64</v>
      </c>
      <c r="G1366" t="str">
        <f>VLOOKUP(Table1[[#This Row],[Winner]],Ranking!C:D,2,FALSE)</f>
        <v>ACC</v>
      </c>
      <c r="H1366" s="1">
        <v>74</v>
      </c>
      <c r="I1366" s="1">
        <v>8</v>
      </c>
      <c r="J1366" t="s">
        <v>213</v>
      </c>
      <c r="K1366" t="str">
        <f>VLOOKUP(Table1[[#This Row],[Loser]],Ranking!C:D,2,FALSE)</f>
        <v>A10</v>
      </c>
      <c r="L1366" s="1">
        <v>61</v>
      </c>
      <c r="N1366" s="1">
        <f>Table1[[#This Row],[Winning Score]]-Table1[[#This Row],[Losing Score]]</f>
        <v>13</v>
      </c>
      <c r="O1366" s="1">
        <f>Table1[[#This Row],[Losing Seed]]-Table1[[#This Row],[Winning Seed]]</f>
        <v>7</v>
      </c>
      <c r="P1366" s="1" t="str">
        <f>IF(Table1[[#This Row],[SeD]]&lt;-2,Table1[[#This Row],[Winning Seed]]&amp; " over " &amp;Table1[[#This Row],[Losing Seed]],"")</f>
        <v/>
      </c>
      <c r="Q1366">
        <f>VLOOKUP(Table1[[#This Row],[Losing Seed]],'Seed History'!$N$4:$O$19,2)</f>
        <v>0.70833333333333337</v>
      </c>
      <c r="R1366" s="1">
        <f>IF(Table1[[#This Row],[Round]]="PI",0,Table1[[#This Row],[Round]]-1)</f>
        <v>1</v>
      </c>
      <c r="S1366">
        <f>Table1[[#This Row],[LAW]]-Table1[[#This Row],[LEW]]</f>
        <v>0.29166666666666663</v>
      </c>
    </row>
    <row r="1367" spans="1:19" x14ac:dyDescent="0.25">
      <c r="A1367" s="66">
        <v>38794</v>
      </c>
      <c r="B1367" s="51">
        <f>YEAR(Table1[[#This Row],[Date]])</f>
        <v>2006</v>
      </c>
      <c r="C1367" s="1">
        <v>2</v>
      </c>
      <c r="D1367" t="s">
        <v>63</v>
      </c>
      <c r="E1367" s="1">
        <v>4</v>
      </c>
      <c r="F1367" t="s">
        <v>52</v>
      </c>
      <c r="G1367" t="str">
        <f>VLOOKUP(Table1[[#This Row],[Winner]],Ranking!C:D,2,FALSE)</f>
        <v>SEC</v>
      </c>
      <c r="H1367" s="1">
        <v>58</v>
      </c>
      <c r="I1367" s="1">
        <v>12</v>
      </c>
      <c r="J1367" t="s">
        <v>79</v>
      </c>
      <c r="K1367" t="str">
        <f>VLOOKUP(Table1[[#This Row],[Loser]],Ranking!C:D,2,FALSE)</f>
        <v>SEC</v>
      </c>
      <c r="L1367" s="1">
        <v>57</v>
      </c>
      <c r="N1367" s="1">
        <f>Table1[[#This Row],[Winning Score]]-Table1[[#This Row],[Losing Score]]</f>
        <v>1</v>
      </c>
      <c r="O1367" s="1">
        <f>Table1[[#This Row],[Losing Seed]]-Table1[[#This Row],[Winning Seed]]</f>
        <v>8</v>
      </c>
      <c r="P1367" s="1" t="str">
        <f>IF(Table1[[#This Row],[SeD]]&lt;-2,Table1[[#This Row],[Winning Seed]]&amp; " over " &amp;Table1[[#This Row],[Losing Seed]],"")</f>
        <v/>
      </c>
      <c r="Q1367">
        <f>VLOOKUP(Table1[[#This Row],[Losing Seed]],'Seed History'!$N$4:$O$19,2)</f>
        <v>0.52083333333333337</v>
      </c>
      <c r="R1367" s="1">
        <f>IF(Table1[[#This Row],[Round]]="PI",0,Table1[[#This Row],[Round]]-1)</f>
        <v>1</v>
      </c>
      <c r="S1367">
        <f>Table1[[#This Row],[LAW]]-Table1[[#This Row],[LEW]]</f>
        <v>0.47916666666666663</v>
      </c>
    </row>
    <row r="1368" spans="1:19" x14ac:dyDescent="0.25">
      <c r="A1368" s="66">
        <v>38794</v>
      </c>
      <c r="B1368" s="51">
        <f>YEAR(Table1[[#This Row],[Date]])</f>
        <v>2006</v>
      </c>
      <c r="C1368" s="1">
        <v>2</v>
      </c>
      <c r="D1368" t="s">
        <v>38</v>
      </c>
      <c r="E1368" s="1">
        <v>2</v>
      </c>
      <c r="F1368" t="s">
        <v>67</v>
      </c>
      <c r="G1368" t="str">
        <f>VLOOKUP(Table1[[#This Row],[Winner]],Ranking!C:D,2,FALSE)</f>
        <v>P12</v>
      </c>
      <c r="H1368" s="1">
        <v>62</v>
      </c>
      <c r="I1368" s="1">
        <v>10</v>
      </c>
      <c r="J1368" t="s">
        <v>113</v>
      </c>
      <c r="K1368" t="str">
        <f>VLOOKUP(Table1[[#This Row],[Loser]],Ranking!C:D,2,FALSE)</f>
        <v>SEC</v>
      </c>
      <c r="L1368" s="1">
        <v>59</v>
      </c>
      <c r="N1368" s="1">
        <f>Table1[[#This Row],[Winning Score]]-Table1[[#This Row],[Losing Score]]</f>
        <v>3</v>
      </c>
      <c r="O1368" s="1">
        <f>Table1[[#This Row],[Losing Seed]]-Table1[[#This Row],[Winning Seed]]</f>
        <v>8</v>
      </c>
      <c r="P1368" s="1" t="str">
        <f>IF(Table1[[#This Row],[SeD]]&lt;-2,Table1[[#This Row],[Winning Seed]]&amp; " over " &amp;Table1[[#This Row],[Losing Seed]],"")</f>
        <v/>
      </c>
      <c r="Q1368">
        <f>VLOOKUP(Table1[[#This Row],[Losing Seed]],'Seed History'!$N$4:$O$19,2)</f>
        <v>0.61805555555555558</v>
      </c>
      <c r="R1368" s="1">
        <f>IF(Table1[[#This Row],[Round]]="PI",0,Table1[[#This Row],[Round]]-1)</f>
        <v>1</v>
      </c>
      <c r="S1368">
        <f>Table1[[#This Row],[LAW]]-Table1[[#This Row],[LEW]]</f>
        <v>0.38194444444444442</v>
      </c>
    </row>
    <row r="1369" spans="1:19" x14ac:dyDescent="0.25">
      <c r="A1369" s="66">
        <v>38794</v>
      </c>
      <c r="B1369" s="51">
        <f>YEAR(Table1[[#This Row],[Date]])</f>
        <v>2006</v>
      </c>
      <c r="C1369" s="1">
        <v>2</v>
      </c>
      <c r="D1369" t="s">
        <v>38</v>
      </c>
      <c r="E1369" s="1">
        <v>3</v>
      </c>
      <c r="F1369" t="s">
        <v>71</v>
      </c>
      <c r="G1369" t="str">
        <f>VLOOKUP(Table1[[#This Row],[Winner]],Ranking!C:D,2,FALSE)</f>
        <v>WCC</v>
      </c>
      <c r="H1369" s="1">
        <v>90</v>
      </c>
      <c r="I1369" s="1">
        <v>6</v>
      </c>
      <c r="J1369" t="s">
        <v>36</v>
      </c>
      <c r="K1369" t="str">
        <f>VLOOKUP(Table1[[#This Row],[Loser]],Ranking!C:D,2,FALSE)</f>
        <v>B10</v>
      </c>
      <c r="L1369" s="1">
        <v>80</v>
      </c>
      <c r="N1369" s="1">
        <f>Table1[[#This Row],[Winning Score]]-Table1[[#This Row],[Losing Score]]</f>
        <v>10</v>
      </c>
      <c r="O1369" s="1">
        <f>Table1[[#This Row],[Losing Seed]]-Table1[[#This Row],[Winning Seed]]</f>
        <v>3</v>
      </c>
      <c r="P1369" s="1" t="str">
        <f>IF(Table1[[#This Row],[SeD]]&lt;-2,Table1[[#This Row],[Winning Seed]]&amp; " over " &amp;Table1[[#This Row],[Losing Seed]],"")</f>
        <v/>
      </c>
      <c r="Q1369">
        <f>VLOOKUP(Table1[[#This Row],[Losing Seed]],'Seed History'!$N$4:$O$19,2)</f>
        <v>1.0625</v>
      </c>
      <c r="R1369" s="1">
        <f>IF(Table1[[#This Row],[Round]]="PI",0,Table1[[#This Row],[Round]]-1)</f>
        <v>1</v>
      </c>
      <c r="S1369">
        <f>Table1[[#This Row],[LAW]]-Table1[[#This Row],[LEW]]</f>
        <v>-6.25E-2</v>
      </c>
    </row>
    <row r="1370" spans="1:19" x14ac:dyDescent="0.25">
      <c r="A1370" s="66">
        <v>38794</v>
      </c>
      <c r="B1370" s="51">
        <f>YEAR(Table1[[#This Row],[Date]])</f>
        <v>2006</v>
      </c>
      <c r="C1370" s="1">
        <v>2</v>
      </c>
      <c r="D1370" t="s">
        <v>49</v>
      </c>
      <c r="E1370" s="1">
        <v>5</v>
      </c>
      <c r="F1370" t="s">
        <v>409</v>
      </c>
      <c r="G1370" t="str">
        <f>VLOOKUP(Table1[[#This Row],[Winner]],Ranking!C:D,2,FALSE)</f>
        <v>P12</v>
      </c>
      <c r="H1370" s="1">
        <v>67</v>
      </c>
      <c r="I1370" s="1">
        <v>4</v>
      </c>
      <c r="J1370" t="s">
        <v>230</v>
      </c>
      <c r="K1370" t="str">
        <f>VLOOKUP(Table1[[#This Row],[Loser]],Ranking!C:D,2,FALSE)</f>
        <v>B10</v>
      </c>
      <c r="L1370" s="1">
        <v>64</v>
      </c>
      <c r="N1370" s="1">
        <f>Table1[[#This Row],[Winning Score]]-Table1[[#This Row],[Losing Score]]</f>
        <v>3</v>
      </c>
      <c r="O1370" s="1">
        <f>Table1[[#This Row],[Losing Seed]]-Table1[[#This Row],[Winning Seed]]</f>
        <v>-1</v>
      </c>
      <c r="P1370" s="1" t="str">
        <f>IF(Table1[[#This Row],[SeD]]&lt;-2,Table1[[#This Row],[Winning Seed]]&amp; " over " &amp;Table1[[#This Row],[Losing Seed]],"")</f>
        <v/>
      </c>
      <c r="Q1370">
        <f>VLOOKUP(Table1[[#This Row],[Losing Seed]],'Seed History'!$N$4:$O$19,2)</f>
        <v>1.5208333333333333</v>
      </c>
      <c r="R1370" s="1">
        <f>IF(Table1[[#This Row],[Round]]="PI",0,Table1[[#This Row],[Round]]-1)</f>
        <v>1</v>
      </c>
      <c r="S1370">
        <f>Table1[[#This Row],[LAW]]-Table1[[#This Row],[LEW]]</f>
        <v>-0.52083333333333326</v>
      </c>
    </row>
    <row r="1371" spans="1:19" x14ac:dyDescent="0.25">
      <c r="A1371" s="66">
        <v>38795</v>
      </c>
      <c r="B1371" s="51">
        <f>YEAR(Table1[[#This Row],[Date]])</f>
        <v>2006</v>
      </c>
      <c r="C1371" s="1">
        <v>2</v>
      </c>
      <c r="D1371" t="s">
        <v>49</v>
      </c>
      <c r="E1371" s="1">
        <v>11</v>
      </c>
      <c r="F1371" t="s">
        <v>212</v>
      </c>
      <c r="G1371" t="str">
        <f>VLOOKUP(Table1[[#This Row],[Winner]],Ranking!C:D,2,FALSE)</f>
        <v>A10</v>
      </c>
      <c r="H1371" s="1">
        <v>65</v>
      </c>
      <c r="I1371" s="1">
        <v>3</v>
      </c>
      <c r="J1371" t="s">
        <v>298</v>
      </c>
      <c r="K1371" t="str">
        <f>VLOOKUP(Table1[[#This Row],[Loser]],Ranking!C:D,2,FALSE)</f>
        <v>ACC</v>
      </c>
      <c r="L1371" s="1">
        <v>60</v>
      </c>
      <c r="N1371" s="1">
        <f>Table1[[#This Row],[Winning Score]]-Table1[[#This Row],[Losing Score]]</f>
        <v>5</v>
      </c>
      <c r="O1371" s="1">
        <f>Table1[[#This Row],[Losing Seed]]-Table1[[#This Row],[Winning Seed]]</f>
        <v>-8</v>
      </c>
      <c r="P1371" s="1" t="str">
        <f>IF(Table1[[#This Row],[SeD]]&lt;-2,Table1[[#This Row],[Winning Seed]]&amp; " over " &amp;Table1[[#This Row],[Losing Seed]],"")</f>
        <v>11 over 3</v>
      </c>
      <c r="Q1371">
        <f>VLOOKUP(Table1[[#This Row],[Losing Seed]],'Seed History'!$N$4:$O$19,2)</f>
        <v>1.8472222222222223</v>
      </c>
      <c r="R1371" s="1">
        <f>IF(Table1[[#This Row],[Round]]="PI",0,Table1[[#This Row],[Round]]-1)</f>
        <v>1</v>
      </c>
      <c r="S1371">
        <f>Table1[[#This Row],[LAW]]-Table1[[#This Row],[LEW]]</f>
        <v>-0.84722222222222232</v>
      </c>
    </row>
    <row r="1372" spans="1:19" x14ac:dyDescent="0.25">
      <c r="A1372" s="66">
        <v>38795</v>
      </c>
      <c r="B1372" s="51">
        <f>YEAR(Table1[[#This Row],[Date]])</f>
        <v>2006</v>
      </c>
      <c r="C1372" s="1">
        <v>2</v>
      </c>
      <c r="D1372" t="s">
        <v>38</v>
      </c>
      <c r="E1372" s="1">
        <v>13</v>
      </c>
      <c r="F1372" t="s">
        <v>142</v>
      </c>
      <c r="G1372" t="str">
        <f>VLOOKUP(Table1[[#This Row],[Winner]],Ranking!C:D,2,FALSE)</f>
        <v>MVC</v>
      </c>
      <c r="H1372" s="1">
        <v>72</v>
      </c>
      <c r="I1372" s="1">
        <v>5</v>
      </c>
      <c r="J1372" t="s">
        <v>83</v>
      </c>
      <c r="K1372" t="str">
        <f>VLOOKUP(Table1[[#This Row],[Loser]],Ranking!C:D,2,FALSE)</f>
        <v>ACC</v>
      </c>
      <c r="L1372" s="1">
        <v>66</v>
      </c>
      <c r="N1372" s="1">
        <f>Table1[[#This Row],[Winning Score]]-Table1[[#This Row],[Losing Score]]</f>
        <v>6</v>
      </c>
      <c r="O1372" s="1">
        <f>Table1[[#This Row],[Losing Seed]]-Table1[[#This Row],[Winning Seed]]</f>
        <v>-8</v>
      </c>
      <c r="P1372" s="1" t="str">
        <f>IF(Table1[[#This Row],[SeD]]&lt;-2,Table1[[#This Row],[Winning Seed]]&amp; " over " &amp;Table1[[#This Row],[Losing Seed]],"")</f>
        <v>13 over 5</v>
      </c>
      <c r="Q1372">
        <f>VLOOKUP(Table1[[#This Row],[Losing Seed]],'Seed History'!$N$4:$O$19,2)</f>
        <v>1.1180555555555556</v>
      </c>
      <c r="R1372" s="1">
        <f>IF(Table1[[#This Row],[Round]]="PI",0,Table1[[#This Row],[Round]]-1)</f>
        <v>1</v>
      </c>
      <c r="S1372">
        <f>Table1[[#This Row],[LAW]]-Table1[[#This Row],[LEW]]</f>
        <v>-0.11805555555555558</v>
      </c>
    </row>
    <row r="1373" spans="1:19" x14ac:dyDescent="0.25">
      <c r="A1373" s="66">
        <v>38795</v>
      </c>
      <c r="B1373" s="51">
        <f>YEAR(Table1[[#This Row],[Date]])</f>
        <v>2006</v>
      </c>
      <c r="C1373" s="1">
        <v>2</v>
      </c>
      <c r="D1373" t="s">
        <v>439</v>
      </c>
      <c r="E1373" s="1">
        <v>7</v>
      </c>
      <c r="F1373" t="s">
        <v>66</v>
      </c>
      <c r="G1373" t="str">
        <f>VLOOKUP(Table1[[#This Row],[Winner]],Ranking!C:D,2,FALSE)</f>
        <v>BE</v>
      </c>
      <c r="H1373" s="1">
        <v>70</v>
      </c>
      <c r="I1373" s="1">
        <v>2</v>
      </c>
      <c r="J1373" t="s">
        <v>315</v>
      </c>
      <c r="K1373" t="str">
        <f>VLOOKUP(Table1[[#This Row],[Loser]],Ranking!C:D,2,FALSE)</f>
        <v>B10</v>
      </c>
      <c r="L1373" s="1">
        <v>52</v>
      </c>
      <c r="N1373" s="1">
        <f>Table1[[#This Row],[Winning Score]]-Table1[[#This Row],[Losing Score]]</f>
        <v>18</v>
      </c>
      <c r="O1373" s="1">
        <f>Table1[[#This Row],[Losing Seed]]-Table1[[#This Row],[Winning Seed]]</f>
        <v>-5</v>
      </c>
      <c r="P1373" s="1" t="str">
        <f>IF(Table1[[#This Row],[SeD]]&lt;-2,Table1[[#This Row],[Winning Seed]]&amp; " over " &amp;Table1[[#This Row],[Losing Seed]],"")</f>
        <v>7 over 2</v>
      </c>
      <c r="Q1373">
        <f>VLOOKUP(Table1[[#This Row],[Losing Seed]],'Seed History'!$N$4:$O$19,2)</f>
        <v>2.3472222222222223</v>
      </c>
      <c r="R1373" s="1">
        <f>IF(Table1[[#This Row],[Round]]="PI",0,Table1[[#This Row],[Round]]-1)</f>
        <v>1</v>
      </c>
      <c r="S1373">
        <f>Table1[[#This Row],[LAW]]-Table1[[#This Row],[LEW]]</f>
        <v>-1.3472222222222223</v>
      </c>
    </row>
    <row r="1374" spans="1:19" x14ac:dyDescent="0.25">
      <c r="A1374" s="66">
        <v>38795</v>
      </c>
      <c r="B1374" s="51">
        <f>YEAR(Table1[[#This Row],[Date]])</f>
        <v>2006</v>
      </c>
      <c r="C1374" s="1">
        <v>2</v>
      </c>
      <c r="D1374" t="s">
        <v>49</v>
      </c>
      <c r="E1374" s="1">
        <v>1</v>
      </c>
      <c r="F1374" t="s">
        <v>80</v>
      </c>
      <c r="G1374" t="str">
        <f>VLOOKUP(Table1[[#This Row],[Winner]],Ranking!C:D,2,FALSE)</f>
        <v>BE</v>
      </c>
      <c r="H1374" s="1">
        <v>87</v>
      </c>
      <c r="I1374" s="1">
        <v>8</v>
      </c>
      <c r="J1374" t="s">
        <v>26</v>
      </c>
      <c r="K1374" t="str">
        <f>VLOOKUP(Table1[[#This Row],[Loser]],Ranking!C:D,2,FALSE)</f>
        <v>SEC</v>
      </c>
      <c r="L1374" s="1">
        <v>83</v>
      </c>
      <c r="N1374" s="1">
        <f>Table1[[#This Row],[Winning Score]]-Table1[[#This Row],[Losing Score]]</f>
        <v>4</v>
      </c>
      <c r="O1374" s="1">
        <f>Table1[[#This Row],[Losing Seed]]-Table1[[#This Row],[Winning Seed]]</f>
        <v>7</v>
      </c>
      <c r="P1374" s="1" t="str">
        <f>IF(Table1[[#This Row],[SeD]]&lt;-2,Table1[[#This Row],[Winning Seed]]&amp; " over " &amp;Table1[[#This Row],[Losing Seed]],"")</f>
        <v/>
      </c>
      <c r="Q1374">
        <f>VLOOKUP(Table1[[#This Row],[Losing Seed]],'Seed History'!$N$4:$O$19,2)</f>
        <v>0.70833333333333337</v>
      </c>
      <c r="R1374" s="1">
        <f>IF(Table1[[#This Row],[Round]]="PI",0,Table1[[#This Row],[Round]]-1)</f>
        <v>1</v>
      </c>
      <c r="S1374">
        <f>Table1[[#This Row],[LAW]]-Table1[[#This Row],[LEW]]</f>
        <v>0.29166666666666663</v>
      </c>
    </row>
    <row r="1375" spans="1:19" x14ac:dyDescent="0.25">
      <c r="A1375" s="66">
        <v>38795</v>
      </c>
      <c r="B1375" s="51">
        <f>YEAR(Table1[[#This Row],[Date]])</f>
        <v>2006</v>
      </c>
      <c r="C1375" s="1">
        <v>2</v>
      </c>
      <c r="D1375" t="s">
        <v>439</v>
      </c>
      <c r="E1375" s="1">
        <v>1</v>
      </c>
      <c r="F1375" t="s">
        <v>50</v>
      </c>
      <c r="G1375" t="str">
        <f>VLOOKUP(Table1[[#This Row],[Winner]],Ranking!C:D,2,FALSE)</f>
        <v>BE</v>
      </c>
      <c r="H1375" s="1">
        <v>82</v>
      </c>
      <c r="I1375" s="1">
        <v>8</v>
      </c>
      <c r="J1375" t="s">
        <v>48</v>
      </c>
      <c r="K1375" t="str">
        <f>VLOOKUP(Table1[[#This Row],[Loser]],Ranking!C:D,2,FALSE)</f>
        <v>P12</v>
      </c>
      <c r="L1375" s="1">
        <v>78</v>
      </c>
      <c r="N1375" s="1">
        <f>Table1[[#This Row],[Winning Score]]-Table1[[#This Row],[Losing Score]]</f>
        <v>4</v>
      </c>
      <c r="O1375" s="1">
        <f>Table1[[#This Row],[Losing Seed]]-Table1[[#This Row],[Winning Seed]]</f>
        <v>7</v>
      </c>
      <c r="P1375" s="1" t="str">
        <f>IF(Table1[[#This Row],[SeD]]&lt;-2,Table1[[#This Row],[Winning Seed]]&amp; " over " &amp;Table1[[#This Row],[Losing Seed]],"")</f>
        <v/>
      </c>
      <c r="Q1375">
        <f>VLOOKUP(Table1[[#This Row],[Losing Seed]],'Seed History'!$N$4:$O$19,2)</f>
        <v>0.70833333333333337</v>
      </c>
      <c r="R1375" s="1">
        <f>IF(Table1[[#This Row],[Round]]="PI",0,Table1[[#This Row],[Round]]-1)</f>
        <v>1</v>
      </c>
      <c r="S1375">
        <f>Table1[[#This Row],[LAW]]-Table1[[#This Row],[LEW]]</f>
        <v>0.29166666666666663</v>
      </c>
    </row>
    <row r="1376" spans="1:19" x14ac:dyDescent="0.25">
      <c r="A1376" s="66">
        <v>38795</v>
      </c>
      <c r="B1376" s="51">
        <f>YEAR(Table1[[#This Row],[Date]])</f>
        <v>2006</v>
      </c>
      <c r="C1376" s="1">
        <v>2</v>
      </c>
      <c r="D1376" t="s">
        <v>63</v>
      </c>
      <c r="E1376" s="1">
        <v>2</v>
      </c>
      <c r="F1376" t="s">
        <v>34</v>
      </c>
      <c r="G1376" t="str">
        <f>VLOOKUP(Table1[[#This Row],[Winner]],Ranking!C:D,2,FALSE)</f>
        <v>B12</v>
      </c>
      <c r="H1376" s="1">
        <v>75</v>
      </c>
      <c r="I1376" s="1">
        <v>10</v>
      </c>
      <c r="J1376" t="s">
        <v>301</v>
      </c>
      <c r="K1376" t="e">
        <f>VLOOKUP(Table1[[#This Row],[Loser]],Ranking!C:D,2,FALSE)</f>
        <v>#N/A</v>
      </c>
      <c r="L1376" s="1">
        <v>54</v>
      </c>
      <c r="N1376" s="1">
        <f>Table1[[#This Row],[Winning Score]]-Table1[[#This Row],[Losing Score]]</f>
        <v>21</v>
      </c>
      <c r="O1376" s="1">
        <f>Table1[[#This Row],[Losing Seed]]-Table1[[#This Row],[Winning Seed]]</f>
        <v>8</v>
      </c>
      <c r="P1376" s="1" t="str">
        <f>IF(Table1[[#This Row],[SeD]]&lt;-2,Table1[[#This Row],[Winning Seed]]&amp; " over " &amp;Table1[[#This Row],[Losing Seed]],"")</f>
        <v/>
      </c>
      <c r="Q1376">
        <f>VLOOKUP(Table1[[#This Row],[Losing Seed]],'Seed History'!$N$4:$O$19,2)</f>
        <v>0.61805555555555558</v>
      </c>
      <c r="R1376" s="1">
        <f>IF(Table1[[#This Row],[Round]]="PI",0,Table1[[#This Row],[Round]]-1)</f>
        <v>1</v>
      </c>
      <c r="S1376">
        <f>Table1[[#This Row],[LAW]]-Table1[[#This Row],[LEW]]</f>
        <v>0.38194444444444442</v>
      </c>
    </row>
    <row r="1377" spans="1:19" x14ac:dyDescent="0.25">
      <c r="A1377" s="66">
        <v>38795</v>
      </c>
      <c r="B1377" s="51">
        <f>YEAR(Table1[[#This Row],[Date]])</f>
        <v>2006</v>
      </c>
      <c r="C1377" s="1">
        <v>2</v>
      </c>
      <c r="D1377" t="s">
        <v>63</v>
      </c>
      <c r="E1377" s="1">
        <v>6</v>
      </c>
      <c r="F1377" t="s">
        <v>412</v>
      </c>
      <c r="G1377" t="str">
        <f>VLOOKUP(Table1[[#This Row],[Winner]],Ranking!C:D,2,FALSE)</f>
        <v>B12</v>
      </c>
      <c r="H1377" s="1">
        <v>67</v>
      </c>
      <c r="I1377" s="1">
        <v>14</v>
      </c>
      <c r="J1377" t="s">
        <v>312</v>
      </c>
      <c r="K1377" t="str">
        <f>VLOOKUP(Table1[[#This Row],[Loser]],Ranking!C:D,2,FALSE)</f>
        <v>Slnd</v>
      </c>
      <c r="L1377" s="1">
        <v>54</v>
      </c>
      <c r="N1377" s="1">
        <f>Table1[[#This Row],[Winning Score]]-Table1[[#This Row],[Losing Score]]</f>
        <v>13</v>
      </c>
      <c r="O1377" s="1">
        <f>Table1[[#This Row],[Losing Seed]]-Table1[[#This Row],[Winning Seed]]</f>
        <v>8</v>
      </c>
      <c r="P1377" s="1" t="str">
        <f>IF(Table1[[#This Row],[SeD]]&lt;-2,Table1[[#This Row],[Winning Seed]]&amp; " over " &amp;Table1[[#This Row],[Losing Seed]],"")</f>
        <v/>
      </c>
      <c r="Q1377">
        <f>VLOOKUP(Table1[[#This Row],[Losing Seed]],'Seed History'!$N$4:$O$19,2)</f>
        <v>0.16666666666666666</v>
      </c>
      <c r="R1377" s="1">
        <f>IF(Table1[[#This Row],[Round]]="PI",0,Table1[[#This Row],[Round]]-1)</f>
        <v>1</v>
      </c>
      <c r="S1377">
        <f>Table1[[#This Row],[LAW]]-Table1[[#This Row],[LEW]]</f>
        <v>0.83333333333333337</v>
      </c>
    </row>
    <row r="1378" spans="1:19" x14ac:dyDescent="0.25">
      <c r="A1378" s="66">
        <v>38795</v>
      </c>
      <c r="B1378" s="51">
        <f>YEAR(Table1[[#This Row],[Date]])</f>
        <v>2006</v>
      </c>
      <c r="C1378" s="1">
        <v>2</v>
      </c>
      <c r="D1378" t="s">
        <v>38</v>
      </c>
      <c r="E1378" s="1">
        <v>1</v>
      </c>
      <c r="F1378" t="s">
        <v>267</v>
      </c>
      <c r="G1378" t="str">
        <f>VLOOKUP(Table1[[#This Row],[Winner]],Ranking!C:D,2,FALSE)</f>
        <v>Amer</v>
      </c>
      <c r="H1378" s="1">
        <v>72</v>
      </c>
      <c r="I1378" s="1">
        <v>9</v>
      </c>
      <c r="J1378" t="s">
        <v>148</v>
      </c>
      <c r="K1378" t="str">
        <f>VLOOKUP(Table1[[#This Row],[Loser]],Ranking!C:D,2,FALSE)</f>
        <v>Pat</v>
      </c>
      <c r="L1378" s="1">
        <v>56</v>
      </c>
      <c r="N1378" s="1">
        <f>Table1[[#This Row],[Winning Score]]-Table1[[#This Row],[Losing Score]]</f>
        <v>16</v>
      </c>
      <c r="O1378" s="1">
        <f>Table1[[#This Row],[Losing Seed]]-Table1[[#This Row],[Winning Seed]]</f>
        <v>8</v>
      </c>
      <c r="P1378" s="1" t="str">
        <f>IF(Table1[[#This Row],[SeD]]&lt;-2,Table1[[#This Row],[Winning Seed]]&amp; " over " &amp;Table1[[#This Row],[Losing Seed]],"")</f>
        <v/>
      </c>
      <c r="Q1378">
        <f>VLOOKUP(Table1[[#This Row],[Losing Seed]],'Seed History'!$N$4:$O$19,2)</f>
        <v>0.59027777777777779</v>
      </c>
      <c r="R1378" s="1">
        <f>IF(Table1[[#This Row],[Round]]="PI",0,Table1[[#This Row],[Round]]-1)</f>
        <v>1</v>
      </c>
      <c r="S1378">
        <f>Table1[[#This Row],[LAW]]-Table1[[#This Row],[LEW]]</f>
        <v>0.40972222222222221</v>
      </c>
    </row>
    <row r="1379" spans="1:19" x14ac:dyDescent="0.25">
      <c r="A1379" s="66">
        <v>38799</v>
      </c>
      <c r="B1379" s="51">
        <f>YEAR(Table1[[#This Row],[Date]])</f>
        <v>2006</v>
      </c>
      <c r="C1379" s="1">
        <v>3</v>
      </c>
      <c r="D1379" t="s">
        <v>63</v>
      </c>
      <c r="E1379" s="1">
        <v>4</v>
      </c>
      <c r="F1379" t="s">
        <v>52</v>
      </c>
      <c r="G1379" t="str">
        <f>VLOOKUP(Table1[[#This Row],[Winner]],Ranking!C:D,2,FALSE)</f>
        <v>SEC</v>
      </c>
      <c r="H1379" s="1">
        <v>62</v>
      </c>
      <c r="I1379" s="1">
        <v>1</v>
      </c>
      <c r="J1379" t="s">
        <v>64</v>
      </c>
      <c r="K1379" t="str">
        <f>VLOOKUP(Table1[[#This Row],[Loser]],Ranking!C:D,2,FALSE)</f>
        <v>ACC</v>
      </c>
      <c r="L1379" s="1">
        <v>54</v>
      </c>
      <c r="N1379" s="1">
        <f>Table1[[#This Row],[Winning Score]]-Table1[[#This Row],[Losing Score]]</f>
        <v>8</v>
      </c>
      <c r="O1379" s="1">
        <f>Table1[[#This Row],[Losing Seed]]-Table1[[#This Row],[Winning Seed]]</f>
        <v>-3</v>
      </c>
      <c r="P1379" s="1" t="str">
        <f>IF(Table1[[#This Row],[SeD]]&lt;-2,Table1[[#This Row],[Winning Seed]]&amp; " over " &amp;Table1[[#This Row],[Losing Seed]],"")</f>
        <v>4 over 1</v>
      </c>
      <c r="Q1379">
        <f>VLOOKUP(Table1[[#This Row],[Losing Seed]],'Seed History'!$N$4:$O$19,2)</f>
        <v>3.3263888888888888</v>
      </c>
      <c r="R1379" s="1">
        <f>IF(Table1[[#This Row],[Round]]="PI",0,Table1[[#This Row],[Round]]-1)</f>
        <v>2</v>
      </c>
      <c r="S1379">
        <f>Table1[[#This Row],[LAW]]-Table1[[#This Row],[LEW]]</f>
        <v>-1.3263888888888888</v>
      </c>
    </row>
    <row r="1380" spans="1:19" x14ac:dyDescent="0.25">
      <c r="A1380" s="66">
        <v>38799</v>
      </c>
      <c r="B1380" s="51">
        <f>YEAR(Table1[[#This Row],[Date]])</f>
        <v>2006</v>
      </c>
      <c r="C1380" s="1">
        <v>3</v>
      </c>
      <c r="D1380" t="s">
        <v>63</v>
      </c>
      <c r="E1380" s="1">
        <v>2</v>
      </c>
      <c r="F1380" t="s">
        <v>34</v>
      </c>
      <c r="G1380" t="str">
        <f>VLOOKUP(Table1[[#This Row],[Winner]],Ranking!C:D,2,FALSE)</f>
        <v>B12</v>
      </c>
      <c r="H1380" s="1">
        <v>74</v>
      </c>
      <c r="I1380" s="1">
        <v>6</v>
      </c>
      <c r="J1380" t="s">
        <v>412</v>
      </c>
      <c r="K1380" t="str">
        <f>VLOOKUP(Table1[[#This Row],[Loser]],Ranking!C:D,2,FALSE)</f>
        <v>B12</v>
      </c>
      <c r="L1380" s="1">
        <v>71</v>
      </c>
      <c r="N1380" s="1">
        <f>Table1[[#This Row],[Winning Score]]-Table1[[#This Row],[Losing Score]]</f>
        <v>3</v>
      </c>
      <c r="O1380" s="1">
        <f>Table1[[#This Row],[Losing Seed]]-Table1[[#This Row],[Winning Seed]]</f>
        <v>4</v>
      </c>
      <c r="P1380" s="1" t="str">
        <f>IF(Table1[[#This Row],[SeD]]&lt;-2,Table1[[#This Row],[Winning Seed]]&amp; " over " &amp;Table1[[#This Row],[Losing Seed]],"")</f>
        <v/>
      </c>
      <c r="Q1380">
        <f>VLOOKUP(Table1[[#This Row],[Losing Seed]],'Seed History'!$N$4:$O$19,2)</f>
        <v>1.0625</v>
      </c>
      <c r="R1380" s="1">
        <f>IF(Table1[[#This Row],[Round]]="PI",0,Table1[[#This Row],[Round]]-1)</f>
        <v>2</v>
      </c>
      <c r="S1380">
        <f>Table1[[#This Row],[LAW]]-Table1[[#This Row],[LEW]]</f>
        <v>0.9375</v>
      </c>
    </row>
    <row r="1381" spans="1:19" x14ac:dyDescent="0.25">
      <c r="A1381" s="66">
        <v>38799</v>
      </c>
      <c r="B1381" s="51">
        <f>YEAR(Table1[[#This Row],[Date]])</f>
        <v>2006</v>
      </c>
      <c r="C1381" s="1">
        <v>3</v>
      </c>
      <c r="D1381" t="s">
        <v>38</v>
      </c>
      <c r="E1381" s="1">
        <v>1</v>
      </c>
      <c r="F1381" t="s">
        <v>267</v>
      </c>
      <c r="G1381" t="str">
        <f>VLOOKUP(Table1[[#This Row],[Winner]],Ranking!C:D,2,FALSE)</f>
        <v>Amer</v>
      </c>
      <c r="H1381" s="1">
        <v>80</v>
      </c>
      <c r="I1381" s="1">
        <v>13</v>
      </c>
      <c r="J1381" t="s">
        <v>142</v>
      </c>
      <c r="K1381" t="str">
        <f>VLOOKUP(Table1[[#This Row],[Loser]],Ranking!C:D,2,FALSE)</f>
        <v>MVC</v>
      </c>
      <c r="L1381" s="1">
        <v>64</v>
      </c>
      <c r="N1381" s="1">
        <f>Table1[[#This Row],[Winning Score]]-Table1[[#This Row],[Losing Score]]</f>
        <v>16</v>
      </c>
      <c r="O1381" s="1">
        <f>Table1[[#This Row],[Losing Seed]]-Table1[[#This Row],[Winning Seed]]</f>
        <v>12</v>
      </c>
      <c r="P1381" s="1" t="str">
        <f>IF(Table1[[#This Row],[SeD]]&lt;-2,Table1[[#This Row],[Winning Seed]]&amp; " over " &amp;Table1[[#This Row],[Losing Seed]],"")</f>
        <v/>
      </c>
      <c r="Q1381">
        <f>VLOOKUP(Table1[[#This Row],[Losing Seed]],'Seed History'!$N$4:$O$19,2)</f>
        <v>0.25694444444444442</v>
      </c>
      <c r="R1381" s="1">
        <f>IF(Table1[[#This Row],[Round]]="PI",0,Table1[[#This Row],[Round]]-1)</f>
        <v>2</v>
      </c>
      <c r="S1381">
        <f>Table1[[#This Row],[LAW]]-Table1[[#This Row],[LEW]]</f>
        <v>1.7430555555555556</v>
      </c>
    </row>
    <row r="1382" spans="1:19" x14ac:dyDescent="0.25">
      <c r="A1382" s="66">
        <v>38799</v>
      </c>
      <c r="B1382" s="51">
        <f>YEAR(Table1[[#This Row],[Date]])</f>
        <v>2006</v>
      </c>
      <c r="C1382" s="1">
        <v>3</v>
      </c>
      <c r="D1382" t="s">
        <v>38</v>
      </c>
      <c r="E1382" s="1">
        <v>2</v>
      </c>
      <c r="F1382" t="s">
        <v>67</v>
      </c>
      <c r="G1382" t="str">
        <f>VLOOKUP(Table1[[#This Row],[Winner]],Ranking!C:D,2,FALSE)</f>
        <v>P12</v>
      </c>
      <c r="H1382" s="1">
        <v>73</v>
      </c>
      <c r="I1382" s="1">
        <v>3</v>
      </c>
      <c r="J1382" t="s">
        <v>71</v>
      </c>
      <c r="K1382" t="str">
        <f>VLOOKUP(Table1[[#This Row],[Loser]],Ranking!C:D,2,FALSE)</f>
        <v>WCC</v>
      </c>
      <c r="L1382" s="1">
        <v>71</v>
      </c>
      <c r="N1382" s="1">
        <f>Table1[[#This Row],[Winning Score]]-Table1[[#This Row],[Losing Score]]</f>
        <v>2</v>
      </c>
      <c r="O1382" s="1">
        <f>Table1[[#This Row],[Losing Seed]]-Table1[[#This Row],[Winning Seed]]</f>
        <v>1</v>
      </c>
      <c r="P1382" s="1" t="str">
        <f>IF(Table1[[#This Row],[SeD]]&lt;-2,Table1[[#This Row],[Winning Seed]]&amp; " over " &amp;Table1[[#This Row],[Losing Seed]],"")</f>
        <v/>
      </c>
      <c r="Q1382">
        <f>VLOOKUP(Table1[[#This Row],[Losing Seed]],'Seed History'!$N$4:$O$19,2)</f>
        <v>1.8472222222222223</v>
      </c>
      <c r="R1382" s="1">
        <f>IF(Table1[[#This Row],[Round]]="PI",0,Table1[[#This Row],[Round]]-1)</f>
        <v>2</v>
      </c>
      <c r="S1382">
        <f>Table1[[#This Row],[LAW]]-Table1[[#This Row],[LEW]]</f>
        <v>0.15277777777777768</v>
      </c>
    </row>
    <row r="1383" spans="1:19" x14ac:dyDescent="0.25">
      <c r="A1383" s="66">
        <v>38800</v>
      </c>
      <c r="B1383" s="51">
        <f>YEAR(Table1[[#This Row],[Date]])</f>
        <v>2006</v>
      </c>
      <c r="C1383" s="1">
        <v>3</v>
      </c>
      <c r="D1383" t="s">
        <v>49</v>
      </c>
      <c r="E1383" s="1">
        <v>11</v>
      </c>
      <c r="F1383" t="s">
        <v>212</v>
      </c>
      <c r="G1383" t="str">
        <f>VLOOKUP(Table1[[#This Row],[Winner]],Ranking!C:D,2,FALSE)</f>
        <v>A10</v>
      </c>
      <c r="H1383" s="1">
        <v>63</v>
      </c>
      <c r="I1383" s="1">
        <v>7</v>
      </c>
      <c r="J1383" t="s">
        <v>417</v>
      </c>
      <c r="K1383" t="str">
        <f>VLOOKUP(Table1[[#This Row],[Loser]],Ranking!C:D,2,FALSE)</f>
        <v>Amer</v>
      </c>
      <c r="L1383" s="1">
        <v>55</v>
      </c>
      <c r="N1383" s="1">
        <f>Table1[[#This Row],[Winning Score]]-Table1[[#This Row],[Losing Score]]</f>
        <v>8</v>
      </c>
      <c r="O1383" s="1">
        <f>Table1[[#This Row],[Losing Seed]]-Table1[[#This Row],[Winning Seed]]</f>
        <v>-4</v>
      </c>
      <c r="P1383" s="1" t="str">
        <f>IF(Table1[[#This Row],[SeD]]&lt;-2,Table1[[#This Row],[Winning Seed]]&amp; " over " &amp;Table1[[#This Row],[Losing Seed]],"")</f>
        <v>11 over 7</v>
      </c>
      <c r="Q1383">
        <f>VLOOKUP(Table1[[#This Row],[Losing Seed]],'Seed History'!$N$4:$O$19,2)</f>
        <v>0.90277777777777779</v>
      </c>
      <c r="R1383" s="1">
        <f>IF(Table1[[#This Row],[Round]]="PI",0,Table1[[#This Row],[Round]]-1)</f>
        <v>2</v>
      </c>
      <c r="S1383">
        <f>Table1[[#This Row],[LAW]]-Table1[[#This Row],[LEW]]</f>
        <v>1.0972222222222223</v>
      </c>
    </row>
    <row r="1384" spans="1:19" x14ac:dyDescent="0.25">
      <c r="A1384" s="66">
        <v>38800</v>
      </c>
      <c r="B1384" s="51">
        <f>YEAR(Table1[[#This Row],[Date]])</f>
        <v>2006</v>
      </c>
      <c r="C1384" s="1">
        <v>3</v>
      </c>
      <c r="D1384" t="s">
        <v>49</v>
      </c>
      <c r="E1384" s="1">
        <v>1</v>
      </c>
      <c r="F1384" t="s">
        <v>80</v>
      </c>
      <c r="G1384" t="str">
        <f>VLOOKUP(Table1[[#This Row],[Winner]],Ranking!C:D,2,FALSE)</f>
        <v>BE</v>
      </c>
      <c r="H1384" s="1">
        <v>98</v>
      </c>
      <c r="I1384" s="1">
        <v>5</v>
      </c>
      <c r="J1384" t="s">
        <v>409</v>
      </c>
      <c r="K1384" t="str">
        <f>VLOOKUP(Table1[[#This Row],[Loser]],Ranking!C:D,2,FALSE)</f>
        <v>P12</v>
      </c>
      <c r="L1384" s="1">
        <v>92</v>
      </c>
      <c r="M1384" s="1" t="s">
        <v>462</v>
      </c>
      <c r="N1384" s="1">
        <f>Table1[[#This Row],[Winning Score]]-Table1[[#This Row],[Losing Score]]</f>
        <v>6</v>
      </c>
      <c r="O1384" s="1">
        <f>Table1[[#This Row],[Losing Seed]]-Table1[[#This Row],[Winning Seed]]</f>
        <v>4</v>
      </c>
      <c r="P1384" s="1" t="str">
        <f>IF(Table1[[#This Row],[SeD]]&lt;-2,Table1[[#This Row],[Winning Seed]]&amp; " over " &amp;Table1[[#This Row],[Losing Seed]],"")</f>
        <v/>
      </c>
      <c r="Q1384">
        <f>VLOOKUP(Table1[[#This Row],[Losing Seed]],'Seed History'!$N$4:$O$19,2)</f>
        <v>1.1180555555555556</v>
      </c>
      <c r="R1384" s="1">
        <f>IF(Table1[[#This Row],[Round]]="PI",0,Table1[[#This Row],[Round]]-1)</f>
        <v>2</v>
      </c>
      <c r="S1384">
        <f>Table1[[#This Row],[LAW]]-Table1[[#This Row],[LEW]]</f>
        <v>0.88194444444444442</v>
      </c>
    </row>
    <row r="1385" spans="1:19" x14ac:dyDescent="0.25">
      <c r="A1385" s="66">
        <v>38800</v>
      </c>
      <c r="B1385" s="51">
        <f>YEAR(Table1[[#This Row],[Date]])</f>
        <v>2006</v>
      </c>
      <c r="C1385" s="1">
        <v>3</v>
      </c>
      <c r="D1385" t="s">
        <v>439</v>
      </c>
      <c r="E1385" s="1">
        <v>1</v>
      </c>
      <c r="F1385" t="s">
        <v>50</v>
      </c>
      <c r="G1385" t="str">
        <f>VLOOKUP(Table1[[#This Row],[Winner]],Ranking!C:D,2,FALSE)</f>
        <v>BE</v>
      </c>
      <c r="H1385" s="1">
        <v>60</v>
      </c>
      <c r="I1385" s="1">
        <v>4</v>
      </c>
      <c r="J1385" t="s">
        <v>138</v>
      </c>
      <c r="K1385" t="str">
        <f>VLOOKUP(Table1[[#This Row],[Loser]],Ranking!C:D,2,FALSE)</f>
        <v>ACC</v>
      </c>
      <c r="L1385" s="1">
        <v>59</v>
      </c>
      <c r="M1385" s="1" t="s">
        <v>462</v>
      </c>
      <c r="N1385" s="1">
        <f>Table1[[#This Row],[Winning Score]]-Table1[[#This Row],[Losing Score]]</f>
        <v>1</v>
      </c>
      <c r="O1385" s="1">
        <f>Table1[[#This Row],[Losing Seed]]-Table1[[#This Row],[Winning Seed]]</f>
        <v>3</v>
      </c>
      <c r="P1385" s="1" t="str">
        <f>IF(Table1[[#This Row],[SeD]]&lt;-2,Table1[[#This Row],[Winning Seed]]&amp; " over " &amp;Table1[[#This Row],[Losing Seed]],"")</f>
        <v/>
      </c>
      <c r="Q1385">
        <f>VLOOKUP(Table1[[#This Row],[Losing Seed]],'Seed History'!$N$4:$O$19,2)</f>
        <v>1.5208333333333333</v>
      </c>
      <c r="R1385" s="1">
        <f>IF(Table1[[#This Row],[Round]]="PI",0,Table1[[#This Row],[Round]]-1)</f>
        <v>2</v>
      </c>
      <c r="S1385">
        <f>Table1[[#This Row],[LAW]]-Table1[[#This Row],[LEW]]</f>
        <v>0.47916666666666674</v>
      </c>
    </row>
    <row r="1386" spans="1:19" x14ac:dyDescent="0.25">
      <c r="A1386" s="66">
        <v>38800</v>
      </c>
      <c r="B1386" s="51">
        <f>YEAR(Table1[[#This Row],[Date]])</f>
        <v>2006</v>
      </c>
      <c r="C1386" s="1">
        <v>3</v>
      </c>
      <c r="D1386" t="s">
        <v>439</v>
      </c>
      <c r="E1386" s="1">
        <v>3</v>
      </c>
      <c r="F1386" t="s">
        <v>81</v>
      </c>
      <c r="G1386" t="str">
        <f>VLOOKUP(Table1[[#This Row],[Winner]],Ranking!C:D,2,FALSE)</f>
        <v>SEC</v>
      </c>
      <c r="H1386" s="1">
        <v>57</v>
      </c>
      <c r="I1386" s="1">
        <v>7</v>
      </c>
      <c r="J1386" t="s">
        <v>66</v>
      </c>
      <c r="K1386" t="str">
        <f>VLOOKUP(Table1[[#This Row],[Loser]],Ranking!C:D,2,FALSE)</f>
        <v>BE</v>
      </c>
      <c r="L1386" s="1">
        <v>53</v>
      </c>
      <c r="N1386" s="1">
        <f>Table1[[#This Row],[Winning Score]]-Table1[[#This Row],[Losing Score]]</f>
        <v>4</v>
      </c>
      <c r="O1386" s="1">
        <f>Table1[[#This Row],[Losing Seed]]-Table1[[#This Row],[Winning Seed]]</f>
        <v>4</v>
      </c>
      <c r="P1386" s="1" t="str">
        <f>IF(Table1[[#This Row],[SeD]]&lt;-2,Table1[[#This Row],[Winning Seed]]&amp; " over " &amp;Table1[[#This Row],[Losing Seed]],"")</f>
        <v/>
      </c>
      <c r="Q1386">
        <f>VLOOKUP(Table1[[#This Row],[Losing Seed]],'Seed History'!$N$4:$O$19,2)</f>
        <v>0.90277777777777779</v>
      </c>
      <c r="R1386" s="1">
        <f>IF(Table1[[#This Row],[Round]]="PI",0,Table1[[#This Row],[Round]]-1)</f>
        <v>2</v>
      </c>
      <c r="S1386">
        <f>Table1[[#This Row],[LAW]]-Table1[[#This Row],[LEW]]</f>
        <v>1.0972222222222223</v>
      </c>
    </row>
    <row r="1387" spans="1:19" x14ac:dyDescent="0.25">
      <c r="A1387" s="66">
        <v>38801</v>
      </c>
      <c r="B1387" s="51">
        <f>YEAR(Table1[[#This Row],[Date]])</f>
        <v>2006</v>
      </c>
      <c r="C1387" s="1">
        <v>4</v>
      </c>
      <c r="D1387" t="s">
        <v>63</v>
      </c>
      <c r="E1387" s="1">
        <v>4</v>
      </c>
      <c r="F1387" t="s">
        <v>52</v>
      </c>
      <c r="G1387" t="str">
        <f>VLOOKUP(Table1[[#This Row],[Winner]],Ranking!C:D,2,FALSE)</f>
        <v>SEC</v>
      </c>
      <c r="H1387" s="1">
        <v>70</v>
      </c>
      <c r="I1387" s="1">
        <v>2</v>
      </c>
      <c r="J1387" t="s">
        <v>34</v>
      </c>
      <c r="K1387" t="str">
        <f>VLOOKUP(Table1[[#This Row],[Loser]],Ranking!C:D,2,FALSE)</f>
        <v>B12</v>
      </c>
      <c r="L1387" s="1">
        <v>60</v>
      </c>
      <c r="M1387" s="1" t="s">
        <v>462</v>
      </c>
      <c r="N1387" s="1">
        <f>Table1[[#This Row],[Winning Score]]-Table1[[#This Row],[Losing Score]]</f>
        <v>10</v>
      </c>
      <c r="O1387" s="1">
        <f>Table1[[#This Row],[Losing Seed]]-Table1[[#This Row],[Winning Seed]]</f>
        <v>-2</v>
      </c>
      <c r="P1387" s="1" t="str">
        <f>IF(Table1[[#This Row],[SeD]]&lt;-2,Table1[[#This Row],[Winning Seed]]&amp; " over " &amp;Table1[[#This Row],[Losing Seed]],"")</f>
        <v/>
      </c>
      <c r="Q1387">
        <f>VLOOKUP(Table1[[#This Row],[Losing Seed]],'Seed History'!$N$4:$O$19,2)</f>
        <v>2.3472222222222223</v>
      </c>
      <c r="R1387" s="1">
        <f>IF(Table1[[#This Row],[Round]]="PI",0,Table1[[#This Row],[Round]]-1)</f>
        <v>3</v>
      </c>
      <c r="S1387">
        <f>Table1[[#This Row],[LAW]]-Table1[[#This Row],[LEW]]</f>
        <v>0.65277777777777768</v>
      </c>
    </row>
    <row r="1388" spans="1:19" x14ac:dyDescent="0.25">
      <c r="A1388" s="66">
        <v>38801</v>
      </c>
      <c r="B1388" s="51">
        <f>YEAR(Table1[[#This Row],[Date]])</f>
        <v>2006</v>
      </c>
      <c r="C1388" s="1">
        <v>4</v>
      </c>
      <c r="D1388" t="s">
        <v>38</v>
      </c>
      <c r="E1388" s="1">
        <v>2</v>
      </c>
      <c r="F1388" t="s">
        <v>67</v>
      </c>
      <c r="G1388" t="str">
        <f>VLOOKUP(Table1[[#This Row],[Winner]],Ranking!C:D,2,FALSE)</f>
        <v>P12</v>
      </c>
      <c r="H1388" s="1">
        <v>50</v>
      </c>
      <c r="I1388" s="1">
        <v>1</v>
      </c>
      <c r="J1388" t="s">
        <v>267</v>
      </c>
      <c r="K1388" t="str">
        <f>VLOOKUP(Table1[[#This Row],[Loser]],Ranking!C:D,2,FALSE)</f>
        <v>Amer</v>
      </c>
      <c r="L1388" s="1">
        <v>45</v>
      </c>
      <c r="N1388" s="1">
        <f>Table1[[#This Row],[Winning Score]]-Table1[[#This Row],[Losing Score]]</f>
        <v>5</v>
      </c>
      <c r="O1388" s="1">
        <f>Table1[[#This Row],[Losing Seed]]-Table1[[#This Row],[Winning Seed]]</f>
        <v>-1</v>
      </c>
      <c r="P1388" s="1" t="str">
        <f>IF(Table1[[#This Row],[SeD]]&lt;-2,Table1[[#This Row],[Winning Seed]]&amp; " over " &amp;Table1[[#This Row],[Losing Seed]],"")</f>
        <v/>
      </c>
      <c r="Q1388">
        <f>VLOOKUP(Table1[[#This Row],[Losing Seed]],'Seed History'!$N$4:$O$19,2)</f>
        <v>3.3263888888888888</v>
      </c>
      <c r="R1388" s="1">
        <f>IF(Table1[[#This Row],[Round]]="PI",0,Table1[[#This Row],[Round]]-1)</f>
        <v>3</v>
      </c>
      <c r="S1388">
        <f>Table1[[#This Row],[LAW]]-Table1[[#This Row],[LEW]]</f>
        <v>-0.32638888888888884</v>
      </c>
    </row>
    <row r="1389" spans="1:19" x14ac:dyDescent="0.25">
      <c r="A1389" s="66">
        <v>38802</v>
      </c>
      <c r="B1389" s="51">
        <f>YEAR(Table1[[#This Row],[Date]])</f>
        <v>2006</v>
      </c>
      <c r="C1389" s="1">
        <v>4</v>
      </c>
      <c r="D1389" t="s">
        <v>49</v>
      </c>
      <c r="E1389" s="1">
        <v>11</v>
      </c>
      <c r="F1389" t="s">
        <v>212</v>
      </c>
      <c r="G1389" t="str">
        <f>VLOOKUP(Table1[[#This Row],[Winner]],Ranking!C:D,2,FALSE)</f>
        <v>A10</v>
      </c>
      <c r="H1389" s="1">
        <v>86</v>
      </c>
      <c r="I1389" s="1">
        <v>1</v>
      </c>
      <c r="J1389" t="s">
        <v>80</v>
      </c>
      <c r="K1389" t="str">
        <f>VLOOKUP(Table1[[#This Row],[Loser]],Ranking!C:D,2,FALSE)</f>
        <v>BE</v>
      </c>
      <c r="L1389" s="1">
        <v>84</v>
      </c>
      <c r="M1389" s="1" t="s">
        <v>462</v>
      </c>
      <c r="N1389" s="1">
        <f>Table1[[#This Row],[Winning Score]]-Table1[[#This Row],[Losing Score]]</f>
        <v>2</v>
      </c>
      <c r="O1389" s="1">
        <f>Table1[[#This Row],[Losing Seed]]-Table1[[#This Row],[Winning Seed]]</f>
        <v>-10</v>
      </c>
      <c r="P1389" s="1" t="str">
        <f>IF(Table1[[#This Row],[SeD]]&lt;-2,Table1[[#This Row],[Winning Seed]]&amp; " over " &amp;Table1[[#This Row],[Losing Seed]],"")</f>
        <v>11 over 1</v>
      </c>
      <c r="Q1389">
        <f>VLOOKUP(Table1[[#This Row],[Losing Seed]],'Seed History'!$N$4:$O$19,2)</f>
        <v>3.3263888888888888</v>
      </c>
      <c r="R1389" s="1">
        <f>IF(Table1[[#This Row],[Round]]="PI",0,Table1[[#This Row],[Round]]-1)</f>
        <v>3</v>
      </c>
      <c r="S1389">
        <f>Table1[[#This Row],[LAW]]-Table1[[#This Row],[LEW]]</f>
        <v>-0.32638888888888884</v>
      </c>
    </row>
    <row r="1390" spans="1:19" x14ac:dyDescent="0.25">
      <c r="A1390" s="66">
        <v>38802</v>
      </c>
      <c r="B1390" s="51">
        <f>YEAR(Table1[[#This Row],[Date]])</f>
        <v>2006</v>
      </c>
      <c r="C1390" s="1">
        <v>4</v>
      </c>
      <c r="D1390" t="s">
        <v>439</v>
      </c>
      <c r="E1390" s="1">
        <v>3</v>
      </c>
      <c r="F1390" t="s">
        <v>81</v>
      </c>
      <c r="G1390" t="str">
        <f>VLOOKUP(Table1[[#This Row],[Winner]],Ranking!C:D,2,FALSE)</f>
        <v>SEC</v>
      </c>
      <c r="H1390" s="1">
        <v>75</v>
      </c>
      <c r="I1390" s="1">
        <v>1</v>
      </c>
      <c r="J1390" t="s">
        <v>50</v>
      </c>
      <c r="K1390" t="str">
        <f>VLOOKUP(Table1[[#This Row],[Loser]],Ranking!C:D,2,FALSE)</f>
        <v>BE</v>
      </c>
      <c r="L1390" s="1">
        <v>62</v>
      </c>
      <c r="N1390" s="1">
        <f>Table1[[#This Row],[Winning Score]]-Table1[[#This Row],[Losing Score]]</f>
        <v>13</v>
      </c>
      <c r="O1390" s="1">
        <f>Table1[[#This Row],[Losing Seed]]-Table1[[#This Row],[Winning Seed]]</f>
        <v>-2</v>
      </c>
      <c r="P1390" s="1" t="str">
        <f>IF(Table1[[#This Row],[SeD]]&lt;-2,Table1[[#This Row],[Winning Seed]]&amp; " over " &amp;Table1[[#This Row],[Losing Seed]],"")</f>
        <v/>
      </c>
      <c r="Q1390">
        <f>VLOOKUP(Table1[[#This Row],[Losing Seed]],'Seed History'!$N$4:$O$19,2)</f>
        <v>3.3263888888888888</v>
      </c>
      <c r="R1390" s="1">
        <f>IF(Table1[[#This Row],[Round]]="PI",0,Table1[[#This Row],[Round]]-1)</f>
        <v>3</v>
      </c>
      <c r="S1390">
        <f>Table1[[#This Row],[LAW]]-Table1[[#This Row],[LEW]]</f>
        <v>-0.32638888888888884</v>
      </c>
    </row>
    <row r="1391" spans="1:19" x14ac:dyDescent="0.25">
      <c r="A1391" s="66">
        <v>38808</v>
      </c>
      <c r="B1391" s="51">
        <f>YEAR(Table1[[#This Row],[Date]])</f>
        <v>2006</v>
      </c>
      <c r="C1391" s="1">
        <v>5</v>
      </c>
      <c r="D1391" t="s">
        <v>467</v>
      </c>
      <c r="E1391" s="1">
        <v>2</v>
      </c>
      <c r="F1391" t="s">
        <v>67</v>
      </c>
      <c r="G1391" t="str">
        <f>VLOOKUP(Table1[[#This Row],[Winner]],Ranking!C:D,2,FALSE)</f>
        <v>P12</v>
      </c>
      <c r="H1391" s="1">
        <v>59</v>
      </c>
      <c r="I1391" s="1">
        <v>4</v>
      </c>
      <c r="J1391" t="s">
        <v>52</v>
      </c>
      <c r="K1391" t="str">
        <f>VLOOKUP(Table1[[#This Row],[Loser]],Ranking!C:D,2,FALSE)</f>
        <v>SEC</v>
      </c>
      <c r="L1391" s="1">
        <v>45</v>
      </c>
      <c r="N1391" s="1">
        <f>Table1[[#This Row],[Winning Score]]-Table1[[#This Row],[Losing Score]]</f>
        <v>14</v>
      </c>
      <c r="O1391" s="1">
        <f>Table1[[#This Row],[Losing Seed]]-Table1[[#This Row],[Winning Seed]]</f>
        <v>2</v>
      </c>
      <c r="P1391" s="1" t="str">
        <f>IF(Table1[[#This Row],[SeD]]&lt;-2,Table1[[#This Row],[Winning Seed]]&amp; " over " &amp;Table1[[#This Row],[Losing Seed]],"")</f>
        <v/>
      </c>
      <c r="Q1391">
        <f>VLOOKUP(Table1[[#This Row],[Losing Seed]],'Seed History'!$N$4:$O$19,2)</f>
        <v>1.5208333333333333</v>
      </c>
      <c r="R1391" s="1">
        <f>IF(Table1[[#This Row],[Round]]="PI",0,Table1[[#This Row],[Round]]-1)</f>
        <v>4</v>
      </c>
      <c r="S1391">
        <f>Table1[[#This Row],[LAW]]-Table1[[#This Row],[LEW]]</f>
        <v>2.479166666666667</v>
      </c>
    </row>
    <row r="1392" spans="1:19" x14ac:dyDescent="0.25">
      <c r="A1392" s="66">
        <v>38808</v>
      </c>
      <c r="B1392" s="51">
        <f>YEAR(Table1[[#This Row],[Date]])</f>
        <v>2006</v>
      </c>
      <c r="C1392" s="1">
        <v>5</v>
      </c>
      <c r="D1392" t="s">
        <v>467</v>
      </c>
      <c r="E1392" s="1">
        <v>3</v>
      </c>
      <c r="F1392" t="s">
        <v>81</v>
      </c>
      <c r="G1392" t="str">
        <f>VLOOKUP(Table1[[#This Row],[Winner]],Ranking!C:D,2,FALSE)</f>
        <v>SEC</v>
      </c>
      <c r="H1392" s="1">
        <v>73</v>
      </c>
      <c r="I1392" s="1">
        <v>11</v>
      </c>
      <c r="J1392" t="s">
        <v>212</v>
      </c>
      <c r="K1392" t="str">
        <f>VLOOKUP(Table1[[#This Row],[Loser]],Ranking!C:D,2,FALSE)</f>
        <v>A10</v>
      </c>
      <c r="L1392" s="1">
        <v>58</v>
      </c>
      <c r="N1392" s="1">
        <f>Table1[[#This Row],[Winning Score]]-Table1[[#This Row],[Losing Score]]</f>
        <v>15</v>
      </c>
      <c r="O1392" s="1">
        <f>Table1[[#This Row],[Losing Seed]]-Table1[[#This Row],[Winning Seed]]</f>
        <v>8</v>
      </c>
      <c r="P1392" s="1" t="str">
        <f>IF(Table1[[#This Row],[SeD]]&lt;-2,Table1[[#This Row],[Winning Seed]]&amp; " over " &amp;Table1[[#This Row],[Losing Seed]],"")</f>
        <v/>
      </c>
      <c r="Q1392">
        <f>VLOOKUP(Table1[[#This Row],[Losing Seed]],'Seed History'!$N$4:$O$19,2)</f>
        <v>0.63194444444444442</v>
      </c>
      <c r="R1392" s="1">
        <f>IF(Table1[[#This Row],[Round]]="PI",0,Table1[[#This Row],[Round]]-1)</f>
        <v>4</v>
      </c>
      <c r="S1392">
        <f>Table1[[#This Row],[LAW]]-Table1[[#This Row],[LEW]]</f>
        <v>3.3680555555555554</v>
      </c>
    </row>
    <row r="1393" spans="1:19" x14ac:dyDescent="0.25">
      <c r="A1393" s="66">
        <v>38810</v>
      </c>
      <c r="B1393" s="51">
        <f>YEAR(Table1[[#This Row],[Date]])</f>
        <v>2006</v>
      </c>
      <c r="C1393" s="1">
        <v>6</v>
      </c>
      <c r="D1393" t="s">
        <v>468</v>
      </c>
      <c r="E1393" s="1">
        <v>3</v>
      </c>
      <c r="F1393" t="s">
        <v>81</v>
      </c>
      <c r="G1393" t="str">
        <f>VLOOKUP(Table1[[#This Row],[Winner]],Ranking!C:D,2,FALSE)</f>
        <v>SEC</v>
      </c>
      <c r="H1393" s="1">
        <v>73</v>
      </c>
      <c r="I1393" s="1">
        <v>2</v>
      </c>
      <c r="J1393" t="s">
        <v>67</v>
      </c>
      <c r="K1393" t="str">
        <f>VLOOKUP(Table1[[#This Row],[Loser]],Ranking!C:D,2,FALSE)</f>
        <v>P12</v>
      </c>
      <c r="L1393" s="1">
        <v>57</v>
      </c>
      <c r="N1393" s="1">
        <f>Table1[[#This Row],[Winning Score]]-Table1[[#This Row],[Losing Score]]</f>
        <v>16</v>
      </c>
      <c r="O1393" s="1">
        <f>Table1[[#This Row],[Losing Seed]]-Table1[[#This Row],[Winning Seed]]</f>
        <v>-1</v>
      </c>
      <c r="P1393" s="1" t="str">
        <f>IF(Table1[[#This Row],[SeD]]&lt;-2,Table1[[#This Row],[Winning Seed]]&amp; " over " &amp;Table1[[#This Row],[Losing Seed]],"")</f>
        <v/>
      </c>
      <c r="Q1393">
        <f>VLOOKUP(Table1[[#This Row],[Losing Seed]],'Seed History'!$N$4:$O$19,2)</f>
        <v>2.3472222222222223</v>
      </c>
      <c r="R1393" s="1">
        <f>IF(Table1[[#This Row],[Round]]="PI",0,Table1[[#This Row],[Round]]-1)</f>
        <v>5</v>
      </c>
      <c r="S1393">
        <f>Table1[[#This Row],[LAW]]-Table1[[#This Row],[LEW]]</f>
        <v>2.6527777777777777</v>
      </c>
    </row>
    <row r="1394" spans="1:19" x14ac:dyDescent="0.25">
      <c r="A1394" s="66">
        <v>39154</v>
      </c>
      <c r="B1394" s="51">
        <f>YEAR(Table1[[#This Row],[Date]])</f>
        <v>2007</v>
      </c>
      <c r="C1394" s="1" t="s">
        <v>476</v>
      </c>
      <c r="D1394" t="s">
        <v>38</v>
      </c>
      <c r="E1394" s="1">
        <v>16</v>
      </c>
      <c r="F1394" t="s">
        <v>294</v>
      </c>
      <c r="G1394" t="str">
        <f>VLOOKUP(Table1[[#This Row],[Winner]],Ranking!C:D,2,FALSE)</f>
        <v>MAAC</v>
      </c>
      <c r="H1394" s="1">
        <v>77</v>
      </c>
      <c r="I1394" s="1">
        <v>16</v>
      </c>
      <c r="J1394" t="s">
        <v>203</v>
      </c>
      <c r="K1394" t="str">
        <f>VLOOKUP(Table1[[#This Row],[Loser]],Ranking!C:D,2,FALSE)</f>
        <v>MEAC</v>
      </c>
      <c r="L1394" s="1">
        <v>69</v>
      </c>
      <c r="N1394" s="1">
        <f>Table1[[#This Row],[Winning Score]]-Table1[[#This Row],[Losing Score]]</f>
        <v>8</v>
      </c>
      <c r="O1394" s="1">
        <f>Table1[[#This Row],[Losing Seed]]-Table1[[#This Row],[Winning Seed]]</f>
        <v>0</v>
      </c>
      <c r="P1394" s="1" t="str">
        <f>IF(Table1[[#This Row],[SeD]]&lt;-2,Table1[[#This Row],[Winning Seed]]&amp; " over " &amp;Table1[[#This Row],[Losing Seed]],"")</f>
        <v/>
      </c>
      <c r="Q1394">
        <f>VLOOKUP(Table1[[#This Row],[Losing Seed]],'Seed History'!$N$4:$O$19,2)</f>
        <v>6.9444444444444441E-3</v>
      </c>
      <c r="R1394" s="1">
        <f>IF(Table1[[#This Row],[Round]]="PI",0,Table1[[#This Row],[Round]]-1)</f>
        <v>0</v>
      </c>
      <c r="S1394">
        <f>Table1[[#This Row],[LAW]]-Table1[[#This Row],[LEW]]</f>
        <v>-6.9444444444444441E-3</v>
      </c>
    </row>
    <row r="1395" spans="1:19" x14ac:dyDescent="0.25">
      <c r="A1395" s="66">
        <v>39156</v>
      </c>
      <c r="B1395" s="51">
        <f>YEAR(Table1[[#This Row],[Date]])</f>
        <v>2007</v>
      </c>
      <c r="C1395" s="1">
        <v>1</v>
      </c>
      <c r="D1395" t="s">
        <v>38</v>
      </c>
      <c r="E1395" s="1">
        <v>11</v>
      </c>
      <c r="F1395" t="s">
        <v>47</v>
      </c>
      <c r="G1395" t="str">
        <f>VLOOKUP(Table1[[#This Row],[Winner]],Ranking!C:D,2,FALSE)</f>
        <v>A10</v>
      </c>
      <c r="H1395" s="1">
        <v>79</v>
      </c>
      <c r="I1395" s="1">
        <v>6</v>
      </c>
      <c r="J1395" t="s">
        <v>64</v>
      </c>
      <c r="K1395" t="str">
        <f>VLOOKUP(Table1[[#This Row],[Loser]],Ranking!C:D,2,FALSE)</f>
        <v>ACC</v>
      </c>
      <c r="L1395" s="1">
        <v>77</v>
      </c>
      <c r="N1395" s="1">
        <f>Table1[[#This Row],[Winning Score]]-Table1[[#This Row],[Losing Score]]</f>
        <v>2</v>
      </c>
      <c r="O1395" s="1">
        <f>Table1[[#This Row],[Losing Seed]]-Table1[[#This Row],[Winning Seed]]</f>
        <v>-5</v>
      </c>
      <c r="P1395" s="1" t="str">
        <f>IF(Table1[[#This Row],[SeD]]&lt;-2,Table1[[#This Row],[Winning Seed]]&amp; " over " &amp;Table1[[#This Row],[Losing Seed]],"")</f>
        <v>11 over 6</v>
      </c>
      <c r="Q1395">
        <f>VLOOKUP(Table1[[#This Row],[Losing Seed]],'Seed History'!$N$4:$O$19,2)</f>
        <v>1.0625</v>
      </c>
      <c r="R1395" s="1">
        <f>IF(Table1[[#This Row],[Round]]="PI",0,Table1[[#This Row],[Round]]-1)</f>
        <v>0</v>
      </c>
      <c r="S1395">
        <f>Table1[[#This Row],[LAW]]-Table1[[#This Row],[LEW]]</f>
        <v>-1.0625</v>
      </c>
    </row>
    <row r="1396" spans="1:19" x14ac:dyDescent="0.25">
      <c r="A1396" s="66">
        <v>39156</v>
      </c>
      <c r="B1396" s="51">
        <f>YEAR(Table1[[#This Row],[Date]])</f>
        <v>2007</v>
      </c>
      <c r="C1396" s="1">
        <v>1</v>
      </c>
      <c r="D1396" t="s">
        <v>49</v>
      </c>
      <c r="E1396" s="1">
        <v>1</v>
      </c>
      <c r="F1396" t="s">
        <v>298</v>
      </c>
      <c r="G1396" t="str">
        <f>VLOOKUP(Table1[[#This Row],[Winner]],Ranking!C:D,2,FALSE)</f>
        <v>ACC</v>
      </c>
      <c r="H1396" s="1">
        <v>86</v>
      </c>
      <c r="I1396" s="1">
        <v>16</v>
      </c>
      <c r="J1396" t="s">
        <v>194</v>
      </c>
      <c r="K1396" t="str">
        <f>VLOOKUP(Table1[[#This Row],[Loser]],Ranking!C:D,2,FALSE)</f>
        <v>OVC</v>
      </c>
      <c r="L1396" s="1">
        <v>65</v>
      </c>
      <c r="N1396" s="1">
        <f>Table1[[#This Row],[Winning Score]]-Table1[[#This Row],[Losing Score]]</f>
        <v>21</v>
      </c>
      <c r="O1396" s="1">
        <f>Table1[[#This Row],[Losing Seed]]-Table1[[#This Row],[Winning Seed]]</f>
        <v>15</v>
      </c>
      <c r="P1396" s="1" t="str">
        <f>IF(Table1[[#This Row],[SeD]]&lt;-2,Table1[[#This Row],[Winning Seed]]&amp; " over " &amp;Table1[[#This Row],[Losing Seed]],"")</f>
        <v/>
      </c>
      <c r="Q1396">
        <f>VLOOKUP(Table1[[#This Row],[Losing Seed]],'Seed History'!$N$4:$O$19,2)</f>
        <v>6.9444444444444441E-3</v>
      </c>
      <c r="R1396" s="1">
        <f>IF(Table1[[#This Row],[Round]]="PI",0,Table1[[#This Row],[Round]]-1)</f>
        <v>0</v>
      </c>
      <c r="S1396">
        <f>Table1[[#This Row],[LAW]]-Table1[[#This Row],[LEW]]</f>
        <v>-6.9444444444444441E-3</v>
      </c>
    </row>
    <row r="1397" spans="1:19" x14ac:dyDescent="0.25">
      <c r="A1397" s="66">
        <v>39156</v>
      </c>
      <c r="B1397" s="51">
        <f>YEAR(Table1[[#This Row],[Date]])</f>
        <v>2007</v>
      </c>
      <c r="C1397" s="1">
        <v>1</v>
      </c>
      <c r="D1397" t="s">
        <v>49</v>
      </c>
      <c r="E1397" s="1">
        <v>2</v>
      </c>
      <c r="F1397" t="s">
        <v>66</v>
      </c>
      <c r="G1397" t="str">
        <f>VLOOKUP(Table1[[#This Row],[Winner]],Ranking!C:D,2,FALSE)</f>
        <v>BE</v>
      </c>
      <c r="H1397" s="1">
        <v>80</v>
      </c>
      <c r="I1397" s="1">
        <v>15</v>
      </c>
      <c r="J1397" t="s">
        <v>62</v>
      </c>
      <c r="K1397" t="str">
        <f>VLOOKUP(Table1[[#This Row],[Loser]],Ranking!C:D,2,FALSE)</f>
        <v>OVC</v>
      </c>
      <c r="L1397" s="1">
        <v>55</v>
      </c>
      <c r="N1397" s="1">
        <f>Table1[[#This Row],[Winning Score]]-Table1[[#This Row],[Losing Score]]</f>
        <v>25</v>
      </c>
      <c r="O1397" s="1">
        <f>Table1[[#This Row],[Losing Seed]]-Table1[[#This Row],[Winning Seed]]</f>
        <v>13</v>
      </c>
      <c r="P1397" s="1" t="str">
        <f>IF(Table1[[#This Row],[SeD]]&lt;-2,Table1[[#This Row],[Winning Seed]]&amp; " over " &amp;Table1[[#This Row],[Losing Seed]],"")</f>
        <v/>
      </c>
      <c r="Q1397">
        <f>VLOOKUP(Table1[[#This Row],[Losing Seed]],'Seed History'!$N$4:$O$19,2)</f>
        <v>7.6388888888888895E-2</v>
      </c>
      <c r="R1397" s="1">
        <f>IF(Table1[[#This Row],[Round]]="PI",0,Table1[[#This Row],[Round]]-1)</f>
        <v>0</v>
      </c>
      <c r="S1397">
        <f>Table1[[#This Row],[LAW]]-Table1[[#This Row],[LEW]]</f>
        <v>-7.6388888888888895E-2</v>
      </c>
    </row>
    <row r="1398" spans="1:19" x14ac:dyDescent="0.25">
      <c r="A1398" s="66">
        <v>39156</v>
      </c>
      <c r="B1398" s="51">
        <f>YEAR(Table1[[#This Row],[Date]])</f>
        <v>2007</v>
      </c>
      <c r="C1398" s="1">
        <v>1</v>
      </c>
      <c r="D1398" t="s">
        <v>49</v>
      </c>
      <c r="E1398" s="1">
        <v>3</v>
      </c>
      <c r="F1398" t="s">
        <v>410</v>
      </c>
      <c r="G1398" t="str">
        <f>VLOOKUP(Table1[[#This Row],[Winner]],Ranking!C:D,2,FALSE)</f>
        <v>P12</v>
      </c>
      <c r="H1398" s="1">
        <v>70</v>
      </c>
      <c r="I1398" s="1">
        <v>14</v>
      </c>
      <c r="J1398" t="s">
        <v>318</v>
      </c>
      <c r="K1398" t="str">
        <f>VLOOKUP(Table1[[#This Row],[Loser]],Ranking!C:D,2,FALSE)</f>
        <v>Sum</v>
      </c>
      <c r="L1398" s="1">
        <v>54</v>
      </c>
      <c r="N1398" s="1">
        <f>Table1[[#This Row],[Winning Score]]-Table1[[#This Row],[Losing Score]]</f>
        <v>16</v>
      </c>
      <c r="O1398" s="1">
        <f>Table1[[#This Row],[Losing Seed]]-Table1[[#This Row],[Winning Seed]]</f>
        <v>11</v>
      </c>
      <c r="P1398" s="1" t="str">
        <f>IF(Table1[[#This Row],[SeD]]&lt;-2,Table1[[#This Row],[Winning Seed]]&amp; " over " &amp;Table1[[#This Row],[Losing Seed]],"")</f>
        <v/>
      </c>
      <c r="Q1398">
        <f>VLOOKUP(Table1[[#This Row],[Losing Seed]],'Seed History'!$N$4:$O$19,2)</f>
        <v>0.16666666666666666</v>
      </c>
      <c r="R1398" s="1">
        <f>IF(Table1[[#This Row],[Round]]="PI",0,Table1[[#This Row],[Round]]-1)</f>
        <v>0</v>
      </c>
      <c r="S1398">
        <f>Table1[[#This Row],[LAW]]-Table1[[#This Row],[LEW]]</f>
        <v>-0.16666666666666666</v>
      </c>
    </row>
    <row r="1399" spans="1:19" x14ac:dyDescent="0.25">
      <c r="A1399" s="66">
        <v>39156</v>
      </c>
      <c r="B1399" s="51">
        <f>YEAR(Table1[[#This Row],[Date]])</f>
        <v>2007</v>
      </c>
      <c r="C1399" s="1">
        <v>1</v>
      </c>
      <c r="D1399" t="s">
        <v>49</v>
      </c>
      <c r="E1399" s="1">
        <v>6</v>
      </c>
      <c r="F1399" t="s">
        <v>78</v>
      </c>
      <c r="G1399" t="str">
        <f>VLOOKUP(Table1[[#This Row],[Winner]],Ranking!C:D,2,FALSE)</f>
        <v>SEC</v>
      </c>
      <c r="H1399" s="1">
        <v>77</v>
      </c>
      <c r="I1399" s="1">
        <v>11</v>
      </c>
      <c r="J1399" t="s">
        <v>213</v>
      </c>
      <c r="K1399" t="str">
        <f>VLOOKUP(Table1[[#This Row],[Loser]],Ranking!C:D,2,FALSE)</f>
        <v>A10</v>
      </c>
      <c r="L1399" s="1">
        <v>44</v>
      </c>
      <c r="N1399" s="1">
        <f>Table1[[#This Row],[Winning Score]]-Table1[[#This Row],[Losing Score]]</f>
        <v>33</v>
      </c>
      <c r="O1399" s="1">
        <f>Table1[[#This Row],[Losing Seed]]-Table1[[#This Row],[Winning Seed]]</f>
        <v>5</v>
      </c>
      <c r="P1399" s="1" t="str">
        <f>IF(Table1[[#This Row],[SeD]]&lt;-2,Table1[[#This Row],[Winning Seed]]&amp; " over " &amp;Table1[[#This Row],[Losing Seed]],"")</f>
        <v/>
      </c>
      <c r="Q1399">
        <f>VLOOKUP(Table1[[#This Row],[Losing Seed]],'Seed History'!$N$4:$O$19,2)</f>
        <v>0.63194444444444442</v>
      </c>
      <c r="R1399" s="1">
        <f>IF(Table1[[#This Row],[Round]]="PI",0,Table1[[#This Row],[Round]]-1)</f>
        <v>0</v>
      </c>
      <c r="S1399">
        <f>Table1[[#This Row],[LAW]]-Table1[[#This Row],[LEW]]</f>
        <v>-0.63194444444444442</v>
      </c>
    </row>
    <row r="1400" spans="1:19" x14ac:dyDescent="0.25">
      <c r="A1400" s="66">
        <v>39156</v>
      </c>
      <c r="B1400" s="51">
        <f>YEAR(Table1[[#This Row],[Date]])</f>
        <v>2007</v>
      </c>
      <c r="C1400" s="1">
        <v>1</v>
      </c>
      <c r="D1400" t="s">
        <v>49</v>
      </c>
      <c r="E1400" s="1">
        <v>7</v>
      </c>
      <c r="F1400" t="s">
        <v>138</v>
      </c>
      <c r="G1400" t="str">
        <f>VLOOKUP(Table1[[#This Row],[Winner]],Ranking!C:D,2,FALSE)</f>
        <v>ACC</v>
      </c>
      <c r="H1400" s="1">
        <v>84</v>
      </c>
      <c r="I1400" s="1">
        <v>10</v>
      </c>
      <c r="J1400" t="s">
        <v>92</v>
      </c>
      <c r="K1400" t="str">
        <f>VLOOKUP(Table1[[#This Row],[Loser]],Ranking!C:D,2,FALSE)</f>
        <v>B12</v>
      </c>
      <c r="L1400" s="1">
        <v>75</v>
      </c>
      <c r="N1400" s="1">
        <f>Table1[[#This Row],[Winning Score]]-Table1[[#This Row],[Losing Score]]</f>
        <v>9</v>
      </c>
      <c r="O1400" s="1">
        <f>Table1[[#This Row],[Losing Seed]]-Table1[[#This Row],[Winning Seed]]</f>
        <v>3</v>
      </c>
      <c r="P1400" s="1" t="str">
        <f>IF(Table1[[#This Row],[SeD]]&lt;-2,Table1[[#This Row],[Winning Seed]]&amp; " over " &amp;Table1[[#This Row],[Losing Seed]],"")</f>
        <v/>
      </c>
      <c r="Q1400">
        <f>VLOOKUP(Table1[[#This Row],[Losing Seed]],'Seed History'!$N$4:$O$19,2)</f>
        <v>0.61805555555555558</v>
      </c>
      <c r="R1400" s="1">
        <f>IF(Table1[[#This Row],[Round]]="PI",0,Table1[[#This Row],[Round]]-1)</f>
        <v>0</v>
      </c>
      <c r="S1400">
        <f>Table1[[#This Row],[LAW]]-Table1[[#This Row],[LEW]]</f>
        <v>-0.61805555555555558</v>
      </c>
    </row>
    <row r="1401" spans="1:19" x14ac:dyDescent="0.25">
      <c r="A1401" s="66">
        <v>39156</v>
      </c>
      <c r="B1401" s="51">
        <f>YEAR(Table1[[#This Row],[Date]])</f>
        <v>2007</v>
      </c>
      <c r="C1401" s="1">
        <v>1</v>
      </c>
      <c r="D1401" t="s">
        <v>439</v>
      </c>
      <c r="E1401" s="1">
        <v>4</v>
      </c>
      <c r="F1401" t="s">
        <v>31</v>
      </c>
      <c r="G1401" t="str">
        <f>VLOOKUP(Table1[[#This Row],[Winner]],Ranking!C:D,2,FALSE)</f>
        <v>B10</v>
      </c>
      <c r="H1401" s="1">
        <v>82</v>
      </c>
      <c r="I1401" s="1">
        <v>13</v>
      </c>
      <c r="J1401" t="s">
        <v>70</v>
      </c>
      <c r="K1401" t="str">
        <f>VLOOKUP(Table1[[#This Row],[Loser]],Ranking!C:D,2,FALSE)</f>
        <v>A10</v>
      </c>
      <c r="L1401" s="1">
        <v>70</v>
      </c>
      <c r="N1401" s="1">
        <f>Table1[[#This Row],[Winning Score]]-Table1[[#This Row],[Losing Score]]</f>
        <v>12</v>
      </c>
      <c r="O1401" s="1">
        <f>Table1[[#This Row],[Losing Seed]]-Table1[[#This Row],[Winning Seed]]</f>
        <v>9</v>
      </c>
      <c r="P1401" s="1" t="str">
        <f>IF(Table1[[#This Row],[SeD]]&lt;-2,Table1[[#This Row],[Winning Seed]]&amp; " over " &amp;Table1[[#This Row],[Losing Seed]],"")</f>
        <v/>
      </c>
      <c r="Q1401">
        <f>VLOOKUP(Table1[[#This Row],[Losing Seed]],'Seed History'!$N$4:$O$19,2)</f>
        <v>0.25694444444444442</v>
      </c>
      <c r="R1401" s="1">
        <f>IF(Table1[[#This Row],[Round]]="PI",0,Table1[[#This Row],[Round]]-1)</f>
        <v>0</v>
      </c>
      <c r="S1401">
        <f>Table1[[#This Row],[LAW]]-Table1[[#This Row],[LEW]]</f>
        <v>-0.25694444444444442</v>
      </c>
    </row>
    <row r="1402" spans="1:19" x14ac:dyDescent="0.25">
      <c r="A1402" s="66">
        <v>39156</v>
      </c>
      <c r="B1402" s="51">
        <f>YEAR(Table1[[#This Row],[Date]])</f>
        <v>2007</v>
      </c>
      <c r="C1402" s="1">
        <v>1</v>
      </c>
      <c r="D1402" t="s">
        <v>439</v>
      </c>
      <c r="E1402" s="1">
        <v>5</v>
      </c>
      <c r="F1402" t="s">
        <v>33</v>
      </c>
      <c r="G1402" t="str">
        <f>VLOOKUP(Table1[[#This Row],[Winner]],Ranking!C:D,2,FALSE)</f>
        <v>BE</v>
      </c>
      <c r="H1402" s="1">
        <v>57</v>
      </c>
      <c r="I1402" s="1">
        <v>12</v>
      </c>
      <c r="J1402" t="s">
        <v>317</v>
      </c>
      <c r="K1402" t="str">
        <f>VLOOKUP(Table1[[#This Row],[Loser]],Ranking!C:D,2,FALSE)</f>
        <v>CUSA</v>
      </c>
      <c r="L1402" s="1">
        <v>46</v>
      </c>
      <c r="N1402" s="1">
        <f>Table1[[#This Row],[Winning Score]]-Table1[[#This Row],[Losing Score]]</f>
        <v>11</v>
      </c>
      <c r="O1402" s="1">
        <f>Table1[[#This Row],[Losing Seed]]-Table1[[#This Row],[Winning Seed]]</f>
        <v>7</v>
      </c>
      <c r="P1402" s="1" t="str">
        <f>IF(Table1[[#This Row],[SeD]]&lt;-2,Table1[[#This Row],[Winning Seed]]&amp; " over " &amp;Table1[[#This Row],[Losing Seed]],"")</f>
        <v/>
      </c>
      <c r="Q1402">
        <f>VLOOKUP(Table1[[#This Row],[Losing Seed]],'Seed History'!$N$4:$O$19,2)</f>
        <v>0.52083333333333337</v>
      </c>
      <c r="R1402" s="1">
        <f>IF(Table1[[#This Row],[Round]]="PI",0,Table1[[#This Row],[Round]]-1)</f>
        <v>0</v>
      </c>
      <c r="S1402">
        <f>Table1[[#This Row],[LAW]]-Table1[[#This Row],[LEW]]</f>
        <v>-0.52083333333333337</v>
      </c>
    </row>
    <row r="1403" spans="1:19" x14ac:dyDescent="0.25">
      <c r="A1403" s="66">
        <v>39156</v>
      </c>
      <c r="B1403" s="51">
        <f>YEAR(Table1[[#This Row],[Date]])</f>
        <v>2007</v>
      </c>
      <c r="C1403" s="1">
        <v>1</v>
      </c>
      <c r="D1403" t="s">
        <v>63</v>
      </c>
      <c r="E1403" s="1">
        <v>1</v>
      </c>
      <c r="F1403" t="s">
        <v>315</v>
      </c>
      <c r="G1403" t="str">
        <f>VLOOKUP(Table1[[#This Row],[Winner]],Ranking!C:D,2,FALSE)</f>
        <v>B10</v>
      </c>
      <c r="H1403" s="1">
        <v>78</v>
      </c>
      <c r="I1403" s="1">
        <v>16</v>
      </c>
      <c r="J1403" t="s">
        <v>162</v>
      </c>
      <c r="K1403" t="str">
        <f>VLOOKUP(Table1[[#This Row],[Loser]],Ranking!C:D,2,FALSE)</f>
        <v>NEC</v>
      </c>
      <c r="L1403" s="1">
        <v>57</v>
      </c>
      <c r="N1403" s="1">
        <f>Table1[[#This Row],[Winning Score]]-Table1[[#This Row],[Losing Score]]</f>
        <v>21</v>
      </c>
      <c r="O1403" s="1">
        <f>Table1[[#This Row],[Losing Seed]]-Table1[[#This Row],[Winning Seed]]</f>
        <v>15</v>
      </c>
      <c r="P1403" s="1" t="str">
        <f>IF(Table1[[#This Row],[SeD]]&lt;-2,Table1[[#This Row],[Winning Seed]]&amp; " over " &amp;Table1[[#This Row],[Losing Seed]],"")</f>
        <v/>
      </c>
      <c r="Q1403">
        <f>VLOOKUP(Table1[[#This Row],[Losing Seed]],'Seed History'!$N$4:$O$19,2)</f>
        <v>6.9444444444444441E-3</v>
      </c>
      <c r="R1403" s="1">
        <f>IF(Table1[[#This Row],[Round]]="PI",0,Table1[[#This Row],[Round]]-1)</f>
        <v>0</v>
      </c>
      <c r="S1403">
        <f>Table1[[#This Row],[LAW]]-Table1[[#This Row],[LEW]]</f>
        <v>-6.9444444444444441E-3</v>
      </c>
    </row>
    <row r="1404" spans="1:19" x14ac:dyDescent="0.25">
      <c r="A1404" s="66">
        <v>39156</v>
      </c>
      <c r="B1404" s="51">
        <f>YEAR(Table1[[#This Row],[Date]])</f>
        <v>2007</v>
      </c>
      <c r="C1404" s="1">
        <v>1</v>
      </c>
      <c r="D1404" t="s">
        <v>63</v>
      </c>
      <c r="E1404" s="1">
        <v>3</v>
      </c>
      <c r="F1404" t="s">
        <v>79</v>
      </c>
      <c r="G1404" t="str">
        <f>VLOOKUP(Table1[[#This Row],[Winner]],Ranking!C:D,2,FALSE)</f>
        <v>SEC</v>
      </c>
      <c r="H1404" s="1">
        <v>68</v>
      </c>
      <c r="I1404" s="1">
        <v>14</v>
      </c>
      <c r="J1404" t="s">
        <v>321</v>
      </c>
      <c r="K1404" t="str">
        <f>VLOOKUP(Table1[[#This Row],[Loser]],Ranking!C:D,2,FALSE)</f>
        <v>Ivy</v>
      </c>
      <c r="L1404" s="1">
        <v>52</v>
      </c>
      <c r="N1404" s="1">
        <f>Table1[[#This Row],[Winning Score]]-Table1[[#This Row],[Losing Score]]</f>
        <v>16</v>
      </c>
      <c r="O1404" s="1">
        <f>Table1[[#This Row],[Losing Seed]]-Table1[[#This Row],[Winning Seed]]</f>
        <v>11</v>
      </c>
      <c r="P1404" s="1" t="str">
        <f>IF(Table1[[#This Row],[SeD]]&lt;-2,Table1[[#This Row],[Winning Seed]]&amp; " over " &amp;Table1[[#This Row],[Losing Seed]],"")</f>
        <v/>
      </c>
      <c r="Q1404">
        <f>VLOOKUP(Table1[[#This Row],[Losing Seed]],'Seed History'!$N$4:$O$19,2)</f>
        <v>0.16666666666666666</v>
      </c>
      <c r="R1404" s="1">
        <f>IF(Table1[[#This Row],[Round]]="PI",0,Table1[[#This Row],[Round]]-1)</f>
        <v>0</v>
      </c>
      <c r="S1404">
        <f>Table1[[#This Row],[LAW]]-Table1[[#This Row],[LEW]]</f>
        <v>-0.16666666666666666</v>
      </c>
    </row>
    <row r="1405" spans="1:19" x14ac:dyDescent="0.25">
      <c r="A1405" s="66">
        <v>39156</v>
      </c>
      <c r="B1405" s="51">
        <f>YEAR(Table1[[#This Row],[Date]])</f>
        <v>2007</v>
      </c>
      <c r="C1405" s="1">
        <v>1</v>
      </c>
      <c r="D1405" t="s">
        <v>63</v>
      </c>
      <c r="E1405" s="1">
        <v>6</v>
      </c>
      <c r="F1405" t="s">
        <v>54</v>
      </c>
      <c r="G1405" t="str">
        <f>VLOOKUP(Table1[[#This Row],[Winner]],Ranking!C:D,2,FALSE)</f>
        <v>ACC</v>
      </c>
      <c r="H1405" s="1">
        <v>78</v>
      </c>
      <c r="I1405" s="1">
        <v>11</v>
      </c>
      <c r="J1405" t="s">
        <v>369</v>
      </c>
      <c r="K1405" t="str">
        <f>VLOOKUP(Table1[[#This Row],[Loser]],Ranking!C:D,2,FALSE)</f>
        <v>P12</v>
      </c>
      <c r="L1405" s="1">
        <v>58</v>
      </c>
      <c r="N1405" s="1">
        <f>Table1[[#This Row],[Winning Score]]-Table1[[#This Row],[Losing Score]]</f>
        <v>20</v>
      </c>
      <c r="O1405" s="1">
        <f>Table1[[#This Row],[Losing Seed]]-Table1[[#This Row],[Winning Seed]]</f>
        <v>5</v>
      </c>
      <c r="P1405" s="1" t="str">
        <f>IF(Table1[[#This Row],[SeD]]&lt;-2,Table1[[#This Row],[Winning Seed]]&amp; " over " &amp;Table1[[#This Row],[Losing Seed]],"")</f>
        <v/>
      </c>
      <c r="Q1405">
        <f>VLOOKUP(Table1[[#This Row],[Losing Seed]],'Seed History'!$N$4:$O$19,2)</f>
        <v>0.63194444444444442</v>
      </c>
      <c r="R1405" s="1">
        <f>IF(Table1[[#This Row],[Round]]="PI",0,Table1[[#This Row],[Round]]-1)</f>
        <v>0</v>
      </c>
      <c r="S1405">
        <f>Table1[[#This Row],[LAW]]-Table1[[#This Row],[LEW]]</f>
        <v>-0.63194444444444442</v>
      </c>
    </row>
    <row r="1406" spans="1:19" x14ac:dyDescent="0.25">
      <c r="A1406" s="66">
        <v>39156</v>
      </c>
      <c r="B1406" s="51">
        <f>YEAR(Table1[[#This Row],[Date]])</f>
        <v>2007</v>
      </c>
      <c r="C1406" s="1">
        <v>1</v>
      </c>
      <c r="D1406" t="s">
        <v>38</v>
      </c>
      <c r="E1406" s="1">
        <v>2</v>
      </c>
      <c r="F1406" t="s">
        <v>67</v>
      </c>
      <c r="G1406" t="str">
        <f>VLOOKUP(Table1[[#This Row],[Winner]],Ranking!C:D,2,FALSE)</f>
        <v>P12</v>
      </c>
      <c r="H1406" s="1">
        <v>70</v>
      </c>
      <c r="I1406" s="1">
        <v>15</v>
      </c>
      <c r="J1406" t="s">
        <v>411</v>
      </c>
      <c r="K1406" t="str">
        <f>VLOOKUP(Table1[[#This Row],[Loser]],Ranking!C:D,2,FALSE)</f>
        <v>BSky</v>
      </c>
      <c r="L1406" s="1">
        <v>42</v>
      </c>
      <c r="N1406" s="1">
        <f>Table1[[#This Row],[Winning Score]]-Table1[[#This Row],[Losing Score]]</f>
        <v>28</v>
      </c>
      <c r="O1406" s="1">
        <f>Table1[[#This Row],[Losing Seed]]-Table1[[#This Row],[Winning Seed]]</f>
        <v>13</v>
      </c>
      <c r="P1406" s="1" t="str">
        <f>IF(Table1[[#This Row],[SeD]]&lt;-2,Table1[[#This Row],[Winning Seed]]&amp; " over " &amp;Table1[[#This Row],[Losing Seed]],"")</f>
        <v/>
      </c>
      <c r="Q1406">
        <f>VLOOKUP(Table1[[#This Row],[Losing Seed]],'Seed History'!$N$4:$O$19,2)</f>
        <v>7.6388888888888895E-2</v>
      </c>
      <c r="R1406" s="1">
        <f>IF(Table1[[#This Row],[Round]]="PI",0,Table1[[#This Row],[Round]]-1)</f>
        <v>0</v>
      </c>
      <c r="S1406">
        <f>Table1[[#This Row],[LAW]]-Table1[[#This Row],[LEW]]</f>
        <v>-7.6388888888888895E-2</v>
      </c>
    </row>
    <row r="1407" spans="1:19" x14ac:dyDescent="0.25">
      <c r="A1407" s="66">
        <v>39156</v>
      </c>
      <c r="B1407" s="51">
        <f>YEAR(Table1[[#This Row],[Date]])</f>
        <v>2007</v>
      </c>
      <c r="C1407" s="1">
        <v>1</v>
      </c>
      <c r="D1407" t="s">
        <v>38</v>
      </c>
      <c r="E1407" s="1">
        <v>3</v>
      </c>
      <c r="F1407" t="s">
        <v>83</v>
      </c>
      <c r="G1407" t="str">
        <f>VLOOKUP(Table1[[#This Row],[Winner]],Ranking!C:D,2,FALSE)</f>
        <v>ACC</v>
      </c>
      <c r="H1407" s="1">
        <v>79</v>
      </c>
      <c r="I1407" s="1">
        <v>14</v>
      </c>
      <c r="J1407" t="s">
        <v>420</v>
      </c>
      <c r="K1407" t="str">
        <f>VLOOKUP(Table1[[#This Row],[Loser]],Ranking!C:D,2,FALSE)</f>
        <v>Horz</v>
      </c>
      <c r="L1407" s="1">
        <v>58</v>
      </c>
      <c r="N1407" s="1">
        <f>Table1[[#This Row],[Winning Score]]-Table1[[#This Row],[Losing Score]]</f>
        <v>21</v>
      </c>
      <c r="O1407" s="1">
        <f>Table1[[#This Row],[Losing Seed]]-Table1[[#This Row],[Winning Seed]]</f>
        <v>11</v>
      </c>
      <c r="P1407" s="1" t="str">
        <f>IF(Table1[[#This Row],[SeD]]&lt;-2,Table1[[#This Row],[Winning Seed]]&amp; " over " &amp;Table1[[#This Row],[Losing Seed]],"")</f>
        <v/>
      </c>
      <c r="Q1407">
        <f>VLOOKUP(Table1[[#This Row],[Losing Seed]],'Seed History'!$N$4:$O$19,2)</f>
        <v>0.16666666666666666</v>
      </c>
      <c r="R1407" s="1">
        <f>IF(Table1[[#This Row],[Round]]="PI",0,Table1[[#This Row],[Round]]-1)</f>
        <v>0</v>
      </c>
      <c r="S1407">
        <f>Table1[[#This Row],[LAW]]-Table1[[#This Row],[LEW]]</f>
        <v>-0.16666666666666666</v>
      </c>
    </row>
    <row r="1408" spans="1:19" x14ac:dyDescent="0.25">
      <c r="A1408" s="66">
        <v>39156</v>
      </c>
      <c r="B1408" s="51">
        <f>YEAR(Table1[[#This Row],[Date]])</f>
        <v>2007</v>
      </c>
      <c r="C1408" s="1">
        <v>1</v>
      </c>
      <c r="D1408" t="s">
        <v>38</v>
      </c>
      <c r="E1408" s="1">
        <v>7</v>
      </c>
      <c r="F1408" t="s">
        <v>36</v>
      </c>
      <c r="G1408" t="str">
        <f>VLOOKUP(Table1[[#This Row],[Winner]],Ranking!C:D,2,FALSE)</f>
        <v>B10</v>
      </c>
      <c r="H1408" s="1">
        <v>70</v>
      </c>
      <c r="I1408" s="1">
        <v>10</v>
      </c>
      <c r="J1408" t="s">
        <v>71</v>
      </c>
      <c r="K1408" t="str">
        <f>VLOOKUP(Table1[[#This Row],[Loser]],Ranking!C:D,2,FALSE)</f>
        <v>WCC</v>
      </c>
      <c r="L1408" s="1">
        <v>57</v>
      </c>
      <c r="N1408" s="1">
        <f>Table1[[#This Row],[Winning Score]]-Table1[[#This Row],[Losing Score]]</f>
        <v>13</v>
      </c>
      <c r="O1408" s="1">
        <f>Table1[[#This Row],[Losing Seed]]-Table1[[#This Row],[Winning Seed]]</f>
        <v>3</v>
      </c>
      <c r="P1408" s="1" t="str">
        <f>IF(Table1[[#This Row],[SeD]]&lt;-2,Table1[[#This Row],[Winning Seed]]&amp; " over " &amp;Table1[[#This Row],[Losing Seed]],"")</f>
        <v/>
      </c>
      <c r="Q1408">
        <f>VLOOKUP(Table1[[#This Row],[Losing Seed]],'Seed History'!$N$4:$O$19,2)</f>
        <v>0.61805555555555558</v>
      </c>
      <c r="R1408" s="1">
        <f>IF(Table1[[#This Row],[Round]]="PI",0,Table1[[#This Row],[Round]]-1)</f>
        <v>0</v>
      </c>
      <c r="S1408">
        <f>Table1[[#This Row],[LAW]]-Table1[[#This Row],[LEW]]</f>
        <v>-0.61805555555555558</v>
      </c>
    </row>
    <row r="1409" spans="1:19" x14ac:dyDescent="0.25">
      <c r="A1409" s="66">
        <v>39156</v>
      </c>
      <c r="B1409" s="51">
        <f>YEAR(Table1[[#This Row],[Date]])</f>
        <v>2007</v>
      </c>
      <c r="C1409" s="1">
        <v>1</v>
      </c>
      <c r="D1409" t="s">
        <v>49</v>
      </c>
      <c r="E1409" s="1">
        <v>9</v>
      </c>
      <c r="F1409" t="s">
        <v>271</v>
      </c>
      <c r="G1409" t="str">
        <f>VLOOKUP(Table1[[#This Row],[Winner]],Ranking!C:D,2,FALSE)</f>
        <v>B10</v>
      </c>
      <c r="H1409" s="1">
        <v>61</v>
      </c>
      <c r="I1409" s="1">
        <v>8</v>
      </c>
      <c r="J1409" t="s">
        <v>262</v>
      </c>
      <c r="K1409" t="str">
        <f>VLOOKUP(Table1[[#This Row],[Loser]],Ranking!C:D,2,FALSE)</f>
        <v>BE</v>
      </c>
      <c r="L1409" s="1">
        <v>49</v>
      </c>
      <c r="N1409" s="1">
        <f>Table1[[#This Row],[Winning Score]]-Table1[[#This Row],[Losing Score]]</f>
        <v>12</v>
      </c>
      <c r="O1409" s="1">
        <f>Table1[[#This Row],[Losing Seed]]-Table1[[#This Row],[Winning Seed]]</f>
        <v>-1</v>
      </c>
      <c r="P1409" s="1" t="str">
        <f>IF(Table1[[#This Row],[SeD]]&lt;-2,Table1[[#This Row],[Winning Seed]]&amp; " over " &amp;Table1[[#This Row],[Losing Seed]],"")</f>
        <v/>
      </c>
      <c r="Q1409">
        <f>VLOOKUP(Table1[[#This Row],[Losing Seed]],'Seed History'!$N$4:$O$19,2)</f>
        <v>0.70833333333333337</v>
      </c>
      <c r="R1409" s="1">
        <f>IF(Table1[[#This Row],[Round]]="PI",0,Table1[[#This Row],[Round]]-1)</f>
        <v>0</v>
      </c>
      <c r="S1409">
        <f>Table1[[#This Row],[LAW]]-Table1[[#This Row],[LEW]]</f>
        <v>-0.70833333333333337</v>
      </c>
    </row>
    <row r="1410" spans="1:19" x14ac:dyDescent="0.25">
      <c r="A1410" s="66">
        <v>39156</v>
      </c>
      <c r="B1410" s="51">
        <f>YEAR(Table1[[#This Row],[Date]])</f>
        <v>2007</v>
      </c>
      <c r="C1410" s="1">
        <v>1</v>
      </c>
      <c r="D1410" t="s">
        <v>63</v>
      </c>
      <c r="E1410" s="1">
        <v>9</v>
      </c>
      <c r="F1410" t="s">
        <v>44</v>
      </c>
      <c r="G1410" t="str">
        <f>VLOOKUP(Table1[[#This Row],[Winner]],Ranking!C:D,2,FALSE)</f>
        <v>BE</v>
      </c>
      <c r="H1410" s="1">
        <v>79</v>
      </c>
      <c r="I1410" s="1">
        <v>8</v>
      </c>
      <c r="J1410" t="s">
        <v>72</v>
      </c>
      <c r="K1410" t="str">
        <f>VLOOKUP(Table1[[#This Row],[Loser]],Ranking!C:D,2,FALSE)</f>
        <v>WCC</v>
      </c>
      <c r="L1410" s="1">
        <v>77</v>
      </c>
      <c r="N1410" s="1">
        <f>Table1[[#This Row],[Winning Score]]-Table1[[#This Row],[Losing Score]]</f>
        <v>2</v>
      </c>
      <c r="O1410" s="1">
        <f>Table1[[#This Row],[Losing Seed]]-Table1[[#This Row],[Winning Seed]]</f>
        <v>-1</v>
      </c>
      <c r="P1410" s="1" t="str">
        <f>IF(Table1[[#This Row],[SeD]]&lt;-2,Table1[[#This Row],[Winning Seed]]&amp; " over " &amp;Table1[[#This Row],[Losing Seed]],"")</f>
        <v/>
      </c>
      <c r="Q1410">
        <f>VLOOKUP(Table1[[#This Row],[Losing Seed]],'Seed History'!$N$4:$O$19,2)</f>
        <v>0.70833333333333337</v>
      </c>
      <c r="R1410" s="1">
        <f>IF(Table1[[#This Row],[Round]]="PI",0,Table1[[#This Row],[Round]]-1)</f>
        <v>0</v>
      </c>
      <c r="S1410">
        <f>Table1[[#This Row],[LAW]]-Table1[[#This Row],[LEW]]</f>
        <v>-0.70833333333333337</v>
      </c>
    </row>
    <row r="1411" spans="1:19" x14ac:dyDescent="0.25">
      <c r="A1411" s="66">
        <v>39157</v>
      </c>
      <c r="B1411" s="51">
        <f>YEAR(Table1[[#This Row],[Date]])</f>
        <v>2007</v>
      </c>
      <c r="C1411" s="1">
        <v>1</v>
      </c>
      <c r="D1411" t="s">
        <v>439</v>
      </c>
      <c r="E1411" s="1">
        <v>11</v>
      </c>
      <c r="F1411" t="s">
        <v>419</v>
      </c>
      <c r="G1411" t="str">
        <f>VLOOKUP(Table1[[#This Row],[Winner]],Ranking!C:D,2,FALSE)</f>
        <v>BSth</v>
      </c>
      <c r="H1411" s="1">
        <v>74</v>
      </c>
      <c r="I1411" s="1">
        <v>6</v>
      </c>
      <c r="J1411" t="s">
        <v>35</v>
      </c>
      <c r="K1411" t="str">
        <f>VLOOKUP(Table1[[#This Row],[Loser]],Ranking!C:D,2,FALSE)</f>
        <v>ACC</v>
      </c>
      <c r="L1411" s="1">
        <v>64</v>
      </c>
      <c r="N1411" s="1">
        <f>Table1[[#This Row],[Winning Score]]-Table1[[#This Row],[Losing Score]]</f>
        <v>10</v>
      </c>
      <c r="O1411" s="1">
        <f>Table1[[#This Row],[Losing Seed]]-Table1[[#This Row],[Winning Seed]]</f>
        <v>-5</v>
      </c>
      <c r="P1411" s="1" t="str">
        <f>IF(Table1[[#This Row],[SeD]]&lt;-2,Table1[[#This Row],[Winning Seed]]&amp; " over " &amp;Table1[[#This Row],[Losing Seed]],"")</f>
        <v>11 over 6</v>
      </c>
      <c r="Q1411">
        <f>VLOOKUP(Table1[[#This Row],[Losing Seed]],'Seed History'!$N$4:$O$19,2)</f>
        <v>1.0625</v>
      </c>
      <c r="R1411" s="1">
        <f>IF(Table1[[#This Row],[Round]]="PI",0,Table1[[#This Row],[Round]]-1)</f>
        <v>0</v>
      </c>
      <c r="S1411">
        <f>Table1[[#This Row],[LAW]]-Table1[[#This Row],[LEW]]</f>
        <v>-1.0625</v>
      </c>
    </row>
    <row r="1412" spans="1:19" x14ac:dyDescent="0.25">
      <c r="A1412" s="66">
        <v>39157</v>
      </c>
      <c r="B1412" s="51">
        <f>YEAR(Table1[[#This Row],[Date]])</f>
        <v>2007</v>
      </c>
      <c r="C1412" s="1">
        <v>1</v>
      </c>
      <c r="D1412" t="s">
        <v>49</v>
      </c>
      <c r="E1412" s="1">
        <v>4</v>
      </c>
      <c r="F1412" t="s">
        <v>34</v>
      </c>
      <c r="G1412" t="str">
        <f>VLOOKUP(Table1[[#This Row],[Winner]],Ranking!C:D,2,FALSE)</f>
        <v>B12</v>
      </c>
      <c r="H1412" s="1">
        <v>79</v>
      </c>
      <c r="I1412" s="1">
        <v>13</v>
      </c>
      <c r="J1412" t="s">
        <v>292</v>
      </c>
      <c r="K1412" t="str">
        <f>VLOOKUP(Table1[[#This Row],[Loser]],Ranking!C:D,2,FALSE)</f>
        <v>WAC</v>
      </c>
      <c r="L1412" s="1">
        <v>67</v>
      </c>
      <c r="N1412" s="1">
        <f>Table1[[#This Row],[Winning Score]]-Table1[[#This Row],[Losing Score]]</f>
        <v>12</v>
      </c>
      <c r="O1412" s="1">
        <f>Table1[[#This Row],[Losing Seed]]-Table1[[#This Row],[Winning Seed]]</f>
        <v>9</v>
      </c>
      <c r="P1412" s="1" t="str">
        <f>IF(Table1[[#This Row],[SeD]]&lt;-2,Table1[[#This Row],[Winning Seed]]&amp; " over " &amp;Table1[[#This Row],[Losing Seed]],"")</f>
        <v/>
      </c>
      <c r="Q1412">
        <f>VLOOKUP(Table1[[#This Row],[Losing Seed]],'Seed History'!$N$4:$O$19,2)</f>
        <v>0.25694444444444442</v>
      </c>
      <c r="R1412" s="1">
        <f>IF(Table1[[#This Row],[Round]]="PI",0,Table1[[#This Row],[Round]]-1)</f>
        <v>0</v>
      </c>
      <c r="S1412">
        <f>Table1[[#This Row],[LAW]]-Table1[[#This Row],[LEW]]</f>
        <v>-0.25694444444444442</v>
      </c>
    </row>
    <row r="1413" spans="1:19" x14ac:dyDescent="0.25">
      <c r="A1413" s="66">
        <v>39157</v>
      </c>
      <c r="B1413" s="51">
        <f>YEAR(Table1[[#This Row],[Date]])</f>
        <v>2007</v>
      </c>
      <c r="C1413" s="1">
        <v>1</v>
      </c>
      <c r="D1413" t="s">
        <v>49</v>
      </c>
      <c r="E1413" s="1">
        <v>5</v>
      </c>
      <c r="F1413" t="s">
        <v>85</v>
      </c>
      <c r="G1413" t="str">
        <f>VLOOKUP(Table1[[#This Row],[Winner]],Ranking!C:D,2,FALSE)</f>
        <v>P12</v>
      </c>
      <c r="H1413" s="1">
        <v>77</v>
      </c>
      <c r="I1413" s="1">
        <v>12</v>
      </c>
      <c r="J1413" t="s">
        <v>41</v>
      </c>
      <c r="K1413" t="str">
        <f>VLOOKUP(Table1[[#This Row],[Loser]],Ranking!C:D,2,FALSE)</f>
        <v>SEC</v>
      </c>
      <c r="L1413" s="1">
        <v>60</v>
      </c>
      <c r="N1413" s="1">
        <f>Table1[[#This Row],[Winning Score]]-Table1[[#This Row],[Losing Score]]</f>
        <v>17</v>
      </c>
      <c r="O1413" s="1">
        <f>Table1[[#This Row],[Losing Seed]]-Table1[[#This Row],[Winning Seed]]</f>
        <v>7</v>
      </c>
      <c r="P1413" s="1" t="str">
        <f>IF(Table1[[#This Row],[SeD]]&lt;-2,Table1[[#This Row],[Winning Seed]]&amp; " over " &amp;Table1[[#This Row],[Losing Seed]],"")</f>
        <v/>
      </c>
      <c r="Q1413">
        <f>VLOOKUP(Table1[[#This Row],[Losing Seed]],'Seed History'!$N$4:$O$19,2)</f>
        <v>0.52083333333333337</v>
      </c>
      <c r="R1413" s="1">
        <f>IF(Table1[[#This Row],[Round]]="PI",0,Table1[[#This Row],[Round]]-1)</f>
        <v>0</v>
      </c>
      <c r="S1413">
        <f>Table1[[#This Row],[LAW]]-Table1[[#This Row],[LEW]]</f>
        <v>-0.52083333333333337</v>
      </c>
    </row>
    <row r="1414" spans="1:19" x14ac:dyDescent="0.25">
      <c r="A1414" s="66">
        <v>39157</v>
      </c>
      <c r="B1414" s="51">
        <f>YEAR(Table1[[#This Row],[Date]])</f>
        <v>2007</v>
      </c>
      <c r="C1414" s="1">
        <v>1</v>
      </c>
      <c r="D1414" t="s">
        <v>439</v>
      </c>
      <c r="E1414" s="1">
        <v>1</v>
      </c>
      <c r="F1414" t="s">
        <v>81</v>
      </c>
      <c r="G1414" t="str">
        <f>VLOOKUP(Table1[[#This Row],[Winner]],Ranking!C:D,2,FALSE)</f>
        <v>SEC</v>
      </c>
      <c r="H1414" s="1">
        <v>112</v>
      </c>
      <c r="I1414" s="1">
        <v>16</v>
      </c>
      <c r="J1414" t="s">
        <v>239</v>
      </c>
      <c r="K1414" t="str">
        <f>VLOOKUP(Table1[[#This Row],[Loser]],Ranking!C:D,2,FALSE)</f>
        <v>SWAC</v>
      </c>
      <c r="L1414" s="1">
        <v>69</v>
      </c>
      <c r="N1414" s="1">
        <f>Table1[[#This Row],[Winning Score]]-Table1[[#This Row],[Losing Score]]</f>
        <v>43</v>
      </c>
      <c r="O1414" s="1">
        <f>Table1[[#This Row],[Losing Seed]]-Table1[[#This Row],[Winning Seed]]</f>
        <v>15</v>
      </c>
      <c r="P1414" s="1" t="str">
        <f>IF(Table1[[#This Row],[SeD]]&lt;-2,Table1[[#This Row],[Winning Seed]]&amp; " over " &amp;Table1[[#This Row],[Losing Seed]],"")</f>
        <v/>
      </c>
      <c r="Q1414">
        <f>VLOOKUP(Table1[[#This Row],[Losing Seed]],'Seed History'!$N$4:$O$19,2)</f>
        <v>6.9444444444444441E-3</v>
      </c>
      <c r="R1414" s="1">
        <f>IF(Table1[[#This Row],[Round]]="PI",0,Table1[[#This Row],[Round]]-1)</f>
        <v>0</v>
      </c>
      <c r="S1414">
        <f>Table1[[#This Row],[LAW]]-Table1[[#This Row],[LEW]]</f>
        <v>-6.9444444444444441E-3</v>
      </c>
    </row>
    <row r="1415" spans="1:19" x14ac:dyDescent="0.25">
      <c r="A1415" s="66">
        <v>39157</v>
      </c>
      <c r="B1415" s="51">
        <f>YEAR(Table1[[#This Row],[Date]])</f>
        <v>2007</v>
      </c>
      <c r="C1415" s="1">
        <v>1</v>
      </c>
      <c r="D1415" t="s">
        <v>439</v>
      </c>
      <c r="E1415" s="1">
        <v>2</v>
      </c>
      <c r="F1415" t="s">
        <v>39</v>
      </c>
      <c r="G1415" t="str">
        <f>VLOOKUP(Table1[[#This Row],[Winner]],Ranking!C:D,2,FALSE)</f>
        <v>B10</v>
      </c>
      <c r="H1415" s="1">
        <v>76</v>
      </c>
      <c r="I1415" s="1">
        <v>15</v>
      </c>
      <c r="J1415" t="s">
        <v>378</v>
      </c>
      <c r="K1415" t="str">
        <f>VLOOKUP(Table1[[#This Row],[Loser]],Ranking!C:D,2,FALSE)</f>
        <v>Slnd</v>
      </c>
      <c r="L1415" s="1">
        <v>63</v>
      </c>
      <c r="N1415" s="1">
        <f>Table1[[#This Row],[Winning Score]]-Table1[[#This Row],[Losing Score]]</f>
        <v>13</v>
      </c>
      <c r="O1415" s="1">
        <f>Table1[[#This Row],[Losing Seed]]-Table1[[#This Row],[Winning Seed]]</f>
        <v>13</v>
      </c>
      <c r="P1415" s="1" t="str">
        <f>IF(Table1[[#This Row],[SeD]]&lt;-2,Table1[[#This Row],[Winning Seed]]&amp; " over " &amp;Table1[[#This Row],[Losing Seed]],"")</f>
        <v/>
      </c>
      <c r="Q1415">
        <f>VLOOKUP(Table1[[#This Row],[Losing Seed]],'Seed History'!$N$4:$O$19,2)</f>
        <v>7.6388888888888895E-2</v>
      </c>
      <c r="R1415" s="1">
        <f>IF(Table1[[#This Row],[Round]]="PI",0,Table1[[#This Row],[Round]]-1)</f>
        <v>0</v>
      </c>
      <c r="S1415">
        <f>Table1[[#This Row],[LAW]]-Table1[[#This Row],[LEW]]</f>
        <v>-7.6388888888888895E-2</v>
      </c>
    </row>
    <row r="1416" spans="1:19" x14ac:dyDescent="0.25">
      <c r="A1416" s="66">
        <v>39157</v>
      </c>
      <c r="B1416" s="51">
        <f>YEAR(Table1[[#This Row],[Date]])</f>
        <v>2007</v>
      </c>
      <c r="C1416" s="1">
        <v>1</v>
      </c>
      <c r="D1416" t="s">
        <v>439</v>
      </c>
      <c r="E1416" s="1">
        <v>3</v>
      </c>
      <c r="F1416" t="s">
        <v>40</v>
      </c>
      <c r="G1416" t="str">
        <f>VLOOKUP(Table1[[#This Row],[Winner]],Ranking!C:D,2,FALSE)</f>
        <v>P12</v>
      </c>
      <c r="H1416" s="1">
        <v>58</v>
      </c>
      <c r="I1416" s="1">
        <v>14</v>
      </c>
      <c r="J1416" t="s">
        <v>270</v>
      </c>
      <c r="K1416" t="str">
        <f>VLOOKUP(Table1[[#This Row],[Loser]],Ranking!C:D,2,FALSE)</f>
        <v>MAC</v>
      </c>
      <c r="L1416" s="1">
        <v>56</v>
      </c>
      <c r="N1416" s="1">
        <f>Table1[[#This Row],[Winning Score]]-Table1[[#This Row],[Losing Score]]</f>
        <v>2</v>
      </c>
      <c r="O1416" s="1">
        <f>Table1[[#This Row],[Losing Seed]]-Table1[[#This Row],[Winning Seed]]</f>
        <v>11</v>
      </c>
      <c r="P1416" s="1" t="str">
        <f>IF(Table1[[#This Row],[SeD]]&lt;-2,Table1[[#This Row],[Winning Seed]]&amp; " over " &amp;Table1[[#This Row],[Losing Seed]],"")</f>
        <v/>
      </c>
      <c r="Q1416">
        <f>VLOOKUP(Table1[[#This Row],[Losing Seed]],'Seed History'!$N$4:$O$19,2)</f>
        <v>0.16666666666666666</v>
      </c>
      <c r="R1416" s="1">
        <f>IF(Table1[[#This Row],[Round]]="PI",0,Table1[[#This Row],[Round]]-1)</f>
        <v>0</v>
      </c>
      <c r="S1416">
        <f>Table1[[#This Row],[LAW]]-Table1[[#This Row],[LEW]]</f>
        <v>-0.16666666666666666</v>
      </c>
    </row>
    <row r="1417" spans="1:19" x14ac:dyDescent="0.25">
      <c r="A1417" s="66">
        <v>39157</v>
      </c>
      <c r="B1417" s="51">
        <f>YEAR(Table1[[#This Row],[Date]])</f>
        <v>2007</v>
      </c>
      <c r="C1417" s="1">
        <v>1</v>
      </c>
      <c r="D1417" t="s">
        <v>439</v>
      </c>
      <c r="E1417" s="1">
        <v>7</v>
      </c>
      <c r="F1417" t="s">
        <v>396</v>
      </c>
      <c r="G1417" t="str">
        <f>VLOOKUP(Table1[[#This Row],[Winner]],Ranking!C:D,2,FALSE)</f>
        <v>MWC</v>
      </c>
      <c r="H1417" s="1">
        <v>67</v>
      </c>
      <c r="I1417" s="1">
        <v>10</v>
      </c>
      <c r="J1417" t="s">
        <v>216</v>
      </c>
      <c r="K1417" t="str">
        <f>VLOOKUP(Table1[[#This Row],[Loser]],Ranking!C:D,2,FALSE)</f>
        <v>ACC</v>
      </c>
      <c r="L1417" s="1">
        <v>63</v>
      </c>
      <c r="N1417" s="1">
        <f>Table1[[#This Row],[Winning Score]]-Table1[[#This Row],[Losing Score]]</f>
        <v>4</v>
      </c>
      <c r="O1417" s="1">
        <f>Table1[[#This Row],[Losing Seed]]-Table1[[#This Row],[Winning Seed]]</f>
        <v>3</v>
      </c>
      <c r="P1417" s="1" t="str">
        <f>IF(Table1[[#This Row],[SeD]]&lt;-2,Table1[[#This Row],[Winning Seed]]&amp; " over " &amp;Table1[[#This Row],[Losing Seed]],"")</f>
        <v/>
      </c>
      <c r="Q1417">
        <f>VLOOKUP(Table1[[#This Row],[Losing Seed]],'Seed History'!$N$4:$O$19,2)</f>
        <v>0.61805555555555558</v>
      </c>
      <c r="R1417" s="1">
        <f>IF(Table1[[#This Row],[Round]]="PI",0,Table1[[#This Row],[Round]]-1)</f>
        <v>0</v>
      </c>
      <c r="S1417">
        <f>Table1[[#This Row],[LAW]]-Table1[[#This Row],[LEW]]</f>
        <v>-0.61805555555555558</v>
      </c>
    </row>
    <row r="1418" spans="1:19" x14ac:dyDescent="0.25">
      <c r="A1418" s="66">
        <v>39157</v>
      </c>
      <c r="B1418" s="51">
        <f>YEAR(Table1[[#This Row],[Date]])</f>
        <v>2007</v>
      </c>
      <c r="C1418" s="1">
        <v>1</v>
      </c>
      <c r="D1418" t="s">
        <v>63</v>
      </c>
      <c r="E1418" s="1">
        <v>2</v>
      </c>
      <c r="F1418" t="s">
        <v>267</v>
      </c>
      <c r="G1418" t="str">
        <f>VLOOKUP(Table1[[#This Row],[Winner]],Ranking!C:D,2,FALSE)</f>
        <v>Amer</v>
      </c>
      <c r="H1418" s="1">
        <v>73</v>
      </c>
      <c r="I1418" s="1">
        <v>15</v>
      </c>
      <c r="J1418" t="s">
        <v>305</v>
      </c>
      <c r="K1418" t="str">
        <f>VLOOKUP(Table1[[#This Row],[Loser]],Ranking!C:D,2,FALSE)</f>
        <v>CUSA</v>
      </c>
      <c r="L1418" s="1">
        <v>58</v>
      </c>
      <c r="N1418" s="1">
        <f>Table1[[#This Row],[Winning Score]]-Table1[[#This Row],[Losing Score]]</f>
        <v>15</v>
      </c>
      <c r="O1418" s="1">
        <f>Table1[[#This Row],[Losing Seed]]-Table1[[#This Row],[Winning Seed]]</f>
        <v>13</v>
      </c>
      <c r="P1418" s="1" t="str">
        <f>IF(Table1[[#This Row],[SeD]]&lt;-2,Table1[[#This Row],[Winning Seed]]&amp; " over " &amp;Table1[[#This Row],[Losing Seed]],"")</f>
        <v/>
      </c>
      <c r="Q1418">
        <f>VLOOKUP(Table1[[#This Row],[Losing Seed]],'Seed History'!$N$4:$O$19,2)</f>
        <v>7.6388888888888895E-2</v>
      </c>
      <c r="R1418" s="1">
        <f>IF(Table1[[#This Row],[Round]]="PI",0,Table1[[#This Row],[Round]]-1)</f>
        <v>0</v>
      </c>
      <c r="S1418">
        <f>Table1[[#This Row],[LAW]]-Table1[[#This Row],[LEW]]</f>
        <v>-7.6388888888888895E-2</v>
      </c>
    </row>
    <row r="1419" spans="1:19" x14ac:dyDescent="0.25">
      <c r="A1419" s="66">
        <v>39157</v>
      </c>
      <c r="B1419" s="51">
        <f>YEAR(Table1[[#This Row],[Date]])</f>
        <v>2007</v>
      </c>
      <c r="C1419" s="1">
        <v>1</v>
      </c>
      <c r="D1419" t="s">
        <v>63</v>
      </c>
      <c r="E1419" s="1">
        <v>4</v>
      </c>
      <c r="F1419" t="s">
        <v>61</v>
      </c>
      <c r="G1419" t="str">
        <f>VLOOKUP(Table1[[#This Row],[Winner]],Ranking!C:D,2,FALSE)</f>
        <v>ACC</v>
      </c>
      <c r="H1419" s="1">
        <v>84</v>
      </c>
      <c r="I1419" s="1">
        <v>13</v>
      </c>
      <c r="J1419" t="s">
        <v>59</v>
      </c>
      <c r="K1419" t="str">
        <f>VLOOKUP(Table1[[#This Row],[Loser]],Ranking!C:D,2,FALSE)</f>
        <v>AE</v>
      </c>
      <c r="L1419" s="1">
        <v>57</v>
      </c>
      <c r="N1419" s="1">
        <f>Table1[[#This Row],[Winning Score]]-Table1[[#This Row],[Losing Score]]</f>
        <v>27</v>
      </c>
      <c r="O1419" s="1">
        <f>Table1[[#This Row],[Losing Seed]]-Table1[[#This Row],[Winning Seed]]</f>
        <v>9</v>
      </c>
      <c r="P1419" s="1" t="str">
        <f>IF(Table1[[#This Row],[SeD]]&lt;-2,Table1[[#This Row],[Winning Seed]]&amp; " over " &amp;Table1[[#This Row],[Losing Seed]],"")</f>
        <v/>
      </c>
      <c r="Q1419">
        <f>VLOOKUP(Table1[[#This Row],[Losing Seed]],'Seed History'!$N$4:$O$19,2)</f>
        <v>0.25694444444444442</v>
      </c>
      <c r="R1419" s="1">
        <f>IF(Table1[[#This Row],[Round]]="PI",0,Table1[[#This Row],[Round]]-1)</f>
        <v>0</v>
      </c>
      <c r="S1419">
        <f>Table1[[#This Row],[LAW]]-Table1[[#This Row],[LEW]]</f>
        <v>-0.25694444444444442</v>
      </c>
    </row>
    <row r="1420" spans="1:19" x14ac:dyDescent="0.25">
      <c r="A1420" s="66">
        <v>39157</v>
      </c>
      <c r="B1420" s="51">
        <f>YEAR(Table1[[#This Row],[Date]])</f>
        <v>2007</v>
      </c>
      <c r="C1420" s="1">
        <v>1</v>
      </c>
      <c r="D1420" t="s">
        <v>63</v>
      </c>
      <c r="E1420" s="1">
        <v>5</v>
      </c>
      <c r="F1420" t="s">
        <v>374</v>
      </c>
      <c r="G1420" t="str">
        <f>VLOOKUP(Table1[[#This Row],[Winner]],Ranking!C:D,2,FALSE)</f>
        <v>SEC</v>
      </c>
      <c r="H1420" s="1">
        <v>121</v>
      </c>
      <c r="I1420" s="1">
        <v>12</v>
      </c>
      <c r="J1420" t="s">
        <v>252</v>
      </c>
      <c r="K1420" t="str">
        <f>VLOOKUP(Table1[[#This Row],[Loser]],Ranking!C:D,2,FALSE)</f>
        <v>BW</v>
      </c>
      <c r="L1420" s="1">
        <v>86</v>
      </c>
      <c r="N1420" s="1">
        <f>Table1[[#This Row],[Winning Score]]-Table1[[#This Row],[Losing Score]]</f>
        <v>35</v>
      </c>
      <c r="O1420" s="1">
        <f>Table1[[#This Row],[Losing Seed]]-Table1[[#This Row],[Winning Seed]]</f>
        <v>7</v>
      </c>
      <c r="P1420" s="1" t="str">
        <f>IF(Table1[[#This Row],[SeD]]&lt;-2,Table1[[#This Row],[Winning Seed]]&amp; " over " &amp;Table1[[#This Row],[Losing Seed]],"")</f>
        <v/>
      </c>
      <c r="Q1420">
        <f>VLOOKUP(Table1[[#This Row],[Losing Seed]],'Seed History'!$N$4:$O$19,2)</f>
        <v>0.52083333333333337</v>
      </c>
      <c r="R1420" s="1">
        <f>IF(Table1[[#This Row],[Round]]="PI",0,Table1[[#This Row],[Round]]-1)</f>
        <v>0</v>
      </c>
      <c r="S1420">
        <f>Table1[[#This Row],[LAW]]-Table1[[#This Row],[LEW]]</f>
        <v>-0.52083333333333337</v>
      </c>
    </row>
    <row r="1421" spans="1:19" x14ac:dyDescent="0.25">
      <c r="A1421" s="66">
        <v>39157</v>
      </c>
      <c r="B1421" s="51">
        <f>YEAR(Table1[[#This Row],[Date]])</f>
        <v>2007</v>
      </c>
      <c r="C1421" s="1">
        <v>1</v>
      </c>
      <c r="D1421" t="s">
        <v>63</v>
      </c>
      <c r="E1421" s="1">
        <v>7</v>
      </c>
      <c r="F1421" t="s">
        <v>289</v>
      </c>
      <c r="G1421" t="str">
        <f>VLOOKUP(Table1[[#This Row],[Winner]],Ranking!C:D,2,FALSE)</f>
        <v>MWC</v>
      </c>
      <c r="H1421" s="1">
        <v>77</v>
      </c>
      <c r="I1421" s="1">
        <v>10</v>
      </c>
      <c r="J1421" t="s">
        <v>88</v>
      </c>
      <c r="K1421" t="str">
        <f>VLOOKUP(Table1[[#This Row],[Loser]],Ranking!C:D,2,FALSE)</f>
        <v>BE</v>
      </c>
      <c r="L1421" s="1">
        <v>71</v>
      </c>
      <c r="M1421" s="1" t="s">
        <v>462</v>
      </c>
      <c r="N1421" s="1">
        <f>Table1[[#This Row],[Winning Score]]-Table1[[#This Row],[Losing Score]]</f>
        <v>6</v>
      </c>
      <c r="O1421" s="1">
        <f>Table1[[#This Row],[Losing Seed]]-Table1[[#This Row],[Winning Seed]]</f>
        <v>3</v>
      </c>
      <c r="P1421" s="1" t="str">
        <f>IF(Table1[[#This Row],[SeD]]&lt;-2,Table1[[#This Row],[Winning Seed]]&amp; " over " &amp;Table1[[#This Row],[Losing Seed]],"")</f>
        <v/>
      </c>
      <c r="Q1421">
        <f>VLOOKUP(Table1[[#This Row],[Losing Seed]],'Seed History'!$N$4:$O$19,2)</f>
        <v>0.61805555555555558</v>
      </c>
      <c r="R1421" s="1">
        <f>IF(Table1[[#This Row],[Round]]="PI",0,Table1[[#This Row],[Round]]-1)</f>
        <v>0</v>
      </c>
      <c r="S1421">
        <f>Table1[[#This Row],[LAW]]-Table1[[#This Row],[LEW]]</f>
        <v>-0.61805555555555558</v>
      </c>
    </row>
    <row r="1422" spans="1:19" x14ac:dyDescent="0.25">
      <c r="A1422" s="66">
        <v>39157</v>
      </c>
      <c r="B1422" s="51">
        <f>YEAR(Table1[[#This Row],[Date]])</f>
        <v>2007</v>
      </c>
      <c r="C1422" s="1">
        <v>1</v>
      </c>
      <c r="D1422" t="s">
        <v>38</v>
      </c>
      <c r="E1422" s="1">
        <v>1</v>
      </c>
      <c r="F1422" t="s">
        <v>37</v>
      </c>
      <c r="G1422" t="str">
        <f>VLOOKUP(Table1[[#This Row],[Winner]],Ranking!C:D,2,FALSE)</f>
        <v>B12</v>
      </c>
      <c r="H1422" s="1">
        <v>107</v>
      </c>
      <c r="I1422" s="1">
        <v>16</v>
      </c>
      <c r="J1422" t="s">
        <v>294</v>
      </c>
      <c r="K1422" t="str">
        <f>VLOOKUP(Table1[[#This Row],[Loser]],Ranking!C:D,2,FALSE)</f>
        <v>MAAC</v>
      </c>
      <c r="L1422" s="1">
        <v>67</v>
      </c>
      <c r="N1422" s="1">
        <f>Table1[[#This Row],[Winning Score]]-Table1[[#This Row],[Losing Score]]</f>
        <v>40</v>
      </c>
      <c r="O1422" s="1">
        <f>Table1[[#This Row],[Losing Seed]]-Table1[[#This Row],[Winning Seed]]</f>
        <v>15</v>
      </c>
      <c r="P1422" s="1" t="str">
        <f>IF(Table1[[#This Row],[SeD]]&lt;-2,Table1[[#This Row],[Winning Seed]]&amp; " over " &amp;Table1[[#This Row],[Losing Seed]],"")</f>
        <v/>
      </c>
      <c r="Q1422">
        <f>VLOOKUP(Table1[[#This Row],[Losing Seed]],'Seed History'!$N$4:$O$19,2)</f>
        <v>6.9444444444444441E-3</v>
      </c>
      <c r="R1422" s="1">
        <f>IF(Table1[[#This Row],[Round]]="PI",0,Table1[[#This Row],[Round]]-1)</f>
        <v>0</v>
      </c>
      <c r="S1422">
        <f>Table1[[#This Row],[LAW]]-Table1[[#This Row],[LEW]]</f>
        <v>-6.9444444444444441E-3</v>
      </c>
    </row>
    <row r="1423" spans="1:19" x14ac:dyDescent="0.25">
      <c r="A1423" s="66">
        <v>39157</v>
      </c>
      <c r="B1423" s="51">
        <f>YEAR(Table1[[#This Row],[Date]])</f>
        <v>2007</v>
      </c>
      <c r="C1423" s="1">
        <v>1</v>
      </c>
      <c r="D1423" t="s">
        <v>38</v>
      </c>
      <c r="E1423" s="1">
        <v>4</v>
      </c>
      <c r="F1423" t="s">
        <v>362</v>
      </c>
      <c r="G1423" t="str">
        <f>VLOOKUP(Table1[[#This Row],[Winner]],Ranking!C:D,2,FALSE)</f>
        <v>MVC</v>
      </c>
      <c r="H1423" s="1">
        <v>61</v>
      </c>
      <c r="I1423" s="1">
        <v>13</v>
      </c>
      <c r="J1423" t="s">
        <v>224</v>
      </c>
      <c r="K1423" t="str">
        <f>VLOOKUP(Table1[[#This Row],[Loser]],Ranking!C:D,2,FALSE)</f>
        <v>Pat</v>
      </c>
      <c r="L1423" s="1">
        <v>51</v>
      </c>
      <c r="N1423" s="1">
        <f>Table1[[#This Row],[Winning Score]]-Table1[[#This Row],[Losing Score]]</f>
        <v>10</v>
      </c>
      <c r="O1423" s="1">
        <f>Table1[[#This Row],[Losing Seed]]-Table1[[#This Row],[Winning Seed]]</f>
        <v>9</v>
      </c>
      <c r="P1423" s="1" t="str">
        <f>IF(Table1[[#This Row],[SeD]]&lt;-2,Table1[[#This Row],[Winning Seed]]&amp; " over " &amp;Table1[[#This Row],[Losing Seed]],"")</f>
        <v/>
      </c>
      <c r="Q1423">
        <f>VLOOKUP(Table1[[#This Row],[Losing Seed]],'Seed History'!$N$4:$O$19,2)</f>
        <v>0.25694444444444442</v>
      </c>
      <c r="R1423" s="1">
        <f>IF(Table1[[#This Row],[Round]]="PI",0,Table1[[#This Row],[Round]]-1)</f>
        <v>0</v>
      </c>
      <c r="S1423">
        <f>Table1[[#This Row],[LAW]]-Table1[[#This Row],[LEW]]</f>
        <v>-0.25694444444444442</v>
      </c>
    </row>
    <row r="1424" spans="1:19" x14ac:dyDescent="0.25">
      <c r="A1424" s="66">
        <v>39157</v>
      </c>
      <c r="B1424" s="51">
        <f>YEAR(Table1[[#This Row],[Date]])</f>
        <v>2007</v>
      </c>
      <c r="C1424" s="1">
        <v>1</v>
      </c>
      <c r="D1424" t="s">
        <v>38</v>
      </c>
      <c r="E1424" s="1">
        <v>5</v>
      </c>
      <c r="F1424" t="s">
        <v>405</v>
      </c>
      <c r="G1424" t="str">
        <f>VLOOKUP(Table1[[#This Row],[Winner]],Ranking!C:D,2,FALSE)</f>
        <v>ACC</v>
      </c>
      <c r="H1424" s="1">
        <v>54</v>
      </c>
      <c r="I1424" s="1">
        <v>12</v>
      </c>
      <c r="J1424" t="s">
        <v>230</v>
      </c>
      <c r="K1424" t="str">
        <f>VLOOKUP(Table1[[#This Row],[Loser]],Ranking!C:D,2,FALSE)</f>
        <v>B10</v>
      </c>
      <c r="L1424" s="1">
        <v>52</v>
      </c>
      <c r="N1424" s="1">
        <f>Table1[[#This Row],[Winning Score]]-Table1[[#This Row],[Losing Score]]</f>
        <v>2</v>
      </c>
      <c r="O1424" s="1">
        <f>Table1[[#This Row],[Losing Seed]]-Table1[[#This Row],[Winning Seed]]</f>
        <v>7</v>
      </c>
      <c r="P1424" s="1" t="str">
        <f>IF(Table1[[#This Row],[SeD]]&lt;-2,Table1[[#This Row],[Winning Seed]]&amp; " over " &amp;Table1[[#This Row],[Losing Seed]],"")</f>
        <v/>
      </c>
      <c r="Q1424">
        <f>VLOOKUP(Table1[[#This Row],[Losing Seed]],'Seed History'!$N$4:$O$19,2)</f>
        <v>0.52083333333333337</v>
      </c>
      <c r="R1424" s="1">
        <f>IF(Table1[[#This Row],[Round]]="PI",0,Table1[[#This Row],[Round]]-1)</f>
        <v>0</v>
      </c>
      <c r="S1424">
        <f>Table1[[#This Row],[LAW]]-Table1[[#This Row],[LEW]]</f>
        <v>-0.52083333333333337</v>
      </c>
    </row>
    <row r="1425" spans="1:19" x14ac:dyDescent="0.25">
      <c r="A1425" s="66">
        <v>39157</v>
      </c>
      <c r="B1425" s="51">
        <f>YEAR(Table1[[#This Row],[Date]])</f>
        <v>2007</v>
      </c>
      <c r="C1425" s="1">
        <v>1</v>
      </c>
      <c r="D1425" t="s">
        <v>38</v>
      </c>
      <c r="E1425" s="1">
        <v>8</v>
      </c>
      <c r="F1425" t="s">
        <v>26</v>
      </c>
      <c r="G1425" t="str">
        <f>VLOOKUP(Table1[[#This Row],[Winner]],Ranking!C:D,2,FALSE)</f>
        <v>SEC</v>
      </c>
      <c r="H1425" s="1">
        <v>67</v>
      </c>
      <c r="I1425" s="1">
        <v>9</v>
      </c>
      <c r="J1425" t="s">
        <v>50</v>
      </c>
      <c r="K1425" t="str">
        <f>VLOOKUP(Table1[[#This Row],[Loser]],Ranking!C:D,2,FALSE)</f>
        <v>BE</v>
      </c>
      <c r="L1425" s="1">
        <v>58</v>
      </c>
      <c r="N1425" s="1">
        <f>Table1[[#This Row],[Winning Score]]-Table1[[#This Row],[Losing Score]]</f>
        <v>9</v>
      </c>
      <c r="O1425" s="1">
        <f>Table1[[#This Row],[Losing Seed]]-Table1[[#This Row],[Winning Seed]]</f>
        <v>1</v>
      </c>
      <c r="P1425" s="1" t="str">
        <f>IF(Table1[[#This Row],[SeD]]&lt;-2,Table1[[#This Row],[Winning Seed]]&amp; " over " &amp;Table1[[#This Row],[Losing Seed]],"")</f>
        <v/>
      </c>
      <c r="Q1425">
        <f>VLOOKUP(Table1[[#This Row],[Losing Seed]],'Seed History'!$N$4:$O$19,2)</f>
        <v>0.59027777777777779</v>
      </c>
      <c r="R1425" s="1">
        <f>IF(Table1[[#This Row],[Round]]="PI",0,Table1[[#This Row],[Round]]-1)</f>
        <v>0</v>
      </c>
      <c r="S1425">
        <f>Table1[[#This Row],[LAW]]-Table1[[#This Row],[LEW]]</f>
        <v>-0.59027777777777779</v>
      </c>
    </row>
    <row r="1426" spans="1:19" x14ac:dyDescent="0.25">
      <c r="A1426" s="66">
        <v>39157</v>
      </c>
      <c r="B1426" s="51">
        <f>YEAR(Table1[[#This Row],[Date]])</f>
        <v>2007</v>
      </c>
      <c r="C1426" s="1">
        <v>1</v>
      </c>
      <c r="D1426" t="s">
        <v>439</v>
      </c>
      <c r="E1426" s="1">
        <v>9</v>
      </c>
      <c r="F1426" t="s">
        <v>29</v>
      </c>
      <c r="G1426" t="str">
        <f>VLOOKUP(Table1[[#This Row],[Winner]],Ranking!C:D,2,FALSE)</f>
        <v>B10</v>
      </c>
      <c r="H1426" s="1">
        <v>72</v>
      </c>
      <c r="I1426" s="1">
        <v>8</v>
      </c>
      <c r="J1426" t="s">
        <v>48</v>
      </c>
      <c r="K1426" t="str">
        <f>VLOOKUP(Table1[[#This Row],[Loser]],Ranking!C:D,2,FALSE)</f>
        <v>P12</v>
      </c>
      <c r="L1426" s="1">
        <v>63</v>
      </c>
      <c r="N1426" s="1">
        <f>Table1[[#This Row],[Winning Score]]-Table1[[#This Row],[Losing Score]]</f>
        <v>9</v>
      </c>
      <c r="O1426" s="1">
        <f>Table1[[#This Row],[Losing Seed]]-Table1[[#This Row],[Winning Seed]]</f>
        <v>-1</v>
      </c>
      <c r="P1426" s="1" t="str">
        <f>IF(Table1[[#This Row],[SeD]]&lt;-2,Table1[[#This Row],[Winning Seed]]&amp; " over " &amp;Table1[[#This Row],[Losing Seed]],"")</f>
        <v/>
      </c>
      <c r="Q1426">
        <f>VLOOKUP(Table1[[#This Row],[Losing Seed]],'Seed History'!$N$4:$O$19,2)</f>
        <v>0.70833333333333337</v>
      </c>
      <c r="R1426" s="1">
        <f>IF(Table1[[#This Row],[Round]]="PI",0,Table1[[#This Row],[Round]]-1)</f>
        <v>0</v>
      </c>
      <c r="S1426">
        <f>Table1[[#This Row],[LAW]]-Table1[[#This Row],[LEW]]</f>
        <v>-0.70833333333333337</v>
      </c>
    </row>
    <row r="1427" spans="1:19" x14ac:dyDescent="0.25">
      <c r="A1427" s="66">
        <v>39158</v>
      </c>
      <c r="B1427" s="51">
        <f>YEAR(Table1[[#This Row],[Date]])</f>
        <v>2007</v>
      </c>
      <c r="C1427" s="1">
        <v>2</v>
      </c>
      <c r="D1427" t="s">
        <v>49</v>
      </c>
      <c r="E1427" s="1">
        <v>6</v>
      </c>
      <c r="F1427" t="s">
        <v>78</v>
      </c>
      <c r="G1427" t="str">
        <f>VLOOKUP(Table1[[#This Row],[Winner]],Ranking!C:D,2,FALSE)</f>
        <v>SEC</v>
      </c>
      <c r="H1427" s="1">
        <v>78</v>
      </c>
      <c r="I1427" s="1">
        <v>3</v>
      </c>
      <c r="J1427" t="s">
        <v>410</v>
      </c>
      <c r="K1427" t="str">
        <f>VLOOKUP(Table1[[#This Row],[Loser]],Ranking!C:D,2,FALSE)</f>
        <v>P12</v>
      </c>
      <c r="L1427" s="1">
        <v>74</v>
      </c>
      <c r="M1427" s="1" t="s">
        <v>463</v>
      </c>
      <c r="N1427" s="1">
        <f>Table1[[#This Row],[Winning Score]]-Table1[[#This Row],[Losing Score]]</f>
        <v>4</v>
      </c>
      <c r="O1427" s="1">
        <f>Table1[[#This Row],[Losing Seed]]-Table1[[#This Row],[Winning Seed]]</f>
        <v>-3</v>
      </c>
      <c r="P1427" s="1" t="str">
        <f>IF(Table1[[#This Row],[SeD]]&lt;-2,Table1[[#This Row],[Winning Seed]]&amp; " over " &amp;Table1[[#This Row],[Losing Seed]],"")</f>
        <v>6 over 3</v>
      </c>
      <c r="Q1427">
        <f>VLOOKUP(Table1[[#This Row],[Losing Seed]],'Seed History'!$N$4:$O$19,2)</f>
        <v>1.8472222222222223</v>
      </c>
      <c r="R1427" s="1">
        <f>IF(Table1[[#This Row],[Round]]="PI",0,Table1[[#This Row],[Round]]-1)</f>
        <v>1</v>
      </c>
      <c r="S1427">
        <f>Table1[[#This Row],[LAW]]-Table1[[#This Row],[LEW]]</f>
        <v>-0.84722222222222232</v>
      </c>
    </row>
    <row r="1428" spans="1:19" x14ac:dyDescent="0.25">
      <c r="A1428" s="66">
        <v>39158</v>
      </c>
      <c r="B1428" s="51">
        <f>YEAR(Table1[[#This Row],[Date]])</f>
        <v>2007</v>
      </c>
      <c r="C1428" s="1">
        <v>2</v>
      </c>
      <c r="D1428" t="s">
        <v>49</v>
      </c>
      <c r="E1428" s="1">
        <v>1</v>
      </c>
      <c r="F1428" t="s">
        <v>298</v>
      </c>
      <c r="G1428" t="str">
        <f>VLOOKUP(Table1[[#This Row],[Winner]],Ranking!C:D,2,FALSE)</f>
        <v>ACC</v>
      </c>
      <c r="H1428" s="1">
        <v>81</v>
      </c>
      <c r="I1428" s="1">
        <v>9</v>
      </c>
      <c r="J1428" t="s">
        <v>271</v>
      </c>
      <c r="K1428" t="str">
        <f>VLOOKUP(Table1[[#This Row],[Loser]],Ranking!C:D,2,FALSE)</f>
        <v>B10</v>
      </c>
      <c r="L1428" s="1">
        <v>67</v>
      </c>
      <c r="N1428" s="1">
        <f>Table1[[#This Row],[Winning Score]]-Table1[[#This Row],[Losing Score]]</f>
        <v>14</v>
      </c>
      <c r="O1428" s="1">
        <f>Table1[[#This Row],[Losing Seed]]-Table1[[#This Row],[Winning Seed]]</f>
        <v>8</v>
      </c>
      <c r="P1428" s="1" t="str">
        <f>IF(Table1[[#This Row],[SeD]]&lt;-2,Table1[[#This Row],[Winning Seed]]&amp; " over " &amp;Table1[[#This Row],[Losing Seed]],"")</f>
        <v/>
      </c>
      <c r="Q1428">
        <f>VLOOKUP(Table1[[#This Row],[Losing Seed]],'Seed History'!$N$4:$O$19,2)</f>
        <v>0.59027777777777779</v>
      </c>
      <c r="R1428" s="1">
        <f>IF(Table1[[#This Row],[Round]]="PI",0,Table1[[#This Row],[Round]]-1)</f>
        <v>1</v>
      </c>
      <c r="S1428">
        <f>Table1[[#This Row],[LAW]]-Table1[[#This Row],[LEW]]</f>
        <v>0.40972222222222221</v>
      </c>
    </row>
    <row r="1429" spans="1:19" x14ac:dyDescent="0.25">
      <c r="A1429" s="66">
        <v>39158</v>
      </c>
      <c r="B1429" s="51">
        <f>YEAR(Table1[[#This Row],[Date]])</f>
        <v>2007</v>
      </c>
      <c r="C1429" s="1">
        <v>2</v>
      </c>
      <c r="D1429" t="s">
        <v>49</v>
      </c>
      <c r="E1429" s="1">
        <v>2</v>
      </c>
      <c r="F1429" t="s">
        <v>66</v>
      </c>
      <c r="G1429" t="str">
        <f>VLOOKUP(Table1[[#This Row],[Winner]],Ranking!C:D,2,FALSE)</f>
        <v>BE</v>
      </c>
      <c r="H1429" s="1">
        <v>62</v>
      </c>
      <c r="I1429" s="1">
        <v>7</v>
      </c>
      <c r="J1429" t="s">
        <v>138</v>
      </c>
      <c r="K1429" t="str">
        <f>VLOOKUP(Table1[[#This Row],[Loser]],Ranking!C:D,2,FALSE)</f>
        <v>ACC</v>
      </c>
      <c r="L1429" s="1">
        <v>55</v>
      </c>
      <c r="N1429" s="1">
        <f>Table1[[#This Row],[Winning Score]]-Table1[[#This Row],[Losing Score]]</f>
        <v>7</v>
      </c>
      <c r="O1429" s="1">
        <f>Table1[[#This Row],[Losing Seed]]-Table1[[#This Row],[Winning Seed]]</f>
        <v>5</v>
      </c>
      <c r="P1429" s="1" t="str">
        <f>IF(Table1[[#This Row],[SeD]]&lt;-2,Table1[[#This Row],[Winning Seed]]&amp; " over " &amp;Table1[[#This Row],[Losing Seed]],"")</f>
        <v/>
      </c>
      <c r="Q1429">
        <f>VLOOKUP(Table1[[#This Row],[Losing Seed]],'Seed History'!$N$4:$O$19,2)</f>
        <v>0.90277777777777779</v>
      </c>
      <c r="R1429" s="1">
        <f>IF(Table1[[#This Row],[Round]]="PI",0,Table1[[#This Row],[Round]]-1)</f>
        <v>1</v>
      </c>
      <c r="S1429">
        <f>Table1[[#This Row],[LAW]]-Table1[[#This Row],[LEW]]</f>
        <v>9.722222222222221E-2</v>
      </c>
    </row>
    <row r="1430" spans="1:19" x14ac:dyDescent="0.25">
      <c r="A1430" s="66">
        <v>39158</v>
      </c>
      <c r="B1430" s="51">
        <f>YEAR(Table1[[#This Row],[Date]])</f>
        <v>2007</v>
      </c>
      <c r="C1430" s="1">
        <v>2</v>
      </c>
      <c r="D1430" t="s">
        <v>63</v>
      </c>
      <c r="E1430" s="1">
        <v>1</v>
      </c>
      <c r="F1430" t="s">
        <v>315</v>
      </c>
      <c r="G1430" t="str">
        <f>VLOOKUP(Table1[[#This Row],[Winner]],Ranking!C:D,2,FALSE)</f>
        <v>B10</v>
      </c>
      <c r="H1430" s="1">
        <v>78</v>
      </c>
      <c r="I1430" s="1">
        <v>9</v>
      </c>
      <c r="J1430" t="s">
        <v>44</v>
      </c>
      <c r="K1430" t="str">
        <f>VLOOKUP(Table1[[#This Row],[Loser]],Ranking!C:D,2,FALSE)</f>
        <v>BE</v>
      </c>
      <c r="L1430" s="1">
        <v>71</v>
      </c>
      <c r="M1430" s="1" t="s">
        <v>462</v>
      </c>
      <c r="N1430" s="1">
        <f>Table1[[#This Row],[Winning Score]]-Table1[[#This Row],[Losing Score]]</f>
        <v>7</v>
      </c>
      <c r="O1430" s="1">
        <f>Table1[[#This Row],[Losing Seed]]-Table1[[#This Row],[Winning Seed]]</f>
        <v>8</v>
      </c>
      <c r="P1430" s="1" t="str">
        <f>IF(Table1[[#This Row],[SeD]]&lt;-2,Table1[[#This Row],[Winning Seed]]&amp; " over " &amp;Table1[[#This Row],[Losing Seed]],"")</f>
        <v/>
      </c>
      <c r="Q1430">
        <f>VLOOKUP(Table1[[#This Row],[Losing Seed]],'Seed History'!$N$4:$O$19,2)</f>
        <v>0.59027777777777779</v>
      </c>
      <c r="R1430" s="1">
        <f>IF(Table1[[#This Row],[Round]]="PI",0,Table1[[#This Row],[Round]]-1)</f>
        <v>1</v>
      </c>
      <c r="S1430">
        <f>Table1[[#This Row],[LAW]]-Table1[[#This Row],[LEW]]</f>
        <v>0.40972222222222221</v>
      </c>
    </row>
    <row r="1431" spans="1:19" x14ac:dyDescent="0.25">
      <c r="A1431" s="66">
        <v>39158</v>
      </c>
      <c r="B1431" s="51">
        <f>YEAR(Table1[[#This Row],[Date]])</f>
        <v>2007</v>
      </c>
      <c r="C1431" s="1">
        <v>2</v>
      </c>
      <c r="D1431" t="s">
        <v>63</v>
      </c>
      <c r="E1431" s="1">
        <v>3</v>
      </c>
      <c r="F1431" t="s">
        <v>79</v>
      </c>
      <c r="G1431" t="str">
        <f>VLOOKUP(Table1[[#This Row],[Winner]],Ranking!C:D,2,FALSE)</f>
        <v>SEC</v>
      </c>
      <c r="H1431" s="1">
        <v>72</v>
      </c>
      <c r="I1431" s="1">
        <v>6</v>
      </c>
      <c r="J1431" t="s">
        <v>54</v>
      </c>
      <c r="K1431" t="str">
        <f>VLOOKUP(Table1[[#This Row],[Loser]],Ranking!C:D,2,FALSE)</f>
        <v>ACC</v>
      </c>
      <c r="L1431" s="1">
        <v>69</v>
      </c>
      <c r="N1431" s="1">
        <f>Table1[[#This Row],[Winning Score]]-Table1[[#This Row],[Losing Score]]</f>
        <v>3</v>
      </c>
      <c r="O1431" s="1">
        <f>Table1[[#This Row],[Losing Seed]]-Table1[[#This Row],[Winning Seed]]</f>
        <v>3</v>
      </c>
      <c r="P1431" s="1" t="str">
        <f>IF(Table1[[#This Row],[SeD]]&lt;-2,Table1[[#This Row],[Winning Seed]]&amp; " over " &amp;Table1[[#This Row],[Losing Seed]],"")</f>
        <v/>
      </c>
      <c r="Q1431">
        <f>VLOOKUP(Table1[[#This Row],[Losing Seed]],'Seed History'!$N$4:$O$19,2)</f>
        <v>1.0625</v>
      </c>
      <c r="R1431" s="1">
        <f>IF(Table1[[#This Row],[Round]]="PI",0,Table1[[#This Row],[Round]]-1)</f>
        <v>1</v>
      </c>
      <c r="S1431">
        <f>Table1[[#This Row],[LAW]]-Table1[[#This Row],[LEW]]</f>
        <v>-6.25E-2</v>
      </c>
    </row>
    <row r="1432" spans="1:19" x14ac:dyDescent="0.25">
      <c r="A1432" s="66">
        <v>39158</v>
      </c>
      <c r="B1432" s="51">
        <f>YEAR(Table1[[#This Row],[Date]])</f>
        <v>2007</v>
      </c>
      <c r="C1432" s="1">
        <v>2</v>
      </c>
      <c r="D1432" t="s">
        <v>38</v>
      </c>
      <c r="E1432" s="1">
        <v>2</v>
      </c>
      <c r="F1432" t="s">
        <v>67</v>
      </c>
      <c r="G1432" t="str">
        <f>VLOOKUP(Table1[[#This Row],[Winner]],Ranking!C:D,2,FALSE)</f>
        <v>P12</v>
      </c>
      <c r="H1432" s="1">
        <v>54</v>
      </c>
      <c r="I1432" s="1">
        <v>7</v>
      </c>
      <c r="J1432" t="s">
        <v>36</v>
      </c>
      <c r="K1432" t="str">
        <f>VLOOKUP(Table1[[#This Row],[Loser]],Ranking!C:D,2,FALSE)</f>
        <v>B10</v>
      </c>
      <c r="L1432" s="1">
        <v>49</v>
      </c>
      <c r="N1432" s="1">
        <f>Table1[[#This Row],[Winning Score]]-Table1[[#This Row],[Losing Score]]</f>
        <v>5</v>
      </c>
      <c r="O1432" s="1">
        <f>Table1[[#This Row],[Losing Seed]]-Table1[[#This Row],[Winning Seed]]</f>
        <v>5</v>
      </c>
      <c r="P1432" s="1" t="str">
        <f>IF(Table1[[#This Row],[SeD]]&lt;-2,Table1[[#This Row],[Winning Seed]]&amp; " over " &amp;Table1[[#This Row],[Losing Seed]],"")</f>
        <v/>
      </c>
      <c r="Q1432">
        <f>VLOOKUP(Table1[[#This Row],[Losing Seed]],'Seed History'!$N$4:$O$19,2)</f>
        <v>0.90277777777777779</v>
      </c>
      <c r="R1432" s="1">
        <f>IF(Table1[[#This Row],[Round]]="PI",0,Table1[[#This Row],[Round]]-1)</f>
        <v>1</v>
      </c>
      <c r="S1432">
        <f>Table1[[#This Row],[LAW]]-Table1[[#This Row],[LEW]]</f>
        <v>9.722222222222221E-2</v>
      </c>
    </row>
    <row r="1433" spans="1:19" x14ac:dyDescent="0.25">
      <c r="A1433" s="66">
        <v>39158</v>
      </c>
      <c r="B1433" s="51">
        <f>YEAR(Table1[[#This Row],[Date]])</f>
        <v>2007</v>
      </c>
      <c r="C1433" s="1">
        <v>2</v>
      </c>
      <c r="D1433" t="s">
        <v>38</v>
      </c>
      <c r="E1433" s="1">
        <v>3</v>
      </c>
      <c r="F1433" t="s">
        <v>83</v>
      </c>
      <c r="G1433" t="str">
        <f>VLOOKUP(Table1[[#This Row],[Winner]],Ranking!C:D,2,FALSE)</f>
        <v>ACC</v>
      </c>
      <c r="H1433" s="1">
        <v>84</v>
      </c>
      <c r="I1433" s="1">
        <v>11</v>
      </c>
      <c r="J1433" t="s">
        <v>47</v>
      </c>
      <c r="K1433" t="str">
        <f>VLOOKUP(Table1[[#This Row],[Loser]],Ranking!C:D,2,FALSE)</f>
        <v>A10</v>
      </c>
      <c r="L1433" s="1">
        <v>79</v>
      </c>
      <c r="M1433" s="1" t="s">
        <v>462</v>
      </c>
      <c r="N1433" s="1">
        <f>Table1[[#This Row],[Winning Score]]-Table1[[#This Row],[Losing Score]]</f>
        <v>5</v>
      </c>
      <c r="O1433" s="1">
        <f>Table1[[#This Row],[Losing Seed]]-Table1[[#This Row],[Winning Seed]]</f>
        <v>8</v>
      </c>
      <c r="P1433" s="1" t="str">
        <f>IF(Table1[[#This Row],[SeD]]&lt;-2,Table1[[#This Row],[Winning Seed]]&amp; " over " &amp;Table1[[#This Row],[Losing Seed]],"")</f>
        <v/>
      </c>
      <c r="Q1433">
        <f>VLOOKUP(Table1[[#This Row],[Losing Seed]],'Seed History'!$N$4:$O$19,2)</f>
        <v>0.63194444444444442</v>
      </c>
      <c r="R1433" s="1">
        <f>IF(Table1[[#This Row],[Round]]="PI",0,Table1[[#This Row],[Round]]-1)</f>
        <v>1</v>
      </c>
      <c r="S1433">
        <f>Table1[[#This Row],[LAW]]-Table1[[#This Row],[LEW]]</f>
        <v>0.36805555555555558</v>
      </c>
    </row>
    <row r="1434" spans="1:19" x14ac:dyDescent="0.25">
      <c r="A1434" s="66">
        <v>39158</v>
      </c>
      <c r="B1434" s="51">
        <f>YEAR(Table1[[#This Row],[Date]])</f>
        <v>2007</v>
      </c>
      <c r="C1434" s="1">
        <v>2</v>
      </c>
      <c r="D1434" t="s">
        <v>439</v>
      </c>
      <c r="E1434" s="1">
        <v>5</v>
      </c>
      <c r="F1434" t="s">
        <v>33</v>
      </c>
      <c r="G1434" t="str">
        <f>VLOOKUP(Table1[[#This Row],[Winner]],Ranking!C:D,2,FALSE)</f>
        <v>BE</v>
      </c>
      <c r="H1434" s="1">
        <v>62</v>
      </c>
      <c r="I1434" s="1">
        <v>4</v>
      </c>
      <c r="J1434" t="s">
        <v>31</v>
      </c>
      <c r="K1434" t="str">
        <f>VLOOKUP(Table1[[#This Row],[Loser]],Ranking!C:D,2,FALSE)</f>
        <v>B10</v>
      </c>
      <c r="L1434" s="1">
        <v>59</v>
      </c>
      <c r="N1434" s="1">
        <f>Table1[[#This Row],[Winning Score]]-Table1[[#This Row],[Losing Score]]</f>
        <v>3</v>
      </c>
      <c r="O1434" s="1">
        <f>Table1[[#This Row],[Losing Seed]]-Table1[[#This Row],[Winning Seed]]</f>
        <v>-1</v>
      </c>
      <c r="P1434" s="1" t="str">
        <f>IF(Table1[[#This Row],[SeD]]&lt;-2,Table1[[#This Row],[Winning Seed]]&amp; " over " &amp;Table1[[#This Row],[Losing Seed]],"")</f>
        <v/>
      </c>
      <c r="Q1434">
        <f>VLOOKUP(Table1[[#This Row],[Losing Seed]],'Seed History'!$N$4:$O$19,2)</f>
        <v>1.5208333333333333</v>
      </c>
      <c r="R1434" s="1">
        <f>IF(Table1[[#This Row],[Round]]="PI",0,Table1[[#This Row],[Round]]-1)</f>
        <v>1</v>
      </c>
      <c r="S1434">
        <f>Table1[[#This Row],[LAW]]-Table1[[#This Row],[LEW]]</f>
        <v>-0.52083333333333326</v>
      </c>
    </row>
    <row r="1435" spans="1:19" x14ac:dyDescent="0.25">
      <c r="A1435" s="66">
        <v>39159</v>
      </c>
      <c r="B1435" s="51">
        <f>YEAR(Table1[[#This Row],[Date]])</f>
        <v>2007</v>
      </c>
      <c r="C1435" s="1">
        <v>2</v>
      </c>
      <c r="D1435" t="s">
        <v>439</v>
      </c>
      <c r="E1435" s="1">
        <v>7</v>
      </c>
      <c r="F1435" t="s">
        <v>396</v>
      </c>
      <c r="G1435" t="str">
        <f>VLOOKUP(Table1[[#This Row],[Winner]],Ranking!C:D,2,FALSE)</f>
        <v>MWC</v>
      </c>
      <c r="H1435" s="1">
        <v>74</v>
      </c>
      <c r="I1435" s="1">
        <v>2</v>
      </c>
      <c r="J1435" t="s">
        <v>39</v>
      </c>
      <c r="K1435" t="str">
        <f>VLOOKUP(Table1[[#This Row],[Loser]],Ranking!C:D,2,FALSE)</f>
        <v>B10</v>
      </c>
      <c r="L1435" s="1">
        <v>68</v>
      </c>
      <c r="N1435" s="1">
        <f>Table1[[#This Row],[Winning Score]]-Table1[[#This Row],[Losing Score]]</f>
        <v>6</v>
      </c>
      <c r="O1435" s="1">
        <f>Table1[[#This Row],[Losing Seed]]-Table1[[#This Row],[Winning Seed]]</f>
        <v>-5</v>
      </c>
      <c r="P1435" s="1" t="str">
        <f>IF(Table1[[#This Row],[SeD]]&lt;-2,Table1[[#This Row],[Winning Seed]]&amp; " over " &amp;Table1[[#This Row],[Losing Seed]],"")</f>
        <v>7 over 2</v>
      </c>
      <c r="Q1435">
        <f>VLOOKUP(Table1[[#This Row],[Losing Seed]],'Seed History'!$N$4:$O$19,2)</f>
        <v>2.3472222222222223</v>
      </c>
      <c r="R1435" s="1">
        <f>IF(Table1[[#This Row],[Round]]="PI",0,Table1[[#This Row],[Round]]-1)</f>
        <v>1</v>
      </c>
      <c r="S1435">
        <f>Table1[[#This Row],[LAW]]-Table1[[#This Row],[LEW]]</f>
        <v>-1.3472222222222223</v>
      </c>
    </row>
    <row r="1436" spans="1:19" x14ac:dyDescent="0.25">
      <c r="A1436" s="66">
        <v>39159</v>
      </c>
      <c r="B1436" s="51">
        <f>YEAR(Table1[[#This Row],[Date]])</f>
        <v>2007</v>
      </c>
      <c r="C1436" s="1">
        <v>2</v>
      </c>
      <c r="D1436" t="s">
        <v>439</v>
      </c>
      <c r="E1436" s="1">
        <v>1</v>
      </c>
      <c r="F1436" t="s">
        <v>81</v>
      </c>
      <c r="G1436" t="str">
        <f>VLOOKUP(Table1[[#This Row],[Winner]],Ranking!C:D,2,FALSE)</f>
        <v>SEC</v>
      </c>
      <c r="H1436" s="1">
        <v>74</v>
      </c>
      <c r="I1436" s="1">
        <v>9</v>
      </c>
      <c r="J1436" t="s">
        <v>29</v>
      </c>
      <c r="K1436" t="str">
        <f>VLOOKUP(Table1[[#This Row],[Loser]],Ranking!C:D,2,FALSE)</f>
        <v>B10</v>
      </c>
      <c r="L1436" s="1">
        <v>67</v>
      </c>
      <c r="N1436" s="1">
        <f>Table1[[#This Row],[Winning Score]]-Table1[[#This Row],[Losing Score]]</f>
        <v>7</v>
      </c>
      <c r="O1436" s="1">
        <f>Table1[[#This Row],[Losing Seed]]-Table1[[#This Row],[Winning Seed]]</f>
        <v>8</v>
      </c>
      <c r="P1436" s="1" t="str">
        <f>IF(Table1[[#This Row],[SeD]]&lt;-2,Table1[[#This Row],[Winning Seed]]&amp; " over " &amp;Table1[[#This Row],[Losing Seed]],"")</f>
        <v/>
      </c>
      <c r="Q1436">
        <f>VLOOKUP(Table1[[#This Row],[Losing Seed]],'Seed History'!$N$4:$O$19,2)</f>
        <v>0.59027777777777779</v>
      </c>
      <c r="R1436" s="1">
        <f>IF(Table1[[#This Row],[Round]]="PI",0,Table1[[#This Row],[Round]]-1)</f>
        <v>1</v>
      </c>
      <c r="S1436">
        <f>Table1[[#This Row],[LAW]]-Table1[[#This Row],[LEW]]</f>
        <v>0.40972222222222221</v>
      </c>
    </row>
    <row r="1437" spans="1:19" x14ac:dyDescent="0.25">
      <c r="A1437" s="66">
        <v>39159</v>
      </c>
      <c r="B1437" s="51">
        <f>YEAR(Table1[[#This Row],[Date]])</f>
        <v>2007</v>
      </c>
      <c r="C1437" s="1">
        <v>2</v>
      </c>
      <c r="D1437" t="s">
        <v>439</v>
      </c>
      <c r="E1437" s="1">
        <v>3</v>
      </c>
      <c r="F1437" t="s">
        <v>40</v>
      </c>
      <c r="G1437" t="str">
        <f>VLOOKUP(Table1[[#This Row],[Winner]],Ranking!C:D,2,FALSE)</f>
        <v>P12</v>
      </c>
      <c r="H1437" s="1">
        <v>75</v>
      </c>
      <c r="I1437" s="1">
        <v>11</v>
      </c>
      <c r="J1437" t="s">
        <v>419</v>
      </c>
      <c r="K1437" t="str">
        <f>VLOOKUP(Table1[[#This Row],[Loser]],Ranking!C:D,2,FALSE)</f>
        <v>BSth</v>
      </c>
      <c r="L1437" s="1">
        <v>61</v>
      </c>
      <c r="N1437" s="1">
        <f>Table1[[#This Row],[Winning Score]]-Table1[[#This Row],[Losing Score]]</f>
        <v>14</v>
      </c>
      <c r="O1437" s="1">
        <f>Table1[[#This Row],[Losing Seed]]-Table1[[#This Row],[Winning Seed]]</f>
        <v>8</v>
      </c>
      <c r="P1437" s="1" t="str">
        <f>IF(Table1[[#This Row],[SeD]]&lt;-2,Table1[[#This Row],[Winning Seed]]&amp; " over " &amp;Table1[[#This Row],[Losing Seed]],"")</f>
        <v/>
      </c>
      <c r="Q1437">
        <f>VLOOKUP(Table1[[#This Row],[Losing Seed]],'Seed History'!$N$4:$O$19,2)</f>
        <v>0.63194444444444442</v>
      </c>
      <c r="R1437" s="1">
        <f>IF(Table1[[#This Row],[Round]]="PI",0,Table1[[#This Row],[Round]]-1)</f>
        <v>1</v>
      </c>
      <c r="S1437">
        <f>Table1[[#This Row],[LAW]]-Table1[[#This Row],[LEW]]</f>
        <v>0.36805555555555558</v>
      </c>
    </row>
    <row r="1438" spans="1:19" x14ac:dyDescent="0.25">
      <c r="A1438" s="66">
        <v>39159</v>
      </c>
      <c r="B1438" s="51">
        <f>YEAR(Table1[[#This Row],[Date]])</f>
        <v>2007</v>
      </c>
      <c r="C1438" s="1">
        <v>2</v>
      </c>
      <c r="D1438" t="s">
        <v>63</v>
      </c>
      <c r="E1438" s="1">
        <v>2</v>
      </c>
      <c r="F1438" t="s">
        <v>267</v>
      </c>
      <c r="G1438" t="str">
        <f>VLOOKUP(Table1[[#This Row],[Winner]],Ranking!C:D,2,FALSE)</f>
        <v>Amer</v>
      </c>
      <c r="H1438" s="1">
        <v>78</v>
      </c>
      <c r="I1438" s="1">
        <v>7</v>
      </c>
      <c r="J1438" t="s">
        <v>289</v>
      </c>
      <c r="K1438" t="str">
        <f>VLOOKUP(Table1[[#This Row],[Loser]],Ranking!C:D,2,FALSE)</f>
        <v>MWC</v>
      </c>
      <c r="L1438" s="1">
        <v>62</v>
      </c>
      <c r="N1438" s="1">
        <f>Table1[[#This Row],[Winning Score]]-Table1[[#This Row],[Losing Score]]</f>
        <v>16</v>
      </c>
      <c r="O1438" s="1">
        <f>Table1[[#This Row],[Losing Seed]]-Table1[[#This Row],[Winning Seed]]</f>
        <v>5</v>
      </c>
      <c r="P1438" s="1" t="str">
        <f>IF(Table1[[#This Row],[SeD]]&lt;-2,Table1[[#This Row],[Winning Seed]]&amp; " over " &amp;Table1[[#This Row],[Losing Seed]],"")</f>
        <v/>
      </c>
      <c r="Q1438">
        <f>VLOOKUP(Table1[[#This Row],[Losing Seed]],'Seed History'!$N$4:$O$19,2)</f>
        <v>0.90277777777777779</v>
      </c>
      <c r="R1438" s="1">
        <f>IF(Table1[[#This Row],[Round]]="PI",0,Table1[[#This Row],[Round]]-1)</f>
        <v>1</v>
      </c>
      <c r="S1438">
        <f>Table1[[#This Row],[LAW]]-Table1[[#This Row],[LEW]]</f>
        <v>9.722222222222221E-2</v>
      </c>
    </row>
    <row r="1439" spans="1:19" x14ac:dyDescent="0.25">
      <c r="A1439" s="66">
        <v>39159</v>
      </c>
      <c r="B1439" s="51">
        <f>YEAR(Table1[[#This Row],[Date]])</f>
        <v>2007</v>
      </c>
      <c r="C1439" s="1">
        <v>2</v>
      </c>
      <c r="D1439" t="s">
        <v>38</v>
      </c>
      <c r="E1439" s="1">
        <v>1</v>
      </c>
      <c r="F1439" t="s">
        <v>37</v>
      </c>
      <c r="G1439" t="str">
        <f>VLOOKUP(Table1[[#This Row],[Winner]],Ranking!C:D,2,FALSE)</f>
        <v>B12</v>
      </c>
      <c r="H1439" s="1">
        <v>88</v>
      </c>
      <c r="I1439" s="1">
        <v>8</v>
      </c>
      <c r="J1439" t="s">
        <v>26</v>
      </c>
      <c r="K1439" t="str">
        <f>VLOOKUP(Table1[[#This Row],[Loser]],Ranking!C:D,2,FALSE)</f>
        <v>SEC</v>
      </c>
      <c r="L1439" s="1">
        <v>76</v>
      </c>
      <c r="N1439" s="1">
        <f>Table1[[#This Row],[Winning Score]]-Table1[[#This Row],[Losing Score]]</f>
        <v>12</v>
      </c>
      <c r="O1439" s="1">
        <f>Table1[[#This Row],[Losing Seed]]-Table1[[#This Row],[Winning Seed]]</f>
        <v>7</v>
      </c>
      <c r="P1439" s="1" t="str">
        <f>IF(Table1[[#This Row],[SeD]]&lt;-2,Table1[[#This Row],[Winning Seed]]&amp; " over " &amp;Table1[[#This Row],[Losing Seed]],"")</f>
        <v/>
      </c>
      <c r="Q1439">
        <f>VLOOKUP(Table1[[#This Row],[Losing Seed]],'Seed History'!$N$4:$O$19,2)</f>
        <v>0.70833333333333337</v>
      </c>
      <c r="R1439" s="1">
        <f>IF(Table1[[#This Row],[Round]]="PI",0,Table1[[#This Row],[Round]]-1)</f>
        <v>1</v>
      </c>
      <c r="S1439">
        <f>Table1[[#This Row],[LAW]]-Table1[[#This Row],[LEW]]</f>
        <v>0.29166666666666663</v>
      </c>
    </row>
    <row r="1440" spans="1:19" x14ac:dyDescent="0.25">
      <c r="A1440" s="66">
        <v>39159</v>
      </c>
      <c r="B1440" s="51">
        <f>YEAR(Table1[[#This Row],[Date]])</f>
        <v>2007</v>
      </c>
      <c r="C1440" s="1">
        <v>2</v>
      </c>
      <c r="D1440" t="s">
        <v>38</v>
      </c>
      <c r="E1440" s="1">
        <v>4</v>
      </c>
      <c r="F1440" t="s">
        <v>362</v>
      </c>
      <c r="G1440" t="str">
        <f>VLOOKUP(Table1[[#This Row],[Winner]],Ranking!C:D,2,FALSE)</f>
        <v>MVC</v>
      </c>
      <c r="H1440" s="1">
        <v>63</v>
      </c>
      <c r="I1440" s="1">
        <v>5</v>
      </c>
      <c r="J1440" t="s">
        <v>405</v>
      </c>
      <c r="K1440" t="str">
        <f>VLOOKUP(Table1[[#This Row],[Loser]],Ranking!C:D,2,FALSE)</f>
        <v>ACC</v>
      </c>
      <c r="L1440" s="1">
        <v>48</v>
      </c>
      <c r="N1440" s="1">
        <f>Table1[[#This Row],[Winning Score]]-Table1[[#This Row],[Losing Score]]</f>
        <v>15</v>
      </c>
      <c r="O1440" s="1">
        <f>Table1[[#This Row],[Losing Seed]]-Table1[[#This Row],[Winning Seed]]</f>
        <v>1</v>
      </c>
      <c r="P1440" s="1" t="str">
        <f>IF(Table1[[#This Row],[SeD]]&lt;-2,Table1[[#This Row],[Winning Seed]]&amp; " over " &amp;Table1[[#This Row],[Losing Seed]],"")</f>
        <v/>
      </c>
      <c r="Q1440">
        <f>VLOOKUP(Table1[[#This Row],[Losing Seed]],'Seed History'!$N$4:$O$19,2)</f>
        <v>1.1180555555555556</v>
      </c>
      <c r="R1440" s="1">
        <f>IF(Table1[[#This Row],[Round]]="PI",0,Table1[[#This Row],[Round]]-1)</f>
        <v>1</v>
      </c>
      <c r="S1440">
        <f>Table1[[#This Row],[LAW]]-Table1[[#This Row],[LEW]]</f>
        <v>-0.11805555555555558</v>
      </c>
    </row>
    <row r="1441" spans="1:19" x14ac:dyDescent="0.25">
      <c r="A1441" s="66">
        <v>39159</v>
      </c>
      <c r="B1441" s="51">
        <f>YEAR(Table1[[#This Row],[Date]])</f>
        <v>2007</v>
      </c>
      <c r="C1441" s="1">
        <v>2</v>
      </c>
      <c r="D1441" t="s">
        <v>49</v>
      </c>
      <c r="E1441" s="1">
        <v>5</v>
      </c>
      <c r="F1441" t="s">
        <v>85</v>
      </c>
      <c r="G1441" t="str">
        <f>VLOOKUP(Table1[[#This Row],[Winner]],Ranking!C:D,2,FALSE)</f>
        <v>P12</v>
      </c>
      <c r="H1441" s="1">
        <v>87</v>
      </c>
      <c r="I1441" s="1">
        <v>4</v>
      </c>
      <c r="J1441" t="s">
        <v>34</v>
      </c>
      <c r="K1441" t="str">
        <f>VLOOKUP(Table1[[#This Row],[Loser]],Ranking!C:D,2,FALSE)</f>
        <v>B12</v>
      </c>
      <c r="L1441" s="1">
        <v>68</v>
      </c>
      <c r="N1441" s="1">
        <f>Table1[[#This Row],[Winning Score]]-Table1[[#This Row],[Losing Score]]</f>
        <v>19</v>
      </c>
      <c r="O1441" s="1">
        <f>Table1[[#This Row],[Losing Seed]]-Table1[[#This Row],[Winning Seed]]</f>
        <v>-1</v>
      </c>
      <c r="P1441" s="1" t="str">
        <f>IF(Table1[[#This Row],[SeD]]&lt;-2,Table1[[#This Row],[Winning Seed]]&amp; " over " &amp;Table1[[#This Row],[Losing Seed]],"")</f>
        <v/>
      </c>
      <c r="Q1441">
        <f>VLOOKUP(Table1[[#This Row],[Losing Seed]],'Seed History'!$N$4:$O$19,2)</f>
        <v>1.5208333333333333</v>
      </c>
      <c r="R1441" s="1">
        <f>IF(Table1[[#This Row],[Round]]="PI",0,Table1[[#This Row],[Round]]-1)</f>
        <v>1</v>
      </c>
      <c r="S1441">
        <f>Table1[[#This Row],[LAW]]-Table1[[#This Row],[LEW]]</f>
        <v>-0.52083333333333326</v>
      </c>
    </row>
    <row r="1442" spans="1:19" x14ac:dyDescent="0.25">
      <c r="A1442" s="66">
        <v>39159</v>
      </c>
      <c r="B1442" s="51">
        <f>YEAR(Table1[[#This Row],[Date]])</f>
        <v>2007</v>
      </c>
      <c r="C1442" s="1">
        <v>2</v>
      </c>
      <c r="D1442" t="s">
        <v>63</v>
      </c>
      <c r="E1442" s="1">
        <v>5</v>
      </c>
      <c r="F1442" t="s">
        <v>374</v>
      </c>
      <c r="G1442" t="str">
        <f>VLOOKUP(Table1[[#This Row],[Winner]],Ranking!C:D,2,FALSE)</f>
        <v>SEC</v>
      </c>
      <c r="H1442" s="1">
        <v>77</v>
      </c>
      <c r="I1442" s="1">
        <v>4</v>
      </c>
      <c r="J1442" t="s">
        <v>61</v>
      </c>
      <c r="K1442" t="str">
        <f>VLOOKUP(Table1[[#This Row],[Loser]],Ranking!C:D,2,FALSE)</f>
        <v>ACC</v>
      </c>
      <c r="L1442" s="1">
        <v>74</v>
      </c>
      <c r="N1442" s="1">
        <f>Table1[[#This Row],[Winning Score]]-Table1[[#This Row],[Losing Score]]</f>
        <v>3</v>
      </c>
      <c r="O1442" s="1">
        <f>Table1[[#This Row],[Losing Seed]]-Table1[[#This Row],[Winning Seed]]</f>
        <v>-1</v>
      </c>
      <c r="P1442" s="1" t="str">
        <f>IF(Table1[[#This Row],[SeD]]&lt;-2,Table1[[#This Row],[Winning Seed]]&amp; " over " &amp;Table1[[#This Row],[Losing Seed]],"")</f>
        <v/>
      </c>
      <c r="Q1442">
        <f>VLOOKUP(Table1[[#This Row],[Losing Seed]],'Seed History'!$N$4:$O$19,2)</f>
        <v>1.5208333333333333</v>
      </c>
      <c r="R1442" s="1">
        <f>IF(Table1[[#This Row],[Round]]="PI",0,Table1[[#This Row],[Round]]-1)</f>
        <v>1</v>
      </c>
      <c r="S1442">
        <f>Table1[[#This Row],[LAW]]-Table1[[#This Row],[LEW]]</f>
        <v>-0.52083333333333326</v>
      </c>
    </row>
    <row r="1443" spans="1:19" x14ac:dyDescent="0.25">
      <c r="A1443" s="66">
        <v>39163</v>
      </c>
      <c r="B1443" s="51">
        <f>YEAR(Table1[[#This Row],[Date]])</f>
        <v>2007</v>
      </c>
      <c r="C1443" s="1">
        <v>3</v>
      </c>
      <c r="D1443" t="s">
        <v>63</v>
      </c>
      <c r="E1443" s="1">
        <v>1</v>
      </c>
      <c r="F1443" t="s">
        <v>315</v>
      </c>
      <c r="G1443" t="str">
        <f>VLOOKUP(Table1[[#This Row],[Winner]],Ranking!C:D,2,FALSE)</f>
        <v>B10</v>
      </c>
      <c r="H1443" s="1">
        <v>85</v>
      </c>
      <c r="I1443" s="1">
        <v>5</v>
      </c>
      <c r="J1443" t="s">
        <v>374</v>
      </c>
      <c r="K1443" t="str">
        <f>VLOOKUP(Table1[[#This Row],[Loser]],Ranking!C:D,2,FALSE)</f>
        <v>SEC</v>
      </c>
      <c r="L1443" s="1">
        <v>84</v>
      </c>
      <c r="N1443" s="1">
        <f>Table1[[#This Row],[Winning Score]]-Table1[[#This Row],[Losing Score]]</f>
        <v>1</v>
      </c>
      <c r="O1443" s="1">
        <f>Table1[[#This Row],[Losing Seed]]-Table1[[#This Row],[Winning Seed]]</f>
        <v>4</v>
      </c>
      <c r="P1443" s="1" t="str">
        <f>IF(Table1[[#This Row],[SeD]]&lt;-2,Table1[[#This Row],[Winning Seed]]&amp; " over " &amp;Table1[[#This Row],[Losing Seed]],"")</f>
        <v/>
      </c>
      <c r="Q1443">
        <f>VLOOKUP(Table1[[#This Row],[Losing Seed]],'Seed History'!$N$4:$O$19,2)</f>
        <v>1.1180555555555556</v>
      </c>
      <c r="R1443" s="1">
        <f>IF(Table1[[#This Row],[Round]]="PI",0,Table1[[#This Row],[Round]]-1)</f>
        <v>2</v>
      </c>
      <c r="S1443">
        <f>Table1[[#This Row],[LAW]]-Table1[[#This Row],[LEW]]</f>
        <v>0.88194444444444442</v>
      </c>
    </row>
    <row r="1444" spans="1:19" x14ac:dyDescent="0.25">
      <c r="A1444" s="66">
        <v>39163</v>
      </c>
      <c r="B1444" s="51">
        <f>YEAR(Table1[[#This Row],[Date]])</f>
        <v>2007</v>
      </c>
      <c r="C1444" s="1">
        <v>3</v>
      </c>
      <c r="D1444" t="s">
        <v>63</v>
      </c>
      <c r="E1444" s="1">
        <v>2</v>
      </c>
      <c r="F1444" t="s">
        <v>267</v>
      </c>
      <c r="G1444" t="str">
        <f>VLOOKUP(Table1[[#This Row],[Winner]],Ranking!C:D,2,FALSE)</f>
        <v>Amer</v>
      </c>
      <c r="H1444" s="1">
        <v>65</v>
      </c>
      <c r="I1444" s="1">
        <v>3</v>
      </c>
      <c r="J1444" t="s">
        <v>79</v>
      </c>
      <c r="K1444" t="str">
        <f>VLOOKUP(Table1[[#This Row],[Loser]],Ranking!C:D,2,FALSE)</f>
        <v>SEC</v>
      </c>
      <c r="L1444" s="1">
        <v>64</v>
      </c>
      <c r="N1444" s="1">
        <f>Table1[[#This Row],[Winning Score]]-Table1[[#This Row],[Losing Score]]</f>
        <v>1</v>
      </c>
      <c r="O1444" s="1">
        <f>Table1[[#This Row],[Losing Seed]]-Table1[[#This Row],[Winning Seed]]</f>
        <v>1</v>
      </c>
      <c r="P1444" s="1" t="str">
        <f>IF(Table1[[#This Row],[SeD]]&lt;-2,Table1[[#This Row],[Winning Seed]]&amp; " over " &amp;Table1[[#This Row],[Losing Seed]],"")</f>
        <v/>
      </c>
      <c r="Q1444">
        <f>VLOOKUP(Table1[[#This Row],[Losing Seed]],'Seed History'!$N$4:$O$19,2)</f>
        <v>1.8472222222222223</v>
      </c>
      <c r="R1444" s="1">
        <f>IF(Table1[[#This Row],[Round]]="PI",0,Table1[[#This Row],[Round]]-1)</f>
        <v>2</v>
      </c>
      <c r="S1444">
        <f>Table1[[#This Row],[LAW]]-Table1[[#This Row],[LEW]]</f>
        <v>0.15277777777777768</v>
      </c>
    </row>
    <row r="1445" spans="1:19" x14ac:dyDescent="0.25">
      <c r="A1445" s="66">
        <v>39163</v>
      </c>
      <c r="B1445" s="51">
        <f>YEAR(Table1[[#This Row],[Date]])</f>
        <v>2007</v>
      </c>
      <c r="C1445" s="1">
        <v>3</v>
      </c>
      <c r="D1445" t="s">
        <v>38</v>
      </c>
      <c r="E1445" s="1">
        <v>1</v>
      </c>
      <c r="F1445" t="s">
        <v>37</v>
      </c>
      <c r="G1445" t="str">
        <f>VLOOKUP(Table1[[#This Row],[Winner]],Ranking!C:D,2,FALSE)</f>
        <v>B12</v>
      </c>
      <c r="H1445" s="1">
        <v>61</v>
      </c>
      <c r="I1445" s="1">
        <v>4</v>
      </c>
      <c r="J1445" t="s">
        <v>362</v>
      </c>
      <c r="K1445" t="str">
        <f>VLOOKUP(Table1[[#This Row],[Loser]],Ranking!C:D,2,FALSE)</f>
        <v>MVC</v>
      </c>
      <c r="L1445" s="1">
        <v>58</v>
      </c>
      <c r="N1445" s="1">
        <f>Table1[[#This Row],[Winning Score]]-Table1[[#This Row],[Losing Score]]</f>
        <v>3</v>
      </c>
      <c r="O1445" s="1">
        <f>Table1[[#This Row],[Losing Seed]]-Table1[[#This Row],[Winning Seed]]</f>
        <v>3</v>
      </c>
      <c r="P1445" s="1" t="str">
        <f>IF(Table1[[#This Row],[SeD]]&lt;-2,Table1[[#This Row],[Winning Seed]]&amp; " over " &amp;Table1[[#This Row],[Losing Seed]],"")</f>
        <v/>
      </c>
      <c r="Q1445">
        <f>VLOOKUP(Table1[[#This Row],[Losing Seed]],'Seed History'!$N$4:$O$19,2)</f>
        <v>1.5208333333333333</v>
      </c>
      <c r="R1445" s="1">
        <f>IF(Table1[[#This Row],[Round]]="PI",0,Table1[[#This Row],[Round]]-1)</f>
        <v>2</v>
      </c>
      <c r="S1445">
        <f>Table1[[#This Row],[LAW]]-Table1[[#This Row],[LEW]]</f>
        <v>0.47916666666666674</v>
      </c>
    </row>
    <row r="1446" spans="1:19" x14ac:dyDescent="0.25">
      <c r="A1446" s="66">
        <v>39163</v>
      </c>
      <c r="B1446" s="51">
        <f>YEAR(Table1[[#This Row],[Date]])</f>
        <v>2007</v>
      </c>
      <c r="C1446" s="1">
        <v>3</v>
      </c>
      <c r="D1446" t="s">
        <v>38</v>
      </c>
      <c r="E1446" s="1">
        <v>2</v>
      </c>
      <c r="F1446" t="s">
        <v>67</v>
      </c>
      <c r="G1446" t="str">
        <f>VLOOKUP(Table1[[#This Row],[Winner]],Ranking!C:D,2,FALSE)</f>
        <v>P12</v>
      </c>
      <c r="H1446" s="1">
        <v>64</v>
      </c>
      <c r="I1446" s="1">
        <v>3</v>
      </c>
      <c r="J1446" t="s">
        <v>83</v>
      </c>
      <c r="K1446" t="str">
        <f>VLOOKUP(Table1[[#This Row],[Loser]],Ranking!C:D,2,FALSE)</f>
        <v>ACC</v>
      </c>
      <c r="L1446" s="1">
        <v>55</v>
      </c>
      <c r="N1446" s="1">
        <f>Table1[[#This Row],[Winning Score]]-Table1[[#This Row],[Losing Score]]</f>
        <v>9</v>
      </c>
      <c r="O1446" s="1">
        <f>Table1[[#This Row],[Losing Seed]]-Table1[[#This Row],[Winning Seed]]</f>
        <v>1</v>
      </c>
      <c r="P1446" s="1" t="str">
        <f>IF(Table1[[#This Row],[SeD]]&lt;-2,Table1[[#This Row],[Winning Seed]]&amp; " over " &amp;Table1[[#This Row],[Losing Seed]],"")</f>
        <v/>
      </c>
      <c r="Q1446">
        <f>VLOOKUP(Table1[[#This Row],[Losing Seed]],'Seed History'!$N$4:$O$19,2)</f>
        <v>1.8472222222222223</v>
      </c>
      <c r="R1446" s="1">
        <f>IF(Table1[[#This Row],[Round]]="PI",0,Table1[[#This Row],[Round]]-1)</f>
        <v>2</v>
      </c>
      <c r="S1446">
        <f>Table1[[#This Row],[LAW]]-Table1[[#This Row],[LEW]]</f>
        <v>0.15277777777777768</v>
      </c>
    </row>
    <row r="1447" spans="1:19" x14ac:dyDescent="0.25">
      <c r="A1447" s="66">
        <v>39164</v>
      </c>
      <c r="B1447" s="51">
        <f>YEAR(Table1[[#This Row],[Date]])</f>
        <v>2007</v>
      </c>
      <c r="C1447" s="1">
        <v>3</v>
      </c>
      <c r="D1447" t="s">
        <v>49</v>
      </c>
      <c r="E1447" s="1">
        <v>1</v>
      </c>
      <c r="F1447" t="s">
        <v>298</v>
      </c>
      <c r="G1447" t="str">
        <f>VLOOKUP(Table1[[#This Row],[Winner]],Ranking!C:D,2,FALSE)</f>
        <v>ACC</v>
      </c>
      <c r="H1447" s="1">
        <v>74</v>
      </c>
      <c r="I1447" s="1">
        <v>5</v>
      </c>
      <c r="J1447" t="s">
        <v>85</v>
      </c>
      <c r="K1447" t="str">
        <f>VLOOKUP(Table1[[#This Row],[Loser]],Ranking!C:D,2,FALSE)</f>
        <v>P12</v>
      </c>
      <c r="L1447" s="1">
        <v>64</v>
      </c>
      <c r="N1447" s="1">
        <f>Table1[[#This Row],[Winning Score]]-Table1[[#This Row],[Losing Score]]</f>
        <v>10</v>
      </c>
      <c r="O1447" s="1">
        <f>Table1[[#This Row],[Losing Seed]]-Table1[[#This Row],[Winning Seed]]</f>
        <v>4</v>
      </c>
      <c r="P1447" s="1" t="str">
        <f>IF(Table1[[#This Row],[SeD]]&lt;-2,Table1[[#This Row],[Winning Seed]]&amp; " over " &amp;Table1[[#This Row],[Losing Seed]],"")</f>
        <v/>
      </c>
      <c r="Q1447">
        <f>VLOOKUP(Table1[[#This Row],[Losing Seed]],'Seed History'!$N$4:$O$19,2)</f>
        <v>1.1180555555555556</v>
      </c>
      <c r="R1447" s="1">
        <f>IF(Table1[[#This Row],[Round]]="PI",0,Table1[[#This Row],[Round]]-1)</f>
        <v>2</v>
      </c>
      <c r="S1447">
        <f>Table1[[#This Row],[LAW]]-Table1[[#This Row],[LEW]]</f>
        <v>0.88194444444444442</v>
      </c>
    </row>
    <row r="1448" spans="1:19" x14ac:dyDescent="0.25">
      <c r="A1448" s="66">
        <v>39164</v>
      </c>
      <c r="B1448" s="51">
        <f>YEAR(Table1[[#This Row],[Date]])</f>
        <v>2007</v>
      </c>
      <c r="C1448" s="1">
        <v>3</v>
      </c>
      <c r="D1448" t="s">
        <v>49</v>
      </c>
      <c r="E1448" s="1">
        <v>2</v>
      </c>
      <c r="F1448" t="s">
        <v>66</v>
      </c>
      <c r="G1448" t="str">
        <f>VLOOKUP(Table1[[#This Row],[Winner]],Ranking!C:D,2,FALSE)</f>
        <v>BE</v>
      </c>
      <c r="H1448" s="1">
        <v>66</v>
      </c>
      <c r="I1448" s="1">
        <v>6</v>
      </c>
      <c r="J1448" t="s">
        <v>78</v>
      </c>
      <c r="K1448" t="str">
        <f>VLOOKUP(Table1[[#This Row],[Loser]],Ranking!C:D,2,FALSE)</f>
        <v>SEC</v>
      </c>
      <c r="L1448" s="1">
        <v>65</v>
      </c>
      <c r="N1448" s="1">
        <f>Table1[[#This Row],[Winning Score]]-Table1[[#This Row],[Losing Score]]</f>
        <v>1</v>
      </c>
      <c r="O1448" s="1">
        <f>Table1[[#This Row],[Losing Seed]]-Table1[[#This Row],[Winning Seed]]</f>
        <v>4</v>
      </c>
      <c r="P1448" s="1" t="str">
        <f>IF(Table1[[#This Row],[SeD]]&lt;-2,Table1[[#This Row],[Winning Seed]]&amp; " over " &amp;Table1[[#This Row],[Losing Seed]],"")</f>
        <v/>
      </c>
      <c r="Q1448">
        <f>VLOOKUP(Table1[[#This Row],[Losing Seed]],'Seed History'!$N$4:$O$19,2)</f>
        <v>1.0625</v>
      </c>
      <c r="R1448" s="1">
        <f>IF(Table1[[#This Row],[Round]]="PI",0,Table1[[#This Row],[Round]]-1)</f>
        <v>2</v>
      </c>
      <c r="S1448">
        <f>Table1[[#This Row],[LAW]]-Table1[[#This Row],[LEW]]</f>
        <v>0.9375</v>
      </c>
    </row>
    <row r="1449" spans="1:19" x14ac:dyDescent="0.25">
      <c r="A1449" s="66">
        <v>39164</v>
      </c>
      <c r="B1449" s="51">
        <f>YEAR(Table1[[#This Row],[Date]])</f>
        <v>2007</v>
      </c>
      <c r="C1449" s="1">
        <v>3</v>
      </c>
      <c r="D1449" t="s">
        <v>439</v>
      </c>
      <c r="E1449" s="1">
        <v>1</v>
      </c>
      <c r="F1449" t="s">
        <v>81</v>
      </c>
      <c r="G1449" t="str">
        <f>VLOOKUP(Table1[[#This Row],[Winner]],Ranking!C:D,2,FALSE)</f>
        <v>SEC</v>
      </c>
      <c r="H1449" s="1">
        <v>65</v>
      </c>
      <c r="I1449" s="1">
        <v>5</v>
      </c>
      <c r="J1449" t="s">
        <v>33</v>
      </c>
      <c r="K1449" t="str">
        <f>VLOOKUP(Table1[[#This Row],[Loser]],Ranking!C:D,2,FALSE)</f>
        <v>BE</v>
      </c>
      <c r="L1449" s="1">
        <v>57</v>
      </c>
      <c r="N1449" s="1">
        <f>Table1[[#This Row],[Winning Score]]-Table1[[#This Row],[Losing Score]]</f>
        <v>8</v>
      </c>
      <c r="O1449" s="1">
        <f>Table1[[#This Row],[Losing Seed]]-Table1[[#This Row],[Winning Seed]]</f>
        <v>4</v>
      </c>
      <c r="P1449" s="1" t="str">
        <f>IF(Table1[[#This Row],[SeD]]&lt;-2,Table1[[#This Row],[Winning Seed]]&amp; " over " &amp;Table1[[#This Row],[Losing Seed]],"")</f>
        <v/>
      </c>
      <c r="Q1449">
        <f>VLOOKUP(Table1[[#This Row],[Losing Seed]],'Seed History'!$N$4:$O$19,2)</f>
        <v>1.1180555555555556</v>
      </c>
      <c r="R1449" s="1">
        <f>IF(Table1[[#This Row],[Round]]="PI",0,Table1[[#This Row],[Round]]-1)</f>
        <v>2</v>
      </c>
      <c r="S1449">
        <f>Table1[[#This Row],[LAW]]-Table1[[#This Row],[LEW]]</f>
        <v>0.88194444444444442</v>
      </c>
    </row>
    <row r="1450" spans="1:19" x14ac:dyDescent="0.25">
      <c r="A1450" s="66">
        <v>39164</v>
      </c>
      <c r="B1450" s="51">
        <f>YEAR(Table1[[#This Row],[Date]])</f>
        <v>2007</v>
      </c>
      <c r="C1450" s="1">
        <v>3</v>
      </c>
      <c r="D1450" t="s">
        <v>439</v>
      </c>
      <c r="E1450" s="1">
        <v>3</v>
      </c>
      <c r="F1450" t="s">
        <v>40</v>
      </c>
      <c r="G1450" t="str">
        <f>VLOOKUP(Table1[[#This Row],[Winner]],Ranking!C:D,2,FALSE)</f>
        <v>P12</v>
      </c>
      <c r="H1450" s="1">
        <v>76</v>
      </c>
      <c r="I1450" s="1">
        <v>7</v>
      </c>
      <c r="J1450" t="s">
        <v>396</v>
      </c>
      <c r="K1450" t="str">
        <f>VLOOKUP(Table1[[#This Row],[Loser]],Ranking!C:D,2,FALSE)</f>
        <v>MWC</v>
      </c>
      <c r="L1450" s="1">
        <v>72</v>
      </c>
      <c r="N1450" s="1">
        <f>Table1[[#This Row],[Winning Score]]-Table1[[#This Row],[Losing Score]]</f>
        <v>4</v>
      </c>
      <c r="O1450" s="1">
        <f>Table1[[#This Row],[Losing Seed]]-Table1[[#This Row],[Winning Seed]]</f>
        <v>4</v>
      </c>
      <c r="P1450" s="1" t="str">
        <f>IF(Table1[[#This Row],[SeD]]&lt;-2,Table1[[#This Row],[Winning Seed]]&amp; " over " &amp;Table1[[#This Row],[Losing Seed]],"")</f>
        <v/>
      </c>
      <c r="Q1450">
        <f>VLOOKUP(Table1[[#This Row],[Losing Seed]],'Seed History'!$N$4:$O$19,2)</f>
        <v>0.90277777777777779</v>
      </c>
      <c r="R1450" s="1">
        <f>IF(Table1[[#This Row],[Round]]="PI",0,Table1[[#This Row],[Round]]-1)</f>
        <v>2</v>
      </c>
      <c r="S1450">
        <f>Table1[[#This Row],[LAW]]-Table1[[#This Row],[LEW]]</f>
        <v>1.0972222222222223</v>
      </c>
    </row>
    <row r="1451" spans="1:19" x14ac:dyDescent="0.25">
      <c r="A1451" s="66">
        <v>39165</v>
      </c>
      <c r="B1451" s="51">
        <f>YEAR(Table1[[#This Row],[Date]])</f>
        <v>2007</v>
      </c>
      <c r="C1451" s="1">
        <v>4</v>
      </c>
      <c r="D1451" t="s">
        <v>63</v>
      </c>
      <c r="E1451" s="1">
        <v>1</v>
      </c>
      <c r="F1451" t="s">
        <v>315</v>
      </c>
      <c r="G1451" t="str">
        <f>VLOOKUP(Table1[[#This Row],[Winner]],Ranking!C:D,2,FALSE)</f>
        <v>B10</v>
      </c>
      <c r="H1451" s="1">
        <v>92</v>
      </c>
      <c r="I1451" s="1">
        <v>2</v>
      </c>
      <c r="J1451" t="s">
        <v>267</v>
      </c>
      <c r="K1451" t="str">
        <f>VLOOKUP(Table1[[#This Row],[Loser]],Ranking!C:D,2,FALSE)</f>
        <v>Amer</v>
      </c>
      <c r="L1451" s="1">
        <v>76</v>
      </c>
      <c r="N1451" s="1">
        <f>Table1[[#This Row],[Winning Score]]-Table1[[#This Row],[Losing Score]]</f>
        <v>16</v>
      </c>
      <c r="O1451" s="1">
        <f>Table1[[#This Row],[Losing Seed]]-Table1[[#This Row],[Winning Seed]]</f>
        <v>1</v>
      </c>
      <c r="P1451" s="1" t="str">
        <f>IF(Table1[[#This Row],[SeD]]&lt;-2,Table1[[#This Row],[Winning Seed]]&amp; " over " &amp;Table1[[#This Row],[Losing Seed]],"")</f>
        <v/>
      </c>
      <c r="Q1451">
        <f>VLOOKUP(Table1[[#This Row],[Losing Seed]],'Seed History'!$N$4:$O$19,2)</f>
        <v>2.3472222222222223</v>
      </c>
      <c r="R1451" s="1">
        <f>IF(Table1[[#This Row],[Round]]="PI",0,Table1[[#This Row],[Round]]-1)</f>
        <v>3</v>
      </c>
      <c r="S1451">
        <f>Table1[[#This Row],[LAW]]-Table1[[#This Row],[LEW]]</f>
        <v>0.65277777777777768</v>
      </c>
    </row>
    <row r="1452" spans="1:19" x14ac:dyDescent="0.25">
      <c r="A1452" s="66">
        <v>39165</v>
      </c>
      <c r="B1452" s="51">
        <f>YEAR(Table1[[#This Row],[Date]])</f>
        <v>2007</v>
      </c>
      <c r="C1452" s="1">
        <v>4</v>
      </c>
      <c r="D1452" t="s">
        <v>38</v>
      </c>
      <c r="E1452" s="1">
        <v>2</v>
      </c>
      <c r="F1452" t="s">
        <v>67</v>
      </c>
      <c r="G1452" t="str">
        <f>VLOOKUP(Table1[[#This Row],[Winner]],Ranking!C:D,2,FALSE)</f>
        <v>P12</v>
      </c>
      <c r="H1452" s="1">
        <v>68</v>
      </c>
      <c r="I1452" s="1">
        <v>1</v>
      </c>
      <c r="J1452" t="s">
        <v>37</v>
      </c>
      <c r="K1452" t="str">
        <f>VLOOKUP(Table1[[#This Row],[Loser]],Ranking!C:D,2,FALSE)</f>
        <v>B12</v>
      </c>
      <c r="L1452" s="1">
        <v>55</v>
      </c>
      <c r="N1452" s="1">
        <f>Table1[[#This Row],[Winning Score]]-Table1[[#This Row],[Losing Score]]</f>
        <v>13</v>
      </c>
      <c r="O1452" s="1">
        <f>Table1[[#This Row],[Losing Seed]]-Table1[[#This Row],[Winning Seed]]</f>
        <v>-1</v>
      </c>
      <c r="P1452" s="1" t="str">
        <f>IF(Table1[[#This Row],[SeD]]&lt;-2,Table1[[#This Row],[Winning Seed]]&amp; " over " &amp;Table1[[#This Row],[Losing Seed]],"")</f>
        <v/>
      </c>
      <c r="Q1452">
        <f>VLOOKUP(Table1[[#This Row],[Losing Seed]],'Seed History'!$N$4:$O$19,2)</f>
        <v>3.3263888888888888</v>
      </c>
      <c r="R1452" s="1">
        <f>IF(Table1[[#This Row],[Round]]="PI",0,Table1[[#This Row],[Round]]-1)</f>
        <v>3</v>
      </c>
      <c r="S1452">
        <f>Table1[[#This Row],[LAW]]-Table1[[#This Row],[LEW]]</f>
        <v>-0.32638888888888884</v>
      </c>
    </row>
    <row r="1453" spans="1:19" x14ac:dyDescent="0.25">
      <c r="A1453" s="66">
        <v>39166</v>
      </c>
      <c r="B1453" s="51">
        <f>YEAR(Table1[[#This Row],[Date]])</f>
        <v>2007</v>
      </c>
      <c r="C1453" s="1">
        <v>4</v>
      </c>
      <c r="D1453" t="s">
        <v>439</v>
      </c>
      <c r="E1453" s="1">
        <v>1</v>
      </c>
      <c r="F1453" t="s">
        <v>81</v>
      </c>
      <c r="G1453" t="str">
        <f>VLOOKUP(Table1[[#This Row],[Winner]],Ranking!C:D,2,FALSE)</f>
        <v>SEC</v>
      </c>
      <c r="H1453" s="1">
        <v>85</v>
      </c>
      <c r="I1453" s="1">
        <v>3</v>
      </c>
      <c r="J1453" t="s">
        <v>40</v>
      </c>
      <c r="K1453" t="str">
        <f>VLOOKUP(Table1[[#This Row],[Loser]],Ranking!C:D,2,FALSE)</f>
        <v>P12</v>
      </c>
      <c r="L1453" s="1">
        <v>77</v>
      </c>
      <c r="N1453" s="1">
        <f>Table1[[#This Row],[Winning Score]]-Table1[[#This Row],[Losing Score]]</f>
        <v>8</v>
      </c>
      <c r="O1453" s="1">
        <f>Table1[[#This Row],[Losing Seed]]-Table1[[#This Row],[Winning Seed]]</f>
        <v>2</v>
      </c>
      <c r="P1453" s="1" t="str">
        <f>IF(Table1[[#This Row],[SeD]]&lt;-2,Table1[[#This Row],[Winning Seed]]&amp; " over " &amp;Table1[[#This Row],[Losing Seed]],"")</f>
        <v/>
      </c>
      <c r="Q1453">
        <f>VLOOKUP(Table1[[#This Row],[Losing Seed]],'Seed History'!$N$4:$O$19,2)</f>
        <v>1.8472222222222223</v>
      </c>
      <c r="R1453" s="1">
        <f>IF(Table1[[#This Row],[Round]]="PI",0,Table1[[#This Row],[Round]]-1)</f>
        <v>3</v>
      </c>
      <c r="S1453">
        <f>Table1[[#This Row],[LAW]]-Table1[[#This Row],[LEW]]</f>
        <v>1.1527777777777777</v>
      </c>
    </row>
    <row r="1454" spans="1:19" x14ac:dyDescent="0.25">
      <c r="A1454" s="66">
        <v>39166</v>
      </c>
      <c r="B1454" s="51">
        <f>YEAR(Table1[[#This Row],[Date]])</f>
        <v>2007</v>
      </c>
      <c r="C1454" s="1">
        <v>4</v>
      </c>
      <c r="D1454" t="s">
        <v>49</v>
      </c>
      <c r="E1454" s="1">
        <v>2</v>
      </c>
      <c r="F1454" t="s">
        <v>66</v>
      </c>
      <c r="G1454" t="str">
        <f>VLOOKUP(Table1[[#This Row],[Winner]],Ranking!C:D,2,FALSE)</f>
        <v>BE</v>
      </c>
      <c r="H1454" s="1">
        <v>96</v>
      </c>
      <c r="I1454" s="1">
        <v>1</v>
      </c>
      <c r="J1454" t="s">
        <v>298</v>
      </c>
      <c r="K1454" t="str">
        <f>VLOOKUP(Table1[[#This Row],[Loser]],Ranking!C:D,2,FALSE)</f>
        <v>ACC</v>
      </c>
      <c r="L1454" s="1">
        <v>84</v>
      </c>
      <c r="M1454" s="1" t="s">
        <v>462</v>
      </c>
      <c r="N1454" s="1">
        <f>Table1[[#This Row],[Winning Score]]-Table1[[#This Row],[Losing Score]]</f>
        <v>12</v>
      </c>
      <c r="O1454" s="1">
        <f>Table1[[#This Row],[Losing Seed]]-Table1[[#This Row],[Winning Seed]]</f>
        <v>-1</v>
      </c>
      <c r="P1454" s="1" t="str">
        <f>IF(Table1[[#This Row],[SeD]]&lt;-2,Table1[[#This Row],[Winning Seed]]&amp; " over " &amp;Table1[[#This Row],[Losing Seed]],"")</f>
        <v/>
      </c>
      <c r="Q1454">
        <f>VLOOKUP(Table1[[#This Row],[Losing Seed]],'Seed History'!$N$4:$O$19,2)</f>
        <v>3.3263888888888888</v>
      </c>
      <c r="R1454" s="1">
        <f>IF(Table1[[#This Row],[Round]]="PI",0,Table1[[#This Row],[Round]]-1)</f>
        <v>3</v>
      </c>
      <c r="S1454">
        <f>Table1[[#This Row],[LAW]]-Table1[[#This Row],[LEW]]</f>
        <v>-0.32638888888888884</v>
      </c>
    </row>
    <row r="1455" spans="1:19" x14ac:dyDescent="0.25">
      <c r="A1455" s="66">
        <v>39172</v>
      </c>
      <c r="B1455" s="51">
        <f>YEAR(Table1[[#This Row],[Date]])</f>
        <v>2007</v>
      </c>
      <c r="C1455" s="1">
        <v>5</v>
      </c>
      <c r="D1455" t="s">
        <v>467</v>
      </c>
      <c r="E1455" s="1">
        <v>1</v>
      </c>
      <c r="F1455" t="s">
        <v>81</v>
      </c>
      <c r="G1455" t="str">
        <f>VLOOKUP(Table1[[#This Row],[Winner]],Ranking!C:D,2,FALSE)</f>
        <v>SEC</v>
      </c>
      <c r="H1455" s="1">
        <v>76</v>
      </c>
      <c r="I1455" s="1">
        <v>2</v>
      </c>
      <c r="J1455" t="s">
        <v>67</v>
      </c>
      <c r="K1455" t="str">
        <f>VLOOKUP(Table1[[#This Row],[Loser]],Ranking!C:D,2,FALSE)</f>
        <v>P12</v>
      </c>
      <c r="L1455" s="1">
        <v>66</v>
      </c>
      <c r="N1455" s="1">
        <f>Table1[[#This Row],[Winning Score]]-Table1[[#This Row],[Losing Score]]</f>
        <v>10</v>
      </c>
      <c r="O1455" s="1">
        <f>Table1[[#This Row],[Losing Seed]]-Table1[[#This Row],[Winning Seed]]</f>
        <v>1</v>
      </c>
      <c r="P1455" s="1" t="str">
        <f>IF(Table1[[#This Row],[SeD]]&lt;-2,Table1[[#This Row],[Winning Seed]]&amp; " over " &amp;Table1[[#This Row],[Losing Seed]],"")</f>
        <v/>
      </c>
      <c r="Q1455">
        <f>VLOOKUP(Table1[[#This Row],[Losing Seed]],'Seed History'!$N$4:$O$19,2)</f>
        <v>2.3472222222222223</v>
      </c>
      <c r="R1455" s="1">
        <f>IF(Table1[[#This Row],[Round]]="PI",0,Table1[[#This Row],[Round]]-1)</f>
        <v>4</v>
      </c>
      <c r="S1455">
        <f>Table1[[#This Row],[LAW]]-Table1[[#This Row],[LEW]]</f>
        <v>1.6527777777777777</v>
      </c>
    </row>
    <row r="1456" spans="1:19" x14ac:dyDescent="0.25">
      <c r="A1456" s="66">
        <v>39172</v>
      </c>
      <c r="B1456" s="51">
        <f>YEAR(Table1[[#This Row],[Date]])</f>
        <v>2007</v>
      </c>
      <c r="C1456" s="1">
        <v>5</v>
      </c>
      <c r="D1456" t="s">
        <v>467</v>
      </c>
      <c r="E1456" s="1">
        <v>1</v>
      </c>
      <c r="F1456" t="s">
        <v>315</v>
      </c>
      <c r="G1456" t="str">
        <f>VLOOKUP(Table1[[#This Row],[Winner]],Ranking!C:D,2,FALSE)</f>
        <v>B10</v>
      </c>
      <c r="H1456" s="1">
        <v>67</v>
      </c>
      <c r="I1456" s="1">
        <v>2</v>
      </c>
      <c r="J1456" t="s">
        <v>66</v>
      </c>
      <c r="K1456" t="str">
        <f>VLOOKUP(Table1[[#This Row],[Loser]],Ranking!C:D,2,FALSE)</f>
        <v>BE</v>
      </c>
      <c r="L1456" s="1">
        <v>60</v>
      </c>
      <c r="N1456" s="1">
        <f>Table1[[#This Row],[Winning Score]]-Table1[[#This Row],[Losing Score]]</f>
        <v>7</v>
      </c>
      <c r="O1456" s="1">
        <f>Table1[[#This Row],[Losing Seed]]-Table1[[#This Row],[Winning Seed]]</f>
        <v>1</v>
      </c>
      <c r="P1456" s="1" t="str">
        <f>IF(Table1[[#This Row],[SeD]]&lt;-2,Table1[[#This Row],[Winning Seed]]&amp; " over " &amp;Table1[[#This Row],[Losing Seed]],"")</f>
        <v/>
      </c>
      <c r="Q1456">
        <f>VLOOKUP(Table1[[#This Row],[Losing Seed]],'Seed History'!$N$4:$O$19,2)</f>
        <v>2.3472222222222223</v>
      </c>
      <c r="R1456" s="1">
        <f>IF(Table1[[#This Row],[Round]]="PI",0,Table1[[#This Row],[Round]]-1)</f>
        <v>4</v>
      </c>
      <c r="S1456">
        <f>Table1[[#This Row],[LAW]]-Table1[[#This Row],[LEW]]</f>
        <v>1.6527777777777777</v>
      </c>
    </row>
    <row r="1457" spans="1:19" x14ac:dyDescent="0.25">
      <c r="A1457" s="66">
        <v>39174</v>
      </c>
      <c r="B1457" s="51">
        <f>YEAR(Table1[[#This Row],[Date]])</f>
        <v>2007</v>
      </c>
      <c r="C1457" s="1">
        <v>6</v>
      </c>
      <c r="D1457" t="s">
        <v>468</v>
      </c>
      <c r="E1457" s="1">
        <v>1</v>
      </c>
      <c r="F1457" t="s">
        <v>81</v>
      </c>
      <c r="G1457" t="str">
        <f>VLOOKUP(Table1[[#This Row],[Winner]],Ranking!C:D,2,FALSE)</f>
        <v>SEC</v>
      </c>
      <c r="H1457" s="1">
        <v>84</v>
      </c>
      <c r="I1457" s="1">
        <v>1</v>
      </c>
      <c r="J1457" t="s">
        <v>315</v>
      </c>
      <c r="K1457" t="str">
        <f>VLOOKUP(Table1[[#This Row],[Loser]],Ranking!C:D,2,FALSE)</f>
        <v>B10</v>
      </c>
      <c r="L1457" s="1">
        <v>75</v>
      </c>
      <c r="N1457" s="1">
        <f>Table1[[#This Row],[Winning Score]]-Table1[[#This Row],[Losing Score]]</f>
        <v>9</v>
      </c>
      <c r="O1457" s="1">
        <f>Table1[[#This Row],[Losing Seed]]-Table1[[#This Row],[Winning Seed]]</f>
        <v>0</v>
      </c>
      <c r="P1457" s="1" t="str">
        <f>IF(Table1[[#This Row],[SeD]]&lt;-2,Table1[[#This Row],[Winning Seed]]&amp; " over " &amp;Table1[[#This Row],[Losing Seed]],"")</f>
        <v/>
      </c>
      <c r="Q1457">
        <f>VLOOKUP(Table1[[#This Row],[Losing Seed]],'Seed History'!$N$4:$O$19,2)</f>
        <v>3.3263888888888888</v>
      </c>
      <c r="R1457" s="1">
        <f>IF(Table1[[#This Row],[Round]]="PI",0,Table1[[#This Row],[Round]]-1)</f>
        <v>5</v>
      </c>
      <c r="S1457">
        <f>Table1[[#This Row],[LAW]]-Table1[[#This Row],[LEW]]</f>
        <v>1.6736111111111112</v>
      </c>
    </row>
    <row r="1458" spans="1:19" x14ac:dyDescent="0.25">
      <c r="A1458" s="66">
        <v>39525</v>
      </c>
      <c r="B1458" s="51">
        <f>YEAR(Table1[[#This Row],[Date]])</f>
        <v>2008</v>
      </c>
      <c r="C1458" s="1" t="s">
        <v>476</v>
      </c>
      <c r="D1458" t="s">
        <v>49</v>
      </c>
      <c r="E1458" s="1">
        <v>16</v>
      </c>
      <c r="F1458" t="s">
        <v>284</v>
      </c>
      <c r="G1458" t="str">
        <f>VLOOKUP(Table1[[#This Row],[Winner]],Ranking!C:D,2,FALSE)</f>
        <v>NEC</v>
      </c>
      <c r="H1458" s="1">
        <v>69</v>
      </c>
      <c r="I1458" s="1">
        <v>16</v>
      </c>
      <c r="J1458" t="s">
        <v>178</v>
      </c>
      <c r="K1458" t="str">
        <f>VLOOKUP(Table1[[#This Row],[Loser]],Ranking!C:D,2,FALSE)</f>
        <v>MEAC</v>
      </c>
      <c r="L1458" s="1">
        <v>60</v>
      </c>
      <c r="N1458" s="1">
        <f>Table1[[#This Row],[Winning Score]]-Table1[[#This Row],[Losing Score]]</f>
        <v>9</v>
      </c>
      <c r="O1458" s="1">
        <f>Table1[[#This Row],[Losing Seed]]-Table1[[#This Row],[Winning Seed]]</f>
        <v>0</v>
      </c>
      <c r="P1458" s="1" t="str">
        <f>IF(Table1[[#This Row],[SeD]]&lt;-2,Table1[[#This Row],[Winning Seed]]&amp; " over " &amp;Table1[[#This Row],[Losing Seed]],"")</f>
        <v/>
      </c>
      <c r="Q1458">
        <f>VLOOKUP(Table1[[#This Row],[Losing Seed]],'Seed History'!$N$4:$O$19,2)</f>
        <v>6.9444444444444441E-3</v>
      </c>
      <c r="R1458" s="1">
        <f>IF(Table1[[#This Row],[Round]]="PI",0,Table1[[#This Row],[Round]]-1)</f>
        <v>0</v>
      </c>
      <c r="S1458">
        <f>Table1[[#This Row],[LAW]]-Table1[[#This Row],[LEW]]</f>
        <v>-6.9444444444444441E-3</v>
      </c>
    </row>
    <row r="1459" spans="1:19" x14ac:dyDescent="0.25">
      <c r="A1459" s="66">
        <v>39527</v>
      </c>
      <c r="B1459" s="51">
        <f>YEAR(Table1[[#This Row],[Date]])</f>
        <v>2008</v>
      </c>
      <c r="C1459" s="1">
        <v>1</v>
      </c>
      <c r="D1459" t="s">
        <v>439</v>
      </c>
      <c r="E1459" s="1">
        <v>11</v>
      </c>
      <c r="F1459" t="s">
        <v>243</v>
      </c>
      <c r="G1459" t="str">
        <f>VLOOKUP(Table1[[#This Row],[Winner]],Ranking!C:D,2,FALSE)</f>
        <v>B12</v>
      </c>
      <c r="H1459" s="1">
        <v>80</v>
      </c>
      <c r="I1459" s="1">
        <v>6</v>
      </c>
      <c r="J1459" t="s">
        <v>85</v>
      </c>
      <c r="K1459" t="str">
        <f>VLOOKUP(Table1[[#This Row],[Loser]],Ranking!C:D,2,FALSE)</f>
        <v>P12</v>
      </c>
      <c r="L1459" s="1">
        <v>67</v>
      </c>
      <c r="N1459" s="1">
        <f>Table1[[#This Row],[Winning Score]]-Table1[[#This Row],[Losing Score]]</f>
        <v>13</v>
      </c>
      <c r="O1459" s="1">
        <f>Table1[[#This Row],[Losing Seed]]-Table1[[#This Row],[Winning Seed]]</f>
        <v>-5</v>
      </c>
      <c r="P1459" s="1" t="str">
        <f>IF(Table1[[#This Row],[SeD]]&lt;-2,Table1[[#This Row],[Winning Seed]]&amp; " over " &amp;Table1[[#This Row],[Losing Seed]],"")</f>
        <v>11 over 6</v>
      </c>
      <c r="Q1459">
        <f>VLOOKUP(Table1[[#This Row],[Losing Seed]],'Seed History'!$N$4:$O$19,2)</f>
        <v>1.0625</v>
      </c>
      <c r="R1459" s="1">
        <f>IF(Table1[[#This Row],[Round]]="PI",0,Table1[[#This Row],[Round]]-1)</f>
        <v>0</v>
      </c>
      <c r="S1459">
        <f>Table1[[#This Row],[LAW]]-Table1[[#This Row],[LEW]]</f>
        <v>-1.0625</v>
      </c>
    </row>
    <row r="1460" spans="1:19" x14ac:dyDescent="0.25">
      <c r="A1460" s="66">
        <v>39527</v>
      </c>
      <c r="B1460" s="51">
        <f>YEAR(Table1[[#This Row],[Date]])</f>
        <v>2008</v>
      </c>
      <c r="C1460" s="1">
        <v>1</v>
      </c>
      <c r="D1460" t="s">
        <v>49</v>
      </c>
      <c r="E1460" s="1">
        <v>4</v>
      </c>
      <c r="F1460" t="s">
        <v>410</v>
      </c>
      <c r="G1460" t="str">
        <f>VLOOKUP(Table1[[#This Row],[Winner]],Ranking!C:D,2,FALSE)</f>
        <v>P12</v>
      </c>
      <c r="H1460" s="1">
        <v>71</v>
      </c>
      <c r="I1460" s="1">
        <v>13</v>
      </c>
      <c r="J1460" t="s">
        <v>419</v>
      </c>
      <c r="K1460" t="str">
        <f>VLOOKUP(Table1[[#This Row],[Loser]],Ranking!C:D,2,FALSE)</f>
        <v>BSth</v>
      </c>
      <c r="L1460" s="1">
        <v>40</v>
      </c>
      <c r="N1460" s="1">
        <f>Table1[[#This Row],[Winning Score]]-Table1[[#This Row],[Losing Score]]</f>
        <v>31</v>
      </c>
      <c r="O1460" s="1">
        <f>Table1[[#This Row],[Losing Seed]]-Table1[[#This Row],[Winning Seed]]</f>
        <v>9</v>
      </c>
      <c r="P1460" s="1" t="str">
        <f>IF(Table1[[#This Row],[SeD]]&lt;-2,Table1[[#This Row],[Winning Seed]]&amp; " over " &amp;Table1[[#This Row],[Losing Seed]],"")</f>
        <v/>
      </c>
      <c r="Q1460">
        <f>VLOOKUP(Table1[[#This Row],[Losing Seed]],'Seed History'!$N$4:$O$19,2)</f>
        <v>0.25694444444444442</v>
      </c>
      <c r="R1460" s="1">
        <f>IF(Table1[[#This Row],[Round]]="PI",0,Table1[[#This Row],[Round]]-1)</f>
        <v>0</v>
      </c>
      <c r="S1460">
        <f>Table1[[#This Row],[LAW]]-Table1[[#This Row],[LEW]]</f>
        <v>-0.25694444444444442</v>
      </c>
    </row>
    <row r="1461" spans="1:19" x14ac:dyDescent="0.25">
      <c r="A1461" s="66">
        <v>39527</v>
      </c>
      <c r="B1461" s="51">
        <f>YEAR(Table1[[#This Row],[Date]])</f>
        <v>2008</v>
      </c>
      <c r="C1461" s="1">
        <v>1</v>
      </c>
      <c r="D1461" t="s">
        <v>49</v>
      </c>
      <c r="E1461" s="1">
        <v>5</v>
      </c>
      <c r="F1461" t="s">
        <v>35</v>
      </c>
      <c r="G1461" t="str">
        <f>VLOOKUP(Table1[[#This Row],[Winner]],Ranking!C:D,2,FALSE)</f>
        <v>ACC</v>
      </c>
      <c r="H1461" s="1">
        <v>68</v>
      </c>
      <c r="I1461" s="1">
        <v>12</v>
      </c>
      <c r="J1461" t="s">
        <v>212</v>
      </c>
      <c r="K1461" t="str">
        <f>VLOOKUP(Table1[[#This Row],[Loser]],Ranking!C:D,2,FALSE)</f>
        <v>A10</v>
      </c>
      <c r="L1461" s="1">
        <v>50</v>
      </c>
      <c r="N1461" s="1">
        <f>Table1[[#This Row],[Winning Score]]-Table1[[#This Row],[Losing Score]]</f>
        <v>18</v>
      </c>
      <c r="O1461" s="1">
        <f>Table1[[#This Row],[Losing Seed]]-Table1[[#This Row],[Winning Seed]]</f>
        <v>7</v>
      </c>
      <c r="P1461" s="1" t="str">
        <f>IF(Table1[[#This Row],[SeD]]&lt;-2,Table1[[#This Row],[Winning Seed]]&amp; " over " &amp;Table1[[#This Row],[Losing Seed]],"")</f>
        <v/>
      </c>
      <c r="Q1461">
        <f>VLOOKUP(Table1[[#This Row],[Losing Seed]],'Seed History'!$N$4:$O$19,2)</f>
        <v>0.52083333333333337</v>
      </c>
      <c r="R1461" s="1">
        <f>IF(Table1[[#This Row],[Round]]="PI",0,Table1[[#This Row],[Round]]-1)</f>
        <v>0</v>
      </c>
      <c r="S1461">
        <f>Table1[[#This Row],[LAW]]-Table1[[#This Row],[LEW]]</f>
        <v>-0.52083333333333337</v>
      </c>
    </row>
    <row r="1462" spans="1:19" x14ac:dyDescent="0.25">
      <c r="A1462" s="66">
        <v>39527</v>
      </c>
      <c r="B1462" s="51">
        <f>YEAR(Table1[[#This Row],[Date]])</f>
        <v>2008</v>
      </c>
      <c r="C1462" s="1">
        <v>1</v>
      </c>
      <c r="D1462" t="s">
        <v>439</v>
      </c>
      <c r="E1462" s="1">
        <v>1</v>
      </c>
      <c r="F1462" t="s">
        <v>37</v>
      </c>
      <c r="G1462" t="str">
        <f>VLOOKUP(Table1[[#This Row],[Winner]],Ranking!C:D,2,FALSE)</f>
        <v>B12</v>
      </c>
      <c r="H1462" s="1">
        <v>85</v>
      </c>
      <c r="I1462" s="1">
        <v>16</v>
      </c>
      <c r="J1462" t="s">
        <v>325</v>
      </c>
      <c r="K1462" t="str">
        <f>VLOOKUP(Table1[[#This Row],[Loser]],Ranking!C:D,2,FALSE)</f>
        <v>BSky</v>
      </c>
      <c r="L1462" s="1">
        <v>61</v>
      </c>
      <c r="N1462" s="1">
        <f>Table1[[#This Row],[Winning Score]]-Table1[[#This Row],[Losing Score]]</f>
        <v>24</v>
      </c>
      <c r="O1462" s="1">
        <f>Table1[[#This Row],[Losing Seed]]-Table1[[#This Row],[Winning Seed]]</f>
        <v>15</v>
      </c>
      <c r="P1462" s="1" t="str">
        <f>IF(Table1[[#This Row],[SeD]]&lt;-2,Table1[[#This Row],[Winning Seed]]&amp; " over " &amp;Table1[[#This Row],[Losing Seed]],"")</f>
        <v/>
      </c>
      <c r="Q1462">
        <f>VLOOKUP(Table1[[#This Row],[Losing Seed]],'Seed History'!$N$4:$O$19,2)</f>
        <v>6.9444444444444441E-3</v>
      </c>
      <c r="R1462" s="1">
        <f>IF(Table1[[#This Row],[Round]]="PI",0,Table1[[#This Row],[Round]]-1)</f>
        <v>0</v>
      </c>
      <c r="S1462">
        <f>Table1[[#This Row],[LAW]]-Table1[[#This Row],[LEW]]</f>
        <v>-6.9444444444444441E-3</v>
      </c>
    </row>
    <row r="1463" spans="1:19" x14ac:dyDescent="0.25">
      <c r="A1463" s="66">
        <v>39527</v>
      </c>
      <c r="B1463" s="51">
        <f>YEAR(Table1[[#This Row],[Date]])</f>
        <v>2008</v>
      </c>
      <c r="C1463" s="1">
        <v>1</v>
      </c>
      <c r="D1463" t="s">
        <v>439</v>
      </c>
      <c r="E1463" s="1">
        <v>3</v>
      </c>
      <c r="F1463" t="s">
        <v>39</v>
      </c>
      <c r="G1463" t="str">
        <f>VLOOKUP(Table1[[#This Row],[Winner]],Ranking!C:D,2,FALSE)</f>
        <v>B10</v>
      </c>
      <c r="H1463" s="1">
        <v>71</v>
      </c>
      <c r="I1463" s="1">
        <v>14</v>
      </c>
      <c r="J1463" t="s">
        <v>155</v>
      </c>
      <c r="K1463" t="str">
        <f>VLOOKUP(Table1[[#This Row],[Loser]],Ranking!C:D,2,FALSE)</f>
        <v>BW</v>
      </c>
      <c r="L1463" s="1">
        <v>56</v>
      </c>
      <c r="N1463" s="1">
        <f>Table1[[#This Row],[Winning Score]]-Table1[[#This Row],[Losing Score]]</f>
        <v>15</v>
      </c>
      <c r="O1463" s="1">
        <f>Table1[[#This Row],[Losing Seed]]-Table1[[#This Row],[Winning Seed]]</f>
        <v>11</v>
      </c>
      <c r="P1463" s="1" t="str">
        <f>IF(Table1[[#This Row],[SeD]]&lt;-2,Table1[[#This Row],[Winning Seed]]&amp; " over " &amp;Table1[[#This Row],[Losing Seed]],"")</f>
        <v/>
      </c>
      <c r="Q1463">
        <f>VLOOKUP(Table1[[#This Row],[Losing Seed]],'Seed History'!$N$4:$O$19,2)</f>
        <v>0.16666666666666666</v>
      </c>
      <c r="R1463" s="1">
        <f>IF(Table1[[#This Row],[Round]]="PI",0,Table1[[#This Row],[Round]]-1)</f>
        <v>0</v>
      </c>
      <c r="S1463">
        <f>Table1[[#This Row],[LAW]]-Table1[[#This Row],[LEW]]</f>
        <v>-0.16666666666666666</v>
      </c>
    </row>
    <row r="1464" spans="1:19" x14ac:dyDescent="0.25">
      <c r="A1464" s="66">
        <v>39527</v>
      </c>
      <c r="B1464" s="51">
        <f>YEAR(Table1[[#This Row],[Date]])</f>
        <v>2008</v>
      </c>
      <c r="C1464" s="1">
        <v>1</v>
      </c>
      <c r="D1464" t="s">
        <v>439</v>
      </c>
      <c r="E1464" s="1">
        <v>8</v>
      </c>
      <c r="F1464" t="s">
        <v>396</v>
      </c>
      <c r="G1464" t="str">
        <f>VLOOKUP(Table1[[#This Row],[Winner]],Ranking!C:D,2,FALSE)</f>
        <v>MWC</v>
      </c>
      <c r="H1464" s="1">
        <v>71</v>
      </c>
      <c r="I1464" s="1">
        <v>9</v>
      </c>
      <c r="J1464" t="s">
        <v>245</v>
      </c>
      <c r="K1464" t="str">
        <f>VLOOKUP(Table1[[#This Row],[Loser]],Ranking!C:D,2,FALSE)</f>
        <v>MAC</v>
      </c>
      <c r="L1464" s="1">
        <v>58</v>
      </c>
      <c r="N1464" s="1">
        <f>Table1[[#This Row],[Winning Score]]-Table1[[#This Row],[Losing Score]]</f>
        <v>13</v>
      </c>
      <c r="O1464" s="1">
        <f>Table1[[#This Row],[Losing Seed]]-Table1[[#This Row],[Winning Seed]]</f>
        <v>1</v>
      </c>
      <c r="P1464" s="1" t="str">
        <f>IF(Table1[[#This Row],[SeD]]&lt;-2,Table1[[#This Row],[Winning Seed]]&amp; " over " &amp;Table1[[#This Row],[Losing Seed]],"")</f>
        <v/>
      </c>
      <c r="Q1464">
        <f>VLOOKUP(Table1[[#This Row],[Losing Seed]],'Seed History'!$N$4:$O$19,2)</f>
        <v>0.59027777777777779</v>
      </c>
      <c r="R1464" s="1">
        <f>IF(Table1[[#This Row],[Round]]="PI",0,Table1[[#This Row],[Round]]-1)</f>
        <v>0</v>
      </c>
      <c r="S1464">
        <f>Table1[[#This Row],[LAW]]-Table1[[#This Row],[LEW]]</f>
        <v>-0.59027777777777779</v>
      </c>
    </row>
    <row r="1465" spans="1:19" x14ac:dyDescent="0.25">
      <c r="A1465" s="66">
        <v>39527</v>
      </c>
      <c r="B1465" s="51">
        <f>YEAR(Table1[[#This Row],[Date]])</f>
        <v>2008</v>
      </c>
      <c r="C1465" s="1">
        <v>1</v>
      </c>
      <c r="D1465" t="s">
        <v>63</v>
      </c>
      <c r="E1465" s="1">
        <v>3</v>
      </c>
      <c r="F1465" t="s">
        <v>369</v>
      </c>
      <c r="G1465" t="str">
        <f>VLOOKUP(Table1[[#This Row],[Winner]],Ranking!C:D,2,FALSE)</f>
        <v>P12</v>
      </c>
      <c r="H1465" s="1">
        <v>77</v>
      </c>
      <c r="I1465" s="1">
        <v>14</v>
      </c>
      <c r="J1465" t="s">
        <v>179</v>
      </c>
      <c r="K1465" t="str">
        <f>VLOOKUP(Table1[[#This Row],[Loser]],Ranking!C:D,2,FALSE)</f>
        <v>Ivy</v>
      </c>
      <c r="L1465" s="1">
        <v>53</v>
      </c>
      <c r="N1465" s="1">
        <f>Table1[[#This Row],[Winning Score]]-Table1[[#This Row],[Losing Score]]</f>
        <v>24</v>
      </c>
      <c r="O1465" s="1">
        <f>Table1[[#This Row],[Losing Seed]]-Table1[[#This Row],[Winning Seed]]</f>
        <v>11</v>
      </c>
      <c r="P1465" s="1" t="str">
        <f>IF(Table1[[#This Row],[SeD]]&lt;-2,Table1[[#This Row],[Winning Seed]]&amp; " over " &amp;Table1[[#This Row],[Losing Seed]],"")</f>
        <v/>
      </c>
      <c r="Q1465">
        <f>VLOOKUP(Table1[[#This Row],[Losing Seed]],'Seed History'!$N$4:$O$19,2)</f>
        <v>0.16666666666666666</v>
      </c>
      <c r="R1465" s="1">
        <f>IF(Table1[[#This Row],[Round]]="PI",0,Table1[[#This Row],[Round]]-1)</f>
        <v>0</v>
      </c>
      <c r="S1465">
        <f>Table1[[#This Row],[LAW]]-Table1[[#This Row],[LEW]]</f>
        <v>-0.16666666666666666</v>
      </c>
    </row>
    <row r="1466" spans="1:19" x14ac:dyDescent="0.25">
      <c r="A1466" s="66">
        <v>39527</v>
      </c>
      <c r="B1466" s="51">
        <f>YEAR(Table1[[#This Row],[Date]])</f>
        <v>2008</v>
      </c>
      <c r="C1466" s="1">
        <v>1</v>
      </c>
      <c r="D1466" t="s">
        <v>63</v>
      </c>
      <c r="E1466" s="1">
        <v>4</v>
      </c>
      <c r="F1466" t="s">
        <v>83</v>
      </c>
      <c r="G1466" t="str">
        <f>VLOOKUP(Table1[[#This Row],[Winner]],Ranking!C:D,2,FALSE)</f>
        <v>ACC</v>
      </c>
      <c r="H1466" s="1">
        <v>82</v>
      </c>
      <c r="I1466" s="1">
        <v>13</v>
      </c>
      <c r="J1466" t="s">
        <v>318</v>
      </c>
      <c r="K1466" t="str">
        <f>VLOOKUP(Table1[[#This Row],[Loser]],Ranking!C:D,2,FALSE)</f>
        <v>Sum</v>
      </c>
      <c r="L1466" s="1">
        <v>63</v>
      </c>
      <c r="N1466" s="1">
        <f>Table1[[#This Row],[Winning Score]]-Table1[[#This Row],[Losing Score]]</f>
        <v>19</v>
      </c>
      <c r="O1466" s="1">
        <f>Table1[[#This Row],[Losing Seed]]-Table1[[#This Row],[Winning Seed]]</f>
        <v>9</v>
      </c>
      <c r="P1466" s="1" t="str">
        <f>IF(Table1[[#This Row],[SeD]]&lt;-2,Table1[[#This Row],[Winning Seed]]&amp; " over " &amp;Table1[[#This Row],[Losing Seed]],"")</f>
        <v/>
      </c>
      <c r="Q1466">
        <f>VLOOKUP(Table1[[#This Row],[Losing Seed]],'Seed History'!$N$4:$O$19,2)</f>
        <v>0.25694444444444442</v>
      </c>
      <c r="R1466" s="1">
        <f>IF(Table1[[#This Row],[Round]]="PI",0,Table1[[#This Row],[Round]]-1)</f>
        <v>0</v>
      </c>
      <c r="S1466">
        <f>Table1[[#This Row],[LAW]]-Table1[[#This Row],[LEW]]</f>
        <v>-0.25694444444444442</v>
      </c>
    </row>
    <row r="1467" spans="1:19" x14ac:dyDescent="0.25">
      <c r="A1467" s="66">
        <v>39527</v>
      </c>
      <c r="B1467" s="51">
        <f>YEAR(Table1[[#This Row],[Date]])</f>
        <v>2008</v>
      </c>
      <c r="C1467" s="1">
        <v>1</v>
      </c>
      <c r="D1467" t="s">
        <v>63</v>
      </c>
      <c r="E1467" s="1">
        <v>5</v>
      </c>
      <c r="F1467" t="s">
        <v>271</v>
      </c>
      <c r="G1467" t="str">
        <f>VLOOKUP(Table1[[#This Row],[Winner]],Ranking!C:D,2,FALSE)</f>
        <v>B10</v>
      </c>
      <c r="H1467" s="1">
        <v>72</v>
      </c>
      <c r="I1467" s="1">
        <v>12</v>
      </c>
      <c r="J1467" t="s">
        <v>373</v>
      </c>
      <c r="K1467" t="str">
        <f>VLOOKUP(Table1[[#This Row],[Loser]],Ranking!C:D,2,FALSE)</f>
        <v>Amer</v>
      </c>
      <c r="L1467" s="1">
        <v>61</v>
      </c>
      <c r="N1467" s="1">
        <f>Table1[[#This Row],[Winning Score]]-Table1[[#This Row],[Losing Score]]</f>
        <v>11</v>
      </c>
      <c r="O1467" s="1">
        <f>Table1[[#This Row],[Losing Seed]]-Table1[[#This Row],[Winning Seed]]</f>
        <v>7</v>
      </c>
      <c r="P1467" s="1" t="str">
        <f>IF(Table1[[#This Row],[SeD]]&lt;-2,Table1[[#This Row],[Winning Seed]]&amp; " over " &amp;Table1[[#This Row],[Losing Seed]],"")</f>
        <v/>
      </c>
      <c r="Q1467">
        <f>VLOOKUP(Table1[[#This Row],[Losing Seed]],'Seed History'!$N$4:$O$19,2)</f>
        <v>0.52083333333333337</v>
      </c>
      <c r="R1467" s="1">
        <f>IF(Table1[[#This Row],[Round]]="PI",0,Table1[[#This Row],[Round]]-1)</f>
        <v>0</v>
      </c>
      <c r="S1467">
        <f>Table1[[#This Row],[LAW]]-Table1[[#This Row],[LEW]]</f>
        <v>-0.52083333333333337</v>
      </c>
    </row>
    <row r="1468" spans="1:19" x14ac:dyDescent="0.25">
      <c r="A1468" s="66">
        <v>39527</v>
      </c>
      <c r="B1468" s="51">
        <f>YEAR(Table1[[#This Row],[Date]])</f>
        <v>2008</v>
      </c>
      <c r="C1468" s="1">
        <v>1</v>
      </c>
      <c r="D1468" t="s">
        <v>63</v>
      </c>
      <c r="E1468" s="1">
        <v>6</v>
      </c>
      <c r="F1468" t="s">
        <v>262</v>
      </c>
      <c r="G1468" t="str">
        <f>VLOOKUP(Table1[[#This Row],[Winner]],Ranking!C:D,2,FALSE)</f>
        <v>BE</v>
      </c>
      <c r="H1468" s="1">
        <v>74</v>
      </c>
      <c r="I1468" s="1">
        <v>11</v>
      </c>
      <c r="J1468" t="s">
        <v>26</v>
      </c>
      <c r="K1468" t="str">
        <f>VLOOKUP(Table1[[#This Row],[Loser]],Ranking!C:D,2,FALSE)</f>
        <v>SEC</v>
      </c>
      <c r="L1468" s="1">
        <v>66</v>
      </c>
      <c r="N1468" s="1">
        <f>Table1[[#This Row],[Winning Score]]-Table1[[#This Row],[Losing Score]]</f>
        <v>8</v>
      </c>
      <c r="O1468" s="1">
        <f>Table1[[#This Row],[Losing Seed]]-Table1[[#This Row],[Winning Seed]]</f>
        <v>5</v>
      </c>
      <c r="P1468" s="1" t="str">
        <f>IF(Table1[[#This Row],[SeD]]&lt;-2,Table1[[#This Row],[Winning Seed]]&amp; " over " &amp;Table1[[#This Row],[Losing Seed]],"")</f>
        <v/>
      </c>
      <c r="Q1468">
        <f>VLOOKUP(Table1[[#This Row],[Losing Seed]],'Seed History'!$N$4:$O$19,2)</f>
        <v>0.63194444444444442</v>
      </c>
      <c r="R1468" s="1">
        <f>IF(Table1[[#This Row],[Round]]="PI",0,Table1[[#This Row],[Round]]-1)</f>
        <v>0</v>
      </c>
      <c r="S1468">
        <f>Table1[[#This Row],[LAW]]-Table1[[#This Row],[LEW]]</f>
        <v>-0.63194444444444442</v>
      </c>
    </row>
    <row r="1469" spans="1:19" x14ac:dyDescent="0.25">
      <c r="A1469" s="66">
        <v>39527</v>
      </c>
      <c r="B1469" s="51">
        <f>YEAR(Table1[[#This Row],[Date]])</f>
        <v>2008</v>
      </c>
      <c r="C1469" s="1">
        <v>1</v>
      </c>
      <c r="D1469" t="s">
        <v>38</v>
      </c>
      <c r="E1469" s="1">
        <v>1</v>
      </c>
      <c r="F1469" t="s">
        <v>67</v>
      </c>
      <c r="G1469" t="str">
        <f>VLOOKUP(Table1[[#This Row],[Winner]],Ranking!C:D,2,FALSE)</f>
        <v>P12</v>
      </c>
      <c r="H1469" s="1">
        <v>70</v>
      </c>
      <c r="I1469" s="1">
        <v>16</v>
      </c>
      <c r="J1469" t="s">
        <v>276</v>
      </c>
      <c r="K1469" t="str">
        <f>VLOOKUP(Table1[[#This Row],[Loser]],Ranking!C:D,2,FALSE)</f>
        <v>SWAC</v>
      </c>
      <c r="L1469" s="1">
        <v>29</v>
      </c>
      <c r="N1469" s="1">
        <f>Table1[[#This Row],[Winning Score]]-Table1[[#This Row],[Losing Score]]</f>
        <v>41</v>
      </c>
      <c r="O1469" s="1">
        <f>Table1[[#This Row],[Losing Seed]]-Table1[[#This Row],[Winning Seed]]</f>
        <v>15</v>
      </c>
      <c r="P1469" s="1" t="str">
        <f>IF(Table1[[#This Row],[SeD]]&lt;-2,Table1[[#This Row],[Winning Seed]]&amp; " over " &amp;Table1[[#This Row],[Losing Seed]],"")</f>
        <v/>
      </c>
      <c r="Q1469">
        <f>VLOOKUP(Table1[[#This Row],[Losing Seed]],'Seed History'!$N$4:$O$19,2)</f>
        <v>6.9444444444444441E-3</v>
      </c>
      <c r="R1469" s="1">
        <f>IF(Table1[[#This Row],[Round]]="PI",0,Table1[[#This Row],[Round]]-1)</f>
        <v>0</v>
      </c>
      <c r="S1469">
        <f>Table1[[#This Row],[LAW]]-Table1[[#This Row],[LEW]]</f>
        <v>-6.9444444444444441E-3</v>
      </c>
    </row>
    <row r="1470" spans="1:19" x14ac:dyDescent="0.25">
      <c r="A1470" s="66">
        <v>39527</v>
      </c>
      <c r="B1470" s="51">
        <f>YEAR(Table1[[#This Row],[Date]])</f>
        <v>2008</v>
      </c>
      <c r="C1470" s="1">
        <v>1</v>
      </c>
      <c r="D1470" t="s">
        <v>38</v>
      </c>
      <c r="E1470" s="1">
        <v>2</v>
      </c>
      <c r="F1470" t="s">
        <v>64</v>
      </c>
      <c r="G1470" t="str">
        <f>VLOOKUP(Table1[[#This Row],[Winner]],Ranking!C:D,2,FALSE)</f>
        <v>ACC</v>
      </c>
      <c r="H1470" s="1">
        <v>71</v>
      </c>
      <c r="I1470" s="1">
        <v>15</v>
      </c>
      <c r="J1470" t="s">
        <v>62</v>
      </c>
      <c r="K1470" t="str">
        <f>VLOOKUP(Table1[[#This Row],[Loser]],Ranking!C:D,2,FALSE)</f>
        <v>OVC</v>
      </c>
      <c r="L1470" s="1">
        <v>70</v>
      </c>
      <c r="N1470" s="1">
        <f>Table1[[#This Row],[Winning Score]]-Table1[[#This Row],[Losing Score]]</f>
        <v>1</v>
      </c>
      <c r="O1470" s="1">
        <f>Table1[[#This Row],[Losing Seed]]-Table1[[#This Row],[Winning Seed]]</f>
        <v>13</v>
      </c>
      <c r="P1470" s="1" t="str">
        <f>IF(Table1[[#This Row],[SeD]]&lt;-2,Table1[[#This Row],[Winning Seed]]&amp; " over " &amp;Table1[[#This Row],[Losing Seed]],"")</f>
        <v/>
      </c>
      <c r="Q1470">
        <f>VLOOKUP(Table1[[#This Row],[Losing Seed]],'Seed History'!$N$4:$O$19,2)</f>
        <v>7.6388888888888895E-2</v>
      </c>
      <c r="R1470" s="1">
        <f>IF(Table1[[#This Row],[Round]]="PI",0,Table1[[#This Row],[Round]]-1)</f>
        <v>0</v>
      </c>
      <c r="S1470">
        <f>Table1[[#This Row],[LAW]]-Table1[[#This Row],[LEW]]</f>
        <v>-7.6388888888888895E-2</v>
      </c>
    </row>
    <row r="1471" spans="1:19" x14ac:dyDescent="0.25">
      <c r="A1471" s="66">
        <v>39527</v>
      </c>
      <c r="B1471" s="51">
        <f>YEAR(Table1[[#This Row],[Date]])</f>
        <v>2008</v>
      </c>
      <c r="C1471" s="1">
        <v>1</v>
      </c>
      <c r="D1471" t="s">
        <v>38</v>
      </c>
      <c r="E1471" s="1">
        <v>3</v>
      </c>
      <c r="F1471" t="s">
        <v>44</v>
      </c>
      <c r="G1471" t="str">
        <f>VLOOKUP(Table1[[#This Row],[Winner]],Ranking!C:D,2,FALSE)</f>
        <v>BE</v>
      </c>
      <c r="H1471" s="1">
        <v>73</v>
      </c>
      <c r="I1471" s="1">
        <v>14</v>
      </c>
      <c r="J1471" t="s">
        <v>60</v>
      </c>
      <c r="K1471" t="str">
        <f>VLOOKUP(Table1[[#This Row],[Loser]],Ranking!C:D,2,FALSE)</f>
        <v>SEC</v>
      </c>
      <c r="L1471" s="1">
        <v>61</v>
      </c>
      <c r="N1471" s="1">
        <f>Table1[[#This Row],[Winning Score]]-Table1[[#This Row],[Losing Score]]</f>
        <v>12</v>
      </c>
      <c r="O1471" s="1">
        <f>Table1[[#This Row],[Losing Seed]]-Table1[[#This Row],[Winning Seed]]</f>
        <v>11</v>
      </c>
      <c r="P1471" s="1" t="str">
        <f>IF(Table1[[#This Row],[SeD]]&lt;-2,Table1[[#This Row],[Winning Seed]]&amp; " over " &amp;Table1[[#This Row],[Losing Seed]],"")</f>
        <v/>
      </c>
      <c r="Q1471">
        <f>VLOOKUP(Table1[[#This Row],[Losing Seed]],'Seed History'!$N$4:$O$19,2)</f>
        <v>0.16666666666666666</v>
      </c>
      <c r="R1471" s="1">
        <f>IF(Table1[[#This Row],[Round]]="PI",0,Table1[[#This Row],[Round]]-1)</f>
        <v>0</v>
      </c>
      <c r="S1471">
        <f>Table1[[#This Row],[LAW]]-Table1[[#This Row],[LEW]]</f>
        <v>-0.16666666666666666</v>
      </c>
    </row>
    <row r="1472" spans="1:19" x14ac:dyDescent="0.25">
      <c r="A1472" s="66">
        <v>39527</v>
      </c>
      <c r="B1472" s="51">
        <f>YEAR(Table1[[#This Row],[Date]])</f>
        <v>2008</v>
      </c>
      <c r="C1472" s="1">
        <v>1</v>
      </c>
      <c r="D1472" t="s">
        <v>38</v>
      </c>
      <c r="E1472" s="1">
        <v>6</v>
      </c>
      <c r="F1472" t="s">
        <v>29</v>
      </c>
      <c r="G1472" t="str">
        <f>VLOOKUP(Table1[[#This Row],[Winner]],Ranking!C:D,2,FALSE)</f>
        <v>B10</v>
      </c>
      <c r="H1472" s="1">
        <v>90</v>
      </c>
      <c r="I1472" s="1">
        <v>11</v>
      </c>
      <c r="J1472" t="s">
        <v>46</v>
      </c>
      <c r="K1472" t="str">
        <f>VLOOKUP(Table1[[#This Row],[Loser]],Ranking!C:D,2,FALSE)</f>
        <v>B12</v>
      </c>
      <c r="L1472" s="1">
        <v>79</v>
      </c>
      <c r="N1472" s="1">
        <f>Table1[[#This Row],[Winning Score]]-Table1[[#This Row],[Losing Score]]</f>
        <v>11</v>
      </c>
      <c r="O1472" s="1">
        <f>Table1[[#This Row],[Losing Seed]]-Table1[[#This Row],[Winning Seed]]</f>
        <v>5</v>
      </c>
      <c r="P1472" s="1" t="str">
        <f>IF(Table1[[#This Row],[SeD]]&lt;-2,Table1[[#This Row],[Winning Seed]]&amp; " over " &amp;Table1[[#This Row],[Losing Seed]],"")</f>
        <v/>
      </c>
      <c r="Q1472">
        <f>VLOOKUP(Table1[[#This Row],[Losing Seed]],'Seed History'!$N$4:$O$19,2)</f>
        <v>0.63194444444444442</v>
      </c>
      <c r="R1472" s="1">
        <f>IF(Table1[[#This Row],[Round]]="PI",0,Table1[[#This Row],[Round]]-1)</f>
        <v>0</v>
      </c>
      <c r="S1472">
        <f>Table1[[#This Row],[LAW]]-Table1[[#This Row],[LEW]]</f>
        <v>-0.63194444444444442</v>
      </c>
    </row>
    <row r="1473" spans="1:19" x14ac:dyDescent="0.25">
      <c r="A1473" s="66">
        <v>39527</v>
      </c>
      <c r="B1473" s="51">
        <f>YEAR(Table1[[#This Row],[Date]])</f>
        <v>2008</v>
      </c>
      <c r="C1473" s="1">
        <v>1</v>
      </c>
      <c r="D1473" t="s">
        <v>38</v>
      </c>
      <c r="E1473" s="1">
        <v>7</v>
      </c>
      <c r="F1473" t="s">
        <v>412</v>
      </c>
      <c r="G1473" t="str">
        <f>VLOOKUP(Table1[[#This Row],[Winner]],Ranking!C:D,2,FALSE)</f>
        <v>B12</v>
      </c>
      <c r="H1473" s="1">
        <v>75</v>
      </c>
      <c r="I1473" s="1">
        <v>10</v>
      </c>
      <c r="J1473" t="s">
        <v>48</v>
      </c>
      <c r="K1473" t="str">
        <f>VLOOKUP(Table1[[#This Row],[Loser]],Ranking!C:D,2,FALSE)</f>
        <v>P12</v>
      </c>
      <c r="L1473" s="1">
        <v>65</v>
      </c>
      <c r="N1473" s="1">
        <f>Table1[[#This Row],[Winning Score]]-Table1[[#This Row],[Losing Score]]</f>
        <v>10</v>
      </c>
      <c r="O1473" s="1">
        <f>Table1[[#This Row],[Losing Seed]]-Table1[[#This Row],[Winning Seed]]</f>
        <v>3</v>
      </c>
      <c r="P1473" s="1" t="str">
        <f>IF(Table1[[#This Row],[SeD]]&lt;-2,Table1[[#This Row],[Winning Seed]]&amp; " over " &amp;Table1[[#This Row],[Losing Seed]],"")</f>
        <v/>
      </c>
      <c r="Q1473">
        <f>VLOOKUP(Table1[[#This Row],[Losing Seed]],'Seed History'!$N$4:$O$19,2)</f>
        <v>0.61805555555555558</v>
      </c>
      <c r="R1473" s="1">
        <f>IF(Table1[[#This Row],[Round]]="PI",0,Table1[[#This Row],[Round]]-1)</f>
        <v>0</v>
      </c>
      <c r="S1473">
        <f>Table1[[#This Row],[LAW]]-Table1[[#This Row],[LEW]]</f>
        <v>-0.61805555555555558</v>
      </c>
    </row>
    <row r="1474" spans="1:19" x14ac:dyDescent="0.25">
      <c r="A1474" s="66">
        <v>39527</v>
      </c>
      <c r="B1474" s="51">
        <f>YEAR(Table1[[#This Row],[Date]])</f>
        <v>2008</v>
      </c>
      <c r="C1474" s="1">
        <v>1</v>
      </c>
      <c r="D1474" t="s">
        <v>38</v>
      </c>
      <c r="E1474" s="1">
        <v>9</v>
      </c>
      <c r="F1474" t="s">
        <v>79</v>
      </c>
      <c r="G1474" t="str">
        <f>VLOOKUP(Table1[[#This Row],[Winner]],Ranking!C:D,2,FALSE)</f>
        <v>SEC</v>
      </c>
      <c r="H1474" s="1">
        <v>67</v>
      </c>
      <c r="I1474" s="1">
        <v>8</v>
      </c>
      <c r="J1474" t="s">
        <v>72</v>
      </c>
      <c r="K1474" t="str">
        <f>VLOOKUP(Table1[[#This Row],[Loser]],Ranking!C:D,2,FALSE)</f>
        <v>WCC</v>
      </c>
      <c r="L1474" s="1">
        <v>62</v>
      </c>
      <c r="N1474" s="1">
        <f>Table1[[#This Row],[Winning Score]]-Table1[[#This Row],[Losing Score]]</f>
        <v>5</v>
      </c>
      <c r="O1474" s="1">
        <f>Table1[[#This Row],[Losing Seed]]-Table1[[#This Row],[Winning Seed]]</f>
        <v>-1</v>
      </c>
      <c r="P1474" s="1" t="str">
        <f>IF(Table1[[#This Row],[SeD]]&lt;-2,Table1[[#This Row],[Winning Seed]]&amp; " over " &amp;Table1[[#This Row],[Losing Seed]],"")</f>
        <v/>
      </c>
      <c r="Q1474">
        <f>VLOOKUP(Table1[[#This Row],[Losing Seed]],'Seed History'!$N$4:$O$19,2)</f>
        <v>0.70833333333333337</v>
      </c>
      <c r="R1474" s="1">
        <f>IF(Table1[[#This Row],[Round]]="PI",0,Table1[[#This Row],[Round]]-1)</f>
        <v>0</v>
      </c>
      <c r="S1474">
        <f>Table1[[#This Row],[LAW]]-Table1[[#This Row],[LEW]]</f>
        <v>-0.70833333333333337</v>
      </c>
    </row>
    <row r="1475" spans="1:19" x14ac:dyDescent="0.25">
      <c r="A1475" s="66">
        <v>39528</v>
      </c>
      <c r="B1475" s="51">
        <f>YEAR(Table1[[#This Row],[Date]])</f>
        <v>2008</v>
      </c>
      <c r="C1475" s="1">
        <v>1</v>
      </c>
      <c r="D1475" t="s">
        <v>439</v>
      </c>
      <c r="E1475" s="1">
        <v>13</v>
      </c>
      <c r="F1475" t="s">
        <v>350</v>
      </c>
      <c r="G1475" t="str">
        <f>VLOOKUP(Table1[[#This Row],[Winner]],Ranking!C:D,2,FALSE)</f>
        <v>MAAC</v>
      </c>
      <c r="H1475" s="1">
        <v>83</v>
      </c>
      <c r="I1475" s="1">
        <v>4</v>
      </c>
      <c r="J1475" t="s">
        <v>78</v>
      </c>
      <c r="K1475" t="str">
        <f>VLOOKUP(Table1[[#This Row],[Loser]],Ranking!C:D,2,FALSE)</f>
        <v>SEC</v>
      </c>
      <c r="L1475" s="1">
        <v>62</v>
      </c>
      <c r="N1475" s="1">
        <f>Table1[[#This Row],[Winning Score]]-Table1[[#This Row],[Losing Score]]</f>
        <v>21</v>
      </c>
      <c r="O1475" s="1">
        <f>Table1[[#This Row],[Losing Seed]]-Table1[[#This Row],[Winning Seed]]</f>
        <v>-9</v>
      </c>
      <c r="P1475" s="1" t="str">
        <f>IF(Table1[[#This Row],[SeD]]&lt;-2,Table1[[#This Row],[Winning Seed]]&amp; " over " &amp;Table1[[#This Row],[Losing Seed]],"")</f>
        <v>13 over 4</v>
      </c>
      <c r="Q1475">
        <f>VLOOKUP(Table1[[#This Row],[Losing Seed]],'Seed History'!$N$4:$O$19,2)</f>
        <v>1.5208333333333333</v>
      </c>
      <c r="R1475" s="1">
        <f>IF(Table1[[#This Row],[Round]]="PI",0,Table1[[#This Row],[Round]]-1)</f>
        <v>0</v>
      </c>
      <c r="S1475">
        <f>Table1[[#This Row],[LAW]]-Table1[[#This Row],[LEW]]</f>
        <v>-1.5208333333333333</v>
      </c>
    </row>
    <row r="1476" spans="1:19" x14ac:dyDescent="0.25">
      <c r="A1476" s="66">
        <v>39528</v>
      </c>
      <c r="B1476" s="51">
        <f>YEAR(Table1[[#This Row],[Date]])</f>
        <v>2008</v>
      </c>
      <c r="C1476" s="1">
        <v>1</v>
      </c>
      <c r="D1476" t="s">
        <v>38</v>
      </c>
      <c r="E1476" s="1">
        <v>13</v>
      </c>
      <c r="F1476" t="s">
        <v>343</v>
      </c>
      <c r="G1476" t="str">
        <f>VLOOKUP(Table1[[#This Row],[Winner]],Ranking!C:D,2,FALSE)</f>
        <v>WCC</v>
      </c>
      <c r="H1476" s="1">
        <v>70</v>
      </c>
      <c r="I1476" s="1">
        <v>4</v>
      </c>
      <c r="J1476" t="s">
        <v>80</v>
      </c>
      <c r="K1476" t="str">
        <f>VLOOKUP(Table1[[#This Row],[Loser]],Ranking!C:D,2,FALSE)</f>
        <v>BE</v>
      </c>
      <c r="L1476" s="1">
        <v>69</v>
      </c>
      <c r="M1476" s="1" t="s">
        <v>462</v>
      </c>
      <c r="N1476" s="1">
        <f>Table1[[#This Row],[Winning Score]]-Table1[[#This Row],[Losing Score]]</f>
        <v>1</v>
      </c>
      <c r="O1476" s="1">
        <f>Table1[[#This Row],[Losing Seed]]-Table1[[#This Row],[Winning Seed]]</f>
        <v>-9</v>
      </c>
      <c r="P1476" s="1" t="str">
        <f>IF(Table1[[#This Row],[SeD]]&lt;-2,Table1[[#This Row],[Winning Seed]]&amp; " over " &amp;Table1[[#This Row],[Losing Seed]],"")</f>
        <v>13 over 4</v>
      </c>
      <c r="Q1476">
        <f>VLOOKUP(Table1[[#This Row],[Losing Seed]],'Seed History'!$N$4:$O$19,2)</f>
        <v>1.5208333333333333</v>
      </c>
      <c r="R1476" s="1">
        <f>IF(Table1[[#This Row],[Round]]="PI",0,Table1[[#This Row],[Round]]-1)</f>
        <v>0</v>
      </c>
      <c r="S1476">
        <f>Table1[[#This Row],[LAW]]-Table1[[#This Row],[LEW]]</f>
        <v>-1.5208333333333333</v>
      </c>
    </row>
    <row r="1477" spans="1:19" x14ac:dyDescent="0.25">
      <c r="A1477" s="66">
        <v>39528</v>
      </c>
      <c r="B1477" s="51">
        <f>YEAR(Table1[[#This Row],[Date]])</f>
        <v>2008</v>
      </c>
      <c r="C1477" s="1">
        <v>1</v>
      </c>
      <c r="D1477" t="s">
        <v>439</v>
      </c>
      <c r="E1477" s="1">
        <v>12</v>
      </c>
      <c r="F1477" t="s">
        <v>50</v>
      </c>
      <c r="G1477" t="str">
        <f>VLOOKUP(Table1[[#This Row],[Winner]],Ranking!C:D,2,FALSE)</f>
        <v>BE</v>
      </c>
      <c r="H1477" s="1">
        <v>75</v>
      </c>
      <c r="I1477" s="1">
        <v>5</v>
      </c>
      <c r="J1477" t="s">
        <v>89</v>
      </c>
      <c r="K1477" t="str">
        <f>VLOOKUP(Table1[[#This Row],[Loser]],Ranking!C:D,2,FALSE)</f>
        <v>ACC</v>
      </c>
      <c r="L1477" s="1">
        <v>69</v>
      </c>
      <c r="N1477" s="1">
        <f>Table1[[#This Row],[Winning Score]]-Table1[[#This Row],[Losing Score]]</f>
        <v>6</v>
      </c>
      <c r="O1477" s="1">
        <f>Table1[[#This Row],[Losing Seed]]-Table1[[#This Row],[Winning Seed]]</f>
        <v>-7</v>
      </c>
      <c r="P1477" s="1" t="str">
        <f>IF(Table1[[#This Row],[SeD]]&lt;-2,Table1[[#This Row],[Winning Seed]]&amp; " over " &amp;Table1[[#This Row],[Losing Seed]],"")</f>
        <v>12 over 5</v>
      </c>
      <c r="Q1477">
        <f>VLOOKUP(Table1[[#This Row],[Losing Seed]],'Seed History'!$N$4:$O$19,2)</f>
        <v>1.1180555555555556</v>
      </c>
      <c r="R1477" s="1">
        <f>IF(Table1[[#This Row],[Round]]="PI",0,Table1[[#This Row],[Round]]-1)</f>
        <v>0</v>
      </c>
      <c r="S1477">
        <f>Table1[[#This Row],[LAW]]-Table1[[#This Row],[LEW]]</f>
        <v>-1.1180555555555556</v>
      </c>
    </row>
    <row r="1478" spans="1:19" x14ac:dyDescent="0.25">
      <c r="A1478" s="66">
        <v>39528</v>
      </c>
      <c r="B1478" s="51">
        <f>YEAR(Table1[[#This Row],[Date]])</f>
        <v>2008</v>
      </c>
      <c r="C1478" s="1">
        <v>1</v>
      </c>
      <c r="D1478" t="s">
        <v>38</v>
      </c>
      <c r="E1478" s="1">
        <v>12</v>
      </c>
      <c r="F1478" t="s">
        <v>415</v>
      </c>
      <c r="G1478" t="str">
        <f>VLOOKUP(Table1[[#This Row],[Winner]],Ranking!C:D,2,FALSE)</f>
        <v>CUSA</v>
      </c>
      <c r="H1478" s="1">
        <v>101</v>
      </c>
      <c r="I1478" s="1">
        <v>5</v>
      </c>
      <c r="J1478" t="s">
        <v>188</v>
      </c>
      <c r="K1478" t="str">
        <f>VLOOKUP(Table1[[#This Row],[Loser]],Ranking!C:D,2,FALSE)</f>
        <v>MVC</v>
      </c>
      <c r="L1478" s="1">
        <v>99</v>
      </c>
      <c r="M1478" s="1" t="s">
        <v>462</v>
      </c>
      <c r="N1478" s="1">
        <f>Table1[[#This Row],[Winning Score]]-Table1[[#This Row],[Losing Score]]</f>
        <v>2</v>
      </c>
      <c r="O1478" s="1">
        <f>Table1[[#This Row],[Losing Seed]]-Table1[[#This Row],[Winning Seed]]</f>
        <v>-7</v>
      </c>
      <c r="P1478" s="1" t="str">
        <f>IF(Table1[[#This Row],[SeD]]&lt;-2,Table1[[#This Row],[Winning Seed]]&amp; " over " &amp;Table1[[#This Row],[Losing Seed]],"")</f>
        <v>12 over 5</v>
      </c>
      <c r="Q1478">
        <f>VLOOKUP(Table1[[#This Row],[Losing Seed]],'Seed History'!$N$4:$O$19,2)</f>
        <v>1.1180555555555556</v>
      </c>
      <c r="R1478" s="1">
        <f>IF(Table1[[#This Row],[Round]]="PI",0,Table1[[#This Row],[Round]]-1)</f>
        <v>0</v>
      </c>
      <c r="S1478">
        <f>Table1[[#This Row],[LAW]]-Table1[[#This Row],[LEW]]</f>
        <v>-1.1180555555555556</v>
      </c>
    </row>
    <row r="1479" spans="1:19" x14ac:dyDescent="0.25">
      <c r="A1479" s="66">
        <v>39528</v>
      </c>
      <c r="B1479" s="51">
        <f>YEAR(Table1[[#This Row],[Date]])</f>
        <v>2008</v>
      </c>
      <c r="C1479" s="1">
        <v>1</v>
      </c>
      <c r="D1479" t="s">
        <v>439</v>
      </c>
      <c r="E1479" s="1">
        <v>10</v>
      </c>
      <c r="F1479" t="s">
        <v>70</v>
      </c>
      <c r="G1479" t="str">
        <f>VLOOKUP(Table1[[#This Row],[Winner]],Ranking!C:D,2,FALSE)</f>
        <v>A10</v>
      </c>
      <c r="H1479" s="1">
        <v>82</v>
      </c>
      <c r="I1479" s="1">
        <v>7</v>
      </c>
      <c r="J1479" t="s">
        <v>71</v>
      </c>
      <c r="K1479" t="str">
        <f>VLOOKUP(Table1[[#This Row],[Loser]],Ranking!C:D,2,FALSE)</f>
        <v>WCC</v>
      </c>
      <c r="L1479" s="1">
        <v>76</v>
      </c>
      <c r="N1479" s="1">
        <f>Table1[[#This Row],[Winning Score]]-Table1[[#This Row],[Losing Score]]</f>
        <v>6</v>
      </c>
      <c r="O1479" s="1">
        <f>Table1[[#This Row],[Losing Seed]]-Table1[[#This Row],[Winning Seed]]</f>
        <v>-3</v>
      </c>
      <c r="P1479" s="1" t="str">
        <f>IF(Table1[[#This Row],[SeD]]&lt;-2,Table1[[#This Row],[Winning Seed]]&amp; " over " &amp;Table1[[#This Row],[Losing Seed]],"")</f>
        <v>10 over 7</v>
      </c>
      <c r="Q1479">
        <f>VLOOKUP(Table1[[#This Row],[Losing Seed]],'Seed History'!$N$4:$O$19,2)</f>
        <v>0.90277777777777779</v>
      </c>
      <c r="R1479" s="1">
        <f>IF(Table1[[#This Row],[Round]]="PI",0,Table1[[#This Row],[Round]]-1)</f>
        <v>0</v>
      </c>
      <c r="S1479">
        <f>Table1[[#This Row],[LAW]]-Table1[[#This Row],[LEW]]</f>
        <v>-0.90277777777777779</v>
      </c>
    </row>
    <row r="1480" spans="1:19" x14ac:dyDescent="0.25">
      <c r="A1480" s="66">
        <v>39528</v>
      </c>
      <c r="B1480" s="51">
        <f>YEAR(Table1[[#This Row],[Date]])</f>
        <v>2008</v>
      </c>
      <c r="C1480" s="1">
        <v>1</v>
      </c>
      <c r="D1480" t="s">
        <v>49</v>
      </c>
      <c r="E1480" s="1">
        <v>1</v>
      </c>
      <c r="F1480" t="s">
        <v>298</v>
      </c>
      <c r="G1480" t="str">
        <f>VLOOKUP(Table1[[#This Row],[Winner]],Ranking!C:D,2,FALSE)</f>
        <v>ACC</v>
      </c>
      <c r="H1480" s="1">
        <v>113</v>
      </c>
      <c r="I1480" s="1">
        <v>16</v>
      </c>
      <c r="J1480" t="s">
        <v>284</v>
      </c>
      <c r="K1480" t="str">
        <f>VLOOKUP(Table1[[#This Row],[Loser]],Ranking!C:D,2,FALSE)</f>
        <v>NEC</v>
      </c>
      <c r="L1480" s="1">
        <v>74</v>
      </c>
      <c r="N1480" s="1">
        <f>Table1[[#This Row],[Winning Score]]-Table1[[#This Row],[Losing Score]]</f>
        <v>39</v>
      </c>
      <c r="O1480" s="1">
        <f>Table1[[#This Row],[Losing Seed]]-Table1[[#This Row],[Winning Seed]]</f>
        <v>15</v>
      </c>
      <c r="P1480" s="1" t="str">
        <f>IF(Table1[[#This Row],[SeD]]&lt;-2,Table1[[#This Row],[Winning Seed]]&amp; " over " &amp;Table1[[#This Row],[Losing Seed]],"")</f>
        <v/>
      </c>
      <c r="Q1480">
        <f>VLOOKUP(Table1[[#This Row],[Losing Seed]],'Seed History'!$N$4:$O$19,2)</f>
        <v>6.9444444444444441E-3</v>
      </c>
      <c r="R1480" s="1">
        <f>IF(Table1[[#This Row],[Round]]="PI",0,Table1[[#This Row],[Round]]-1)</f>
        <v>0</v>
      </c>
      <c r="S1480">
        <f>Table1[[#This Row],[LAW]]-Table1[[#This Row],[LEW]]</f>
        <v>-6.9444444444444441E-3</v>
      </c>
    </row>
    <row r="1481" spans="1:19" x14ac:dyDescent="0.25">
      <c r="A1481" s="66">
        <v>39528</v>
      </c>
      <c r="B1481" s="51">
        <f>YEAR(Table1[[#This Row],[Date]])</f>
        <v>2008</v>
      </c>
      <c r="C1481" s="1">
        <v>1</v>
      </c>
      <c r="D1481" t="s">
        <v>49</v>
      </c>
      <c r="E1481" s="1">
        <v>2</v>
      </c>
      <c r="F1481" t="s">
        <v>374</v>
      </c>
      <c r="G1481" t="str">
        <f>VLOOKUP(Table1[[#This Row],[Winner]],Ranking!C:D,2,FALSE)</f>
        <v>SEC</v>
      </c>
      <c r="H1481" s="1">
        <v>72</v>
      </c>
      <c r="I1481" s="1">
        <v>15</v>
      </c>
      <c r="J1481" t="s">
        <v>120</v>
      </c>
      <c r="K1481" t="str">
        <f>VLOOKUP(Table1[[#This Row],[Loser]],Ranking!C:D,2,FALSE)</f>
        <v>Pat</v>
      </c>
      <c r="L1481" s="1">
        <v>57</v>
      </c>
      <c r="N1481" s="1">
        <f>Table1[[#This Row],[Winning Score]]-Table1[[#This Row],[Losing Score]]</f>
        <v>15</v>
      </c>
      <c r="O1481" s="1">
        <f>Table1[[#This Row],[Losing Seed]]-Table1[[#This Row],[Winning Seed]]</f>
        <v>13</v>
      </c>
      <c r="P1481" s="1" t="str">
        <f>IF(Table1[[#This Row],[SeD]]&lt;-2,Table1[[#This Row],[Winning Seed]]&amp; " over " &amp;Table1[[#This Row],[Losing Seed]],"")</f>
        <v/>
      </c>
      <c r="Q1481">
        <f>VLOOKUP(Table1[[#This Row],[Losing Seed]],'Seed History'!$N$4:$O$19,2)</f>
        <v>7.6388888888888895E-2</v>
      </c>
      <c r="R1481" s="1">
        <f>IF(Table1[[#This Row],[Round]]="PI",0,Table1[[#This Row],[Round]]-1)</f>
        <v>0</v>
      </c>
      <c r="S1481">
        <f>Table1[[#This Row],[LAW]]-Table1[[#This Row],[LEW]]</f>
        <v>-7.6388888888888895E-2</v>
      </c>
    </row>
    <row r="1482" spans="1:19" x14ac:dyDescent="0.25">
      <c r="A1482" s="66">
        <v>39528</v>
      </c>
      <c r="B1482" s="51">
        <f>YEAR(Table1[[#This Row],[Date]])</f>
        <v>2008</v>
      </c>
      <c r="C1482" s="1">
        <v>1</v>
      </c>
      <c r="D1482" t="s">
        <v>49</v>
      </c>
      <c r="E1482" s="1">
        <v>3</v>
      </c>
      <c r="F1482" t="s">
        <v>54</v>
      </c>
      <c r="G1482" t="str">
        <f>VLOOKUP(Table1[[#This Row],[Winner]],Ranking!C:D,2,FALSE)</f>
        <v>ACC</v>
      </c>
      <c r="H1482" s="1">
        <v>79</v>
      </c>
      <c r="I1482" s="1">
        <v>14</v>
      </c>
      <c r="J1482" t="s">
        <v>137</v>
      </c>
      <c r="K1482" t="str">
        <f>VLOOKUP(Table1[[#This Row],[Loser]],Ranking!C:D,2,FALSE)</f>
        <v>MWC</v>
      </c>
      <c r="L1482" s="1">
        <v>61</v>
      </c>
      <c r="N1482" s="1">
        <f>Table1[[#This Row],[Winning Score]]-Table1[[#This Row],[Losing Score]]</f>
        <v>18</v>
      </c>
      <c r="O1482" s="1">
        <f>Table1[[#This Row],[Losing Seed]]-Table1[[#This Row],[Winning Seed]]</f>
        <v>11</v>
      </c>
      <c r="P1482" s="1" t="str">
        <f>IF(Table1[[#This Row],[SeD]]&lt;-2,Table1[[#This Row],[Winning Seed]]&amp; " over " &amp;Table1[[#This Row],[Losing Seed]],"")</f>
        <v/>
      </c>
      <c r="Q1482">
        <f>VLOOKUP(Table1[[#This Row],[Losing Seed]],'Seed History'!$N$4:$O$19,2)</f>
        <v>0.16666666666666666</v>
      </c>
      <c r="R1482" s="1">
        <f>IF(Table1[[#This Row],[Round]]="PI",0,Table1[[#This Row],[Round]]-1)</f>
        <v>0</v>
      </c>
      <c r="S1482">
        <f>Table1[[#This Row],[LAW]]-Table1[[#This Row],[LEW]]</f>
        <v>-0.16666666666666666</v>
      </c>
    </row>
    <row r="1483" spans="1:19" x14ac:dyDescent="0.25">
      <c r="A1483" s="66">
        <v>39528</v>
      </c>
      <c r="B1483" s="51">
        <f>YEAR(Table1[[#This Row],[Date]])</f>
        <v>2008</v>
      </c>
      <c r="C1483" s="1">
        <v>1</v>
      </c>
      <c r="D1483" t="s">
        <v>49</v>
      </c>
      <c r="E1483" s="1">
        <v>6</v>
      </c>
      <c r="F1483" t="s">
        <v>58</v>
      </c>
      <c r="G1483" t="str">
        <f>VLOOKUP(Table1[[#This Row],[Winner]],Ranking!C:D,2,FALSE)</f>
        <v>B12</v>
      </c>
      <c r="H1483" s="1">
        <v>72</v>
      </c>
      <c r="I1483" s="1">
        <v>11</v>
      </c>
      <c r="J1483" t="s">
        <v>337</v>
      </c>
      <c r="K1483" t="str">
        <f>VLOOKUP(Table1[[#This Row],[Loser]],Ranking!C:D,2,FALSE)</f>
        <v>A10</v>
      </c>
      <c r="L1483" s="1">
        <v>64</v>
      </c>
      <c r="N1483" s="1">
        <f>Table1[[#This Row],[Winning Score]]-Table1[[#This Row],[Losing Score]]</f>
        <v>8</v>
      </c>
      <c r="O1483" s="1">
        <f>Table1[[#This Row],[Losing Seed]]-Table1[[#This Row],[Winning Seed]]</f>
        <v>5</v>
      </c>
      <c r="P1483" s="1" t="str">
        <f>IF(Table1[[#This Row],[SeD]]&lt;-2,Table1[[#This Row],[Winning Seed]]&amp; " over " &amp;Table1[[#This Row],[Losing Seed]],"")</f>
        <v/>
      </c>
      <c r="Q1483">
        <f>VLOOKUP(Table1[[#This Row],[Losing Seed]],'Seed History'!$N$4:$O$19,2)</f>
        <v>0.63194444444444442</v>
      </c>
      <c r="R1483" s="1">
        <f>IF(Table1[[#This Row],[Round]]="PI",0,Table1[[#This Row],[Round]]-1)</f>
        <v>0</v>
      </c>
      <c r="S1483">
        <f>Table1[[#This Row],[LAW]]-Table1[[#This Row],[LEW]]</f>
        <v>-0.63194444444444442</v>
      </c>
    </row>
    <row r="1484" spans="1:19" x14ac:dyDescent="0.25">
      <c r="A1484" s="66">
        <v>39528</v>
      </c>
      <c r="B1484" s="51">
        <f>YEAR(Table1[[#This Row],[Date]])</f>
        <v>2008</v>
      </c>
      <c r="C1484" s="1">
        <v>1</v>
      </c>
      <c r="D1484" t="s">
        <v>49</v>
      </c>
      <c r="E1484" s="1">
        <v>7</v>
      </c>
      <c r="F1484" t="s">
        <v>33</v>
      </c>
      <c r="G1484" t="str">
        <f>VLOOKUP(Table1[[#This Row],[Winner]],Ranking!C:D,2,FALSE)</f>
        <v>BE</v>
      </c>
      <c r="H1484" s="1">
        <v>81</v>
      </c>
      <c r="I1484" s="1">
        <v>10</v>
      </c>
      <c r="J1484" t="s">
        <v>353</v>
      </c>
      <c r="K1484" t="str">
        <f>VLOOKUP(Table1[[#This Row],[Loser]],Ranking!C:D,2,FALSE)</f>
        <v>SB</v>
      </c>
      <c r="L1484" s="1">
        <v>61</v>
      </c>
      <c r="N1484" s="1">
        <f>Table1[[#This Row],[Winning Score]]-Table1[[#This Row],[Losing Score]]</f>
        <v>20</v>
      </c>
      <c r="O1484" s="1">
        <f>Table1[[#This Row],[Losing Seed]]-Table1[[#This Row],[Winning Seed]]</f>
        <v>3</v>
      </c>
      <c r="P1484" s="1" t="str">
        <f>IF(Table1[[#This Row],[SeD]]&lt;-2,Table1[[#This Row],[Winning Seed]]&amp; " over " &amp;Table1[[#This Row],[Losing Seed]],"")</f>
        <v/>
      </c>
      <c r="Q1484">
        <f>VLOOKUP(Table1[[#This Row],[Losing Seed]],'Seed History'!$N$4:$O$19,2)</f>
        <v>0.61805555555555558</v>
      </c>
      <c r="R1484" s="1">
        <f>IF(Table1[[#This Row],[Round]]="PI",0,Table1[[#This Row],[Round]]-1)</f>
        <v>0</v>
      </c>
      <c r="S1484">
        <f>Table1[[#This Row],[LAW]]-Table1[[#This Row],[LEW]]</f>
        <v>-0.61805555555555558</v>
      </c>
    </row>
    <row r="1485" spans="1:19" x14ac:dyDescent="0.25">
      <c r="A1485" s="66">
        <v>39528</v>
      </c>
      <c r="B1485" s="51">
        <f>YEAR(Table1[[#This Row],[Date]])</f>
        <v>2008</v>
      </c>
      <c r="C1485" s="1">
        <v>1</v>
      </c>
      <c r="D1485" t="s">
        <v>439</v>
      </c>
      <c r="E1485" s="1">
        <v>2</v>
      </c>
      <c r="F1485" t="s">
        <v>66</v>
      </c>
      <c r="G1485" t="str">
        <f>VLOOKUP(Table1[[#This Row],[Winner]],Ranking!C:D,2,FALSE)</f>
        <v>BE</v>
      </c>
      <c r="H1485" s="1">
        <v>66</v>
      </c>
      <c r="I1485" s="1">
        <v>15</v>
      </c>
      <c r="J1485" t="s">
        <v>391</v>
      </c>
      <c r="K1485" t="str">
        <f>VLOOKUP(Table1[[#This Row],[Loser]],Ranking!C:D,2,FALSE)</f>
        <v>AE</v>
      </c>
      <c r="L1485" s="1">
        <v>47</v>
      </c>
      <c r="N1485" s="1">
        <f>Table1[[#This Row],[Winning Score]]-Table1[[#This Row],[Losing Score]]</f>
        <v>19</v>
      </c>
      <c r="O1485" s="1">
        <f>Table1[[#This Row],[Losing Seed]]-Table1[[#This Row],[Winning Seed]]</f>
        <v>13</v>
      </c>
      <c r="P1485" s="1" t="str">
        <f>IF(Table1[[#This Row],[SeD]]&lt;-2,Table1[[#This Row],[Winning Seed]]&amp; " over " &amp;Table1[[#This Row],[Losing Seed]],"")</f>
        <v/>
      </c>
      <c r="Q1485">
        <f>VLOOKUP(Table1[[#This Row],[Losing Seed]],'Seed History'!$N$4:$O$19,2)</f>
        <v>7.6388888888888895E-2</v>
      </c>
      <c r="R1485" s="1">
        <f>IF(Table1[[#This Row],[Round]]="PI",0,Table1[[#This Row],[Round]]-1)</f>
        <v>0</v>
      </c>
      <c r="S1485">
        <f>Table1[[#This Row],[LAW]]-Table1[[#This Row],[LEW]]</f>
        <v>-7.6388888888888895E-2</v>
      </c>
    </row>
    <row r="1486" spans="1:19" x14ac:dyDescent="0.25">
      <c r="A1486" s="66">
        <v>39528</v>
      </c>
      <c r="B1486" s="51">
        <f>YEAR(Table1[[#This Row],[Date]])</f>
        <v>2008</v>
      </c>
      <c r="C1486" s="1">
        <v>1</v>
      </c>
      <c r="D1486" t="s">
        <v>63</v>
      </c>
      <c r="E1486" s="1">
        <v>1</v>
      </c>
      <c r="F1486" t="s">
        <v>267</v>
      </c>
      <c r="G1486" t="str">
        <f>VLOOKUP(Table1[[#This Row],[Winner]],Ranking!C:D,2,FALSE)</f>
        <v>Amer</v>
      </c>
      <c r="H1486" s="1">
        <v>87</v>
      </c>
      <c r="I1486" s="1">
        <v>16</v>
      </c>
      <c r="J1486" t="s">
        <v>398</v>
      </c>
      <c r="K1486" t="str">
        <f>VLOOKUP(Table1[[#This Row],[Loser]],Ranking!C:D,2,FALSE)</f>
        <v>SB</v>
      </c>
      <c r="L1486" s="1">
        <v>63</v>
      </c>
      <c r="N1486" s="1">
        <f>Table1[[#This Row],[Winning Score]]-Table1[[#This Row],[Losing Score]]</f>
        <v>24</v>
      </c>
      <c r="O1486" s="1">
        <f>Table1[[#This Row],[Losing Seed]]-Table1[[#This Row],[Winning Seed]]</f>
        <v>15</v>
      </c>
      <c r="P1486" s="1" t="str">
        <f>IF(Table1[[#This Row],[SeD]]&lt;-2,Table1[[#This Row],[Winning Seed]]&amp; " over " &amp;Table1[[#This Row],[Losing Seed]],"")</f>
        <v/>
      </c>
      <c r="Q1486">
        <f>VLOOKUP(Table1[[#This Row],[Losing Seed]],'Seed History'!$N$4:$O$19,2)</f>
        <v>6.9444444444444441E-3</v>
      </c>
      <c r="R1486" s="1">
        <f>IF(Table1[[#This Row],[Round]]="PI",0,Table1[[#This Row],[Round]]-1)</f>
        <v>0</v>
      </c>
      <c r="S1486">
        <f>Table1[[#This Row],[LAW]]-Table1[[#This Row],[LEW]]</f>
        <v>-6.9444444444444441E-3</v>
      </c>
    </row>
    <row r="1487" spans="1:19" x14ac:dyDescent="0.25">
      <c r="A1487" s="66">
        <v>39528</v>
      </c>
      <c r="B1487" s="51">
        <f>YEAR(Table1[[#This Row],[Date]])</f>
        <v>2008</v>
      </c>
      <c r="C1487" s="1">
        <v>1</v>
      </c>
      <c r="D1487" t="s">
        <v>63</v>
      </c>
      <c r="E1487" s="1">
        <v>2</v>
      </c>
      <c r="F1487" t="s">
        <v>34</v>
      </c>
      <c r="G1487" t="str">
        <f>VLOOKUP(Table1[[#This Row],[Winner]],Ranking!C:D,2,FALSE)</f>
        <v>B12</v>
      </c>
      <c r="H1487" s="1">
        <v>74</v>
      </c>
      <c r="I1487" s="1">
        <v>15</v>
      </c>
      <c r="J1487" t="s">
        <v>130</v>
      </c>
      <c r="K1487" t="str">
        <f>VLOOKUP(Table1[[#This Row],[Loser]],Ranking!C:D,2,FALSE)</f>
        <v>OVC</v>
      </c>
      <c r="L1487" s="1">
        <v>54</v>
      </c>
      <c r="N1487" s="1">
        <f>Table1[[#This Row],[Winning Score]]-Table1[[#This Row],[Losing Score]]</f>
        <v>20</v>
      </c>
      <c r="O1487" s="1">
        <f>Table1[[#This Row],[Losing Seed]]-Table1[[#This Row],[Winning Seed]]</f>
        <v>13</v>
      </c>
      <c r="P1487" s="1" t="str">
        <f>IF(Table1[[#This Row],[SeD]]&lt;-2,Table1[[#This Row],[Winning Seed]]&amp; " over " &amp;Table1[[#This Row],[Losing Seed]],"")</f>
        <v/>
      </c>
      <c r="Q1487">
        <f>VLOOKUP(Table1[[#This Row],[Losing Seed]],'Seed History'!$N$4:$O$19,2)</f>
        <v>7.6388888888888895E-2</v>
      </c>
      <c r="R1487" s="1">
        <f>IF(Table1[[#This Row],[Round]]="PI",0,Table1[[#This Row],[Round]]-1)</f>
        <v>0</v>
      </c>
      <c r="S1487">
        <f>Table1[[#This Row],[LAW]]-Table1[[#This Row],[LEW]]</f>
        <v>-7.6388888888888895E-2</v>
      </c>
    </row>
    <row r="1488" spans="1:19" x14ac:dyDescent="0.25">
      <c r="A1488" s="66">
        <v>39528</v>
      </c>
      <c r="B1488" s="51">
        <f>YEAR(Table1[[#This Row],[Date]])</f>
        <v>2008</v>
      </c>
      <c r="C1488" s="1">
        <v>1</v>
      </c>
      <c r="D1488" t="s">
        <v>63</v>
      </c>
      <c r="E1488" s="1">
        <v>7</v>
      </c>
      <c r="F1488" t="s">
        <v>269</v>
      </c>
      <c r="G1488" t="str">
        <f>VLOOKUP(Table1[[#This Row],[Winner]],Ranking!C:D,2,FALSE)</f>
        <v>ACC</v>
      </c>
      <c r="H1488" s="1">
        <v>78</v>
      </c>
      <c r="I1488" s="1">
        <v>10</v>
      </c>
      <c r="J1488" t="s">
        <v>339</v>
      </c>
      <c r="K1488" t="str">
        <f>VLOOKUP(Table1[[#This Row],[Loser]],Ranking!C:D,2,FALSE)</f>
        <v>WCC</v>
      </c>
      <c r="L1488" s="1">
        <v>64</v>
      </c>
      <c r="N1488" s="1">
        <f>Table1[[#This Row],[Winning Score]]-Table1[[#This Row],[Losing Score]]</f>
        <v>14</v>
      </c>
      <c r="O1488" s="1">
        <f>Table1[[#This Row],[Losing Seed]]-Table1[[#This Row],[Winning Seed]]</f>
        <v>3</v>
      </c>
      <c r="P1488" s="1" t="str">
        <f>IF(Table1[[#This Row],[SeD]]&lt;-2,Table1[[#This Row],[Winning Seed]]&amp; " over " &amp;Table1[[#This Row],[Losing Seed]],"")</f>
        <v/>
      </c>
      <c r="Q1488">
        <f>VLOOKUP(Table1[[#This Row],[Losing Seed]],'Seed History'!$N$4:$O$19,2)</f>
        <v>0.61805555555555558</v>
      </c>
      <c r="R1488" s="1">
        <f>IF(Table1[[#This Row],[Round]]="PI",0,Table1[[#This Row],[Round]]-1)</f>
        <v>0</v>
      </c>
      <c r="S1488">
        <f>Table1[[#This Row],[LAW]]-Table1[[#This Row],[LEW]]</f>
        <v>-0.61805555555555558</v>
      </c>
    </row>
    <row r="1489" spans="1:19" x14ac:dyDescent="0.25">
      <c r="A1489" s="66">
        <v>39528</v>
      </c>
      <c r="B1489" s="51">
        <f>YEAR(Table1[[#This Row],[Date]])</f>
        <v>2008</v>
      </c>
      <c r="C1489" s="1">
        <v>1</v>
      </c>
      <c r="D1489" t="s">
        <v>63</v>
      </c>
      <c r="E1489" s="1">
        <v>8</v>
      </c>
      <c r="F1489" t="s">
        <v>275</v>
      </c>
      <c r="G1489" t="str">
        <f>VLOOKUP(Table1[[#This Row],[Winner]],Ranking!C:D,2,FALSE)</f>
        <v>SEC</v>
      </c>
      <c r="H1489" s="1">
        <v>76</v>
      </c>
      <c r="I1489" s="1">
        <v>9</v>
      </c>
      <c r="J1489" t="s">
        <v>40</v>
      </c>
      <c r="K1489" t="str">
        <f>VLOOKUP(Table1[[#This Row],[Loser]],Ranking!C:D,2,FALSE)</f>
        <v>P12</v>
      </c>
      <c r="L1489" s="1">
        <v>69</v>
      </c>
      <c r="N1489" s="1">
        <f>Table1[[#This Row],[Winning Score]]-Table1[[#This Row],[Losing Score]]</f>
        <v>7</v>
      </c>
      <c r="O1489" s="1">
        <f>Table1[[#This Row],[Losing Seed]]-Table1[[#This Row],[Winning Seed]]</f>
        <v>1</v>
      </c>
      <c r="P1489" s="1" t="str">
        <f>IF(Table1[[#This Row],[SeD]]&lt;-2,Table1[[#This Row],[Winning Seed]]&amp; " over " &amp;Table1[[#This Row],[Losing Seed]],"")</f>
        <v/>
      </c>
      <c r="Q1489">
        <f>VLOOKUP(Table1[[#This Row],[Losing Seed]],'Seed History'!$N$4:$O$19,2)</f>
        <v>0.59027777777777779</v>
      </c>
      <c r="R1489" s="1">
        <f>IF(Table1[[#This Row],[Round]]="PI",0,Table1[[#This Row],[Round]]-1)</f>
        <v>0</v>
      </c>
      <c r="S1489">
        <f>Table1[[#This Row],[LAW]]-Table1[[#This Row],[LEW]]</f>
        <v>-0.59027777777777779</v>
      </c>
    </row>
    <row r="1490" spans="1:19" x14ac:dyDescent="0.25">
      <c r="A1490" s="66">
        <v>39528</v>
      </c>
      <c r="B1490" s="51">
        <f>YEAR(Table1[[#This Row],[Date]])</f>
        <v>2008</v>
      </c>
      <c r="C1490" s="1">
        <v>1</v>
      </c>
      <c r="D1490" t="s">
        <v>49</v>
      </c>
      <c r="E1490" s="1">
        <v>9</v>
      </c>
      <c r="F1490" t="s">
        <v>41</v>
      </c>
      <c r="G1490" t="str">
        <f>VLOOKUP(Table1[[#This Row],[Winner]],Ranking!C:D,2,FALSE)</f>
        <v>SEC</v>
      </c>
      <c r="H1490" s="1">
        <v>86</v>
      </c>
      <c r="I1490" s="1">
        <v>8</v>
      </c>
      <c r="J1490" t="s">
        <v>36</v>
      </c>
      <c r="K1490" t="str">
        <f>VLOOKUP(Table1[[#This Row],[Loser]],Ranking!C:D,2,FALSE)</f>
        <v>B10</v>
      </c>
      <c r="L1490" s="1">
        <v>72</v>
      </c>
      <c r="N1490" s="1">
        <f>Table1[[#This Row],[Winning Score]]-Table1[[#This Row],[Losing Score]]</f>
        <v>14</v>
      </c>
      <c r="O1490" s="1">
        <f>Table1[[#This Row],[Losing Seed]]-Table1[[#This Row],[Winning Seed]]</f>
        <v>-1</v>
      </c>
      <c r="P1490" s="1" t="str">
        <f>IF(Table1[[#This Row],[SeD]]&lt;-2,Table1[[#This Row],[Winning Seed]]&amp; " over " &amp;Table1[[#This Row],[Losing Seed]],"")</f>
        <v/>
      </c>
      <c r="Q1490">
        <f>VLOOKUP(Table1[[#This Row],[Losing Seed]],'Seed History'!$N$4:$O$19,2)</f>
        <v>0.70833333333333337</v>
      </c>
      <c r="R1490" s="1">
        <f>IF(Table1[[#This Row],[Round]]="PI",0,Table1[[#This Row],[Round]]-1)</f>
        <v>0</v>
      </c>
      <c r="S1490">
        <f>Table1[[#This Row],[LAW]]-Table1[[#This Row],[LEW]]</f>
        <v>-0.70833333333333337</v>
      </c>
    </row>
    <row r="1491" spans="1:19" x14ac:dyDescent="0.25">
      <c r="A1491" s="66">
        <v>39529</v>
      </c>
      <c r="B1491" s="51">
        <f>YEAR(Table1[[#This Row],[Date]])</f>
        <v>2008</v>
      </c>
      <c r="C1491" s="1">
        <v>2</v>
      </c>
      <c r="D1491" t="s">
        <v>38</v>
      </c>
      <c r="E1491" s="1">
        <v>7</v>
      </c>
      <c r="F1491" t="s">
        <v>412</v>
      </c>
      <c r="G1491" t="str">
        <f>VLOOKUP(Table1[[#This Row],[Winner]],Ranking!C:D,2,FALSE)</f>
        <v>B12</v>
      </c>
      <c r="H1491" s="1">
        <v>73</v>
      </c>
      <c r="I1491" s="1">
        <v>2</v>
      </c>
      <c r="J1491" t="s">
        <v>64</v>
      </c>
      <c r="K1491" t="str">
        <f>VLOOKUP(Table1[[#This Row],[Loser]],Ranking!C:D,2,FALSE)</f>
        <v>ACC</v>
      </c>
      <c r="L1491" s="1">
        <v>67</v>
      </c>
      <c r="N1491" s="1">
        <f>Table1[[#This Row],[Winning Score]]-Table1[[#This Row],[Losing Score]]</f>
        <v>6</v>
      </c>
      <c r="O1491" s="1">
        <f>Table1[[#This Row],[Losing Seed]]-Table1[[#This Row],[Winning Seed]]</f>
        <v>-5</v>
      </c>
      <c r="P1491" s="1" t="str">
        <f>IF(Table1[[#This Row],[SeD]]&lt;-2,Table1[[#This Row],[Winning Seed]]&amp; " over " &amp;Table1[[#This Row],[Losing Seed]],"")</f>
        <v>7 over 2</v>
      </c>
      <c r="Q1491">
        <f>VLOOKUP(Table1[[#This Row],[Losing Seed]],'Seed History'!$N$4:$O$19,2)</f>
        <v>2.3472222222222223</v>
      </c>
      <c r="R1491" s="1">
        <f>IF(Table1[[#This Row],[Round]]="PI",0,Table1[[#This Row],[Round]]-1)</f>
        <v>1</v>
      </c>
      <c r="S1491">
        <f>Table1[[#This Row],[LAW]]-Table1[[#This Row],[LEW]]</f>
        <v>-1.3472222222222223</v>
      </c>
    </row>
    <row r="1492" spans="1:19" x14ac:dyDescent="0.25">
      <c r="A1492" s="66">
        <v>39529</v>
      </c>
      <c r="B1492" s="51">
        <f>YEAR(Table1[[#This Row],[Date]])</f>
        <v>2008</v>
      </c>
      <c r="C1492" s="1">
        <v>2</v>
      </c>
      <c r="D1492" t="s">
        <v>49</v>
      </c>
      <c r="E1492" s="1">
        <v>4</v>
      </c>
      <c r="F1492" t="s">
        <v>410</v>
      </c>
      <c r="G1492" t="str">
        <f>VLOOKUP(Table1[[#This Row],[Winner]],Ranking!C:D,2,FALSE)</f>
        <v>P12</v>
      </c>
      <c r="H1492" s="1">
        <v>61</v>
      </c>
      <c r="I1492" s="1">
        <v>5</v>
      </c>
      <c r="J1492" t="s">
        <v>35</v>
      </c>
      <c r="K1492" t="str">
        <f>VLOOKUP(Table1[[#This Row],[Loser]],Ranking!C:D,2,FALSE)</f>
        <v>ACC</v>
      </c>
      <c r="L1492" s="1">
        <v>41</v>
      </c>
      <c r="N1492" s="1">
        <f>Table1[[#This Row],[Winning Score]]-Table1[[#This Row],[Losing Score]]</f>
        <v>20</v>
      </c>
      <c r="O1492" s="1">
        <f>Table1[[#This Row],[Losing Seed]]-Table1[[#This Row],[Winning Seed]]</f>
        <v>1</v>
      </c>
      <c r="P1492" s="1" t="str">
        <f>IF(Table1[[#This Row],[SeD]]&lt;-2,Table1[[#This Row],[Winning Seed]]&amp; " over " &amp;Table1[[#This Row],[Losing Seed]],"")</f>
        <v/>
      </c>
      <c r="Q1492">
        <f>VLOOKUP(Table1[[#This Row],[Losing Seed]],'Seed History'!$N$4:$O$19,2)</f>
        <v>1.1180555555555556</v>
      </c>
      <c r="R1492" s="1">
        <f>IF(Table1[[#This Row],[Round]]="PI",0,Table1[[#This Row],[Round]]-1)</f>
        <v>1</v>
      </c>
      <c r="S1492">
        <f>Table1[[#This Row],[LAW]]-Table1[[#This Row],[LEW]]</f>
        <v>-0.11805555555555558</v>
      </c>
    </row>
    <row r="1493" spans="1:19" x14ac:dyDescent="0.25">
      <c r="A1493" s="66">
        <v>39529</v>
      </c>
      <c r="B1493" s="51">
        <f>YEAR(Table1[[#This Row],[Date]])</f>
        <v>2008</v>
      </c>
      <c r="C1493" s="1">
        <v>2</v>
      </c>
      <c r="D1493" t="s">
        <v>439</v>
      </c>
      <c r="E1493" s="1">
        <v>1</v>
      </c>
      <c r="F1493" t="s">
        <v>37</v>
      </c>
      <c r="G1493" t="str">
        <f>VLOOKUP(Table1[[#This Row],[Winner]],Ranking!C:D,2,FALSE)</f>
        <v>B12</v>
      </c>
      <c r="H1493" s="1">
        <v>75</v>
      </c>
      <c r="I1493" s="1">
        <v>8</v>
      </c>
      <c r="J1493" t="s">
        <v>396</v>
      </c>
      <c r="K1493" t="str">
        <f>VLOOKUP(Table1[[#This Row],[Loser]],Ranking!C:D,2,FALSE)</f>
        <v>MWC</v>
      </c>
      <c r="L1493" s="1">
        <v>56</v>
      </c>
      <c r="N1493" s="1">
        <f>Table1[[#This Row],[Winning Score]]-Table1[[#This Row],[Losing Score]]</f>
        <v>19</v>
      </c>
      <c r="O1493" s="1">
        <f>Table1[[#This Row],[Losing Seed]]-Table1[[#This Row],[Winning Seed]]</f>
        <v>7</v>
      </c>
      <c r="P1493" s="1" t="str">
        <f>IF(Table1[[#This Row],[SeD]]&lt;-2,Table1[[#This Row],[Winning Seed]]&amp; " over " &amp;Table1[[#This Row],[Losing Seed]],"")</f>
        <v/>
      </c>
      <c r="Q1493">
        <f>VLOOKUP(Table1[[#This Row],[Losing Seed]],'Seed History'!$N$4:$O$19,2)</f>
        <v>0.70833333333333337</v>
      </c>
      <c r="R1493" s="1">
        <f>IF(Table1[[#This Row],[Round]]="PI",0,Table1[[#This Row],[Round]]-1)</f>
        <v>1</v>
      </c>
      <c r="S1493">
        <f>Table1[[#This Row],[LAW]]-Table1[[#This Row],[LEW]]</f>
        <v>0.29166666666666663</v>
      </c>
    </row>
    <row r="1494" spans="1:19" x14ac:dyDescent="0.25">
      <c r="A1494" s="66">
        <v>39529</v>
      </c>
      <c r="B1494" s="51">
        <f>YEAR(Table1[[#This Row],[Date]])</f>
        <v>2008</v>
      </c>
      <c r="C1494" s="1">
        <v>2</v>
      </c>
      <c r="D1494" t="s">
        <v>439</v>
      </c>
      <c r="E1494" s="1">
        <v>3</v>
      </c>
      <c r="F1494" t="s">
        <v>39</v>
      </c>
      <c r="G1494" t="str">
        <f>VLOOKUP(Table1[[#This Row],[Winner]],Ranking!C:D,2,FALSE)</f>
        <v>B10</v>
      </c>
      <c r="H1494" s="1">
        <v>72</v>
      </c>
      <c r="I1494" s="1">
        <v>11</v>
      </c>
      <c r="J1494" t="s">
        <v>243</v>
      </c>
      <c r="K1494" t="str">
        <f>VLOOKUP(Table1[[#This Row],[Loser]],Ranking!C:D,2,FALSE)</f>
        <v>B12</v>
      </c>
      <c r="L1494" s="1">
        <v>55</v>
      </c>
      <c r="N1494" s="1">
        <f>Table1[[#This Row],[Winning Score]]-Table1[[#This Row],[Losing Score]]</f>
        <v>17</v>
      </c>
      <c r="O1494" s="1">
        <f>Table1[[#This Row],[Losing Seed]]-Table1[[#This Row],[Winning Seed]]</f>
        <v>8</v>
      </c>
      <c r="P1494" s="1" t="str">
        <f>IF(Table1[[#This Row],[SeD]]&lt;-2,Table1[[#This Row],[Winning Seed]]&amp; " over " &amp;Table1[[#This Row],[Losing Seed]],"")</f>
        <v/>
      </c>
      <c r="Q1494">
        <f>VLOOKUP(Table1[[#This Row],[Losing Seed]],'Seed History'!$N$4:$O$19,2)</f>
        <v>0.63194444444444442</v>
      </c>
      <c r="R1494" s="1">
        <f>IF(Table1[[#This Row],[Round]]="PI",0,Table1[[#This Row],[Round]]-1)</f>
        <v>1</v>
      </c>
      <c r="S1494">
        <f>Table1[[#This Row],[LAW]]-Table1[[#This Row],[LEW]]</f>
        <v>0.36805555555555558</v>
      </c>
    </row>
    <row r="1495" spans="1:19" x14ac:dyDescent="0.25">
      <c r="A1495" s="66">
        <v>39529</v>
      </c>
      <c r="B1495" s="51">
        <f>YEAR(Table1[[#This Row],[Date]])</f>
        <v>2008</v>
      </c>
      <c r="C1495" s="1">
        <v>2</v>
      </c>
      <c r="D1495" t="s">
        <v>63</v>
      </c>
      <c r="E1495" s="1">
        <v>3</v>
      </c>
      <c r="F1495" t="s">
        <v>369</v>
      </c>
      <c r="G1495" t="str">
        <f>VLOOKUP(Table1[[#This Row],[Winner]],Ranking!C:D,2,FALSE)</f>
        <v>P12</v>
      </c>
      <c r="H1495" s="1">
        <v>82</v>
      </c>
      <c r="I1495" s="1">
        <v>6</v>
      </c>
      <c r="J1495" t="s">
        <v>262</v>
      </c>
      <c r="K1495" t="str">
        <f>VLOOKUP(Table1[[#This Row],[Loser]],Ranking!C:D,2,FALSE)</f>
        <v>BE</v>
      </c>
      <c r="L1495" s="1">
        <v>81</v>
      </c>
      <c r="M1495" s="1" t="s">
        <v>462</v>
      </c>
      <c r="N1495" s="1">
        <f>Table1[[#This Row],[Winning Score]]-Table1[[#This Row],[Losing Score]]</f>
        <v>1</v>
      </c>
      <c r="O1495" s="1">
        <f>Table1[[#This Row],[Losing Seed]]-Table1[[#This Row],[Winning Seed]]</f>
        <v>3</v>
      </c>
      <c r="P1495" s="1" t="str">
        <f>IF(Table1[[#This Row],[SeD]]&lt;-2,Table1[[#This Row],[Winning Seed]]&amp; " over " &amp;Table1[[#This Row],[Losing Seed]],"")</f>
        <v/>
      </c>
      <c r="Q1495">
        <f>VLOOKUP(Table1[[#This Row],[Losing Seed]],'Seed History'!$N$4:$O$19,2)</f>
        <v>1.0625</v>
      </c>
      <c r="R1495" s="1">
        <f>IF(Table1[[#This Row],[Round]]="PI",0,Table1[[#This Row],[Round]]-1)</f>
        <v>1</v>
      </c>
      <c r="S1495">
        <f>Table1[[#This Row],[LAW]]-Table1[[#This Row],[LEW]]</f>
        <v>-6.25E-2</v>
      </c>
    </row>
    <row r="1496" spans="1:19" x14ac:dyDescent="0.25">
      <c r="A1496" s="66">
        <v>39529</v>
      </c>
      <c r="B1496" s="51">
        <f>YEAR(Table1[[#This Row],[Date]])</f>
        <v>2008</v>
      </c>
      <c r="C1496" s="1">
        <v>2</v>
      </c>
      <c r="D1496" t="s">
        <v>38</v>
      </c>
      <c r="E1496" s="1">
        <v>1</v>
      </c>
      <c r="F1496" t="s">
        <v>67</v>
      </c>
      <c r="G1496" t="str">
        <f>VLOOKUP(Table1[[#This Row],[Winner]],Ranking!C:D,2,FALSE)</f>
        <v>P12</v>
      </c>
      <c r="H1496" s="1">
        <v>53</v>
      </c>
      <c r="I1496" s="1">
        <v>9</v>
      </c>
      <c r="J1496" t="s">
        <v>79</v>
      </c>
      <c r="K1496" t="str">
        <f>VLOOKUP(Table1[[#This Row],[Loser]],Ranking!C:D,2,FALSE)</f>
        <v>SEC</v>
      </c>
      <c r="L1496" s="1">
        <v>49</v>
      </c>
      <c r="N1496" s="1">
        <f>Table1[[#This Row],[Winning Score]]-Table1[[#This Row],[Losing Score]]</f>
        <v>4</v>
      </c>
      <c r="O1496" s="1">
        <f>Table1[[#This Row],[Losing Seed]]-Table1[[#This Row],[Winning Seed]]</f>
        <v>8</v>
      </c>
      <c r="P1496" s="1" t="str">
        <f>IF(Table1[[#This Row],[SeD]]&lt;-2,Table1[[#This Row],[Winning Seed]]&amp; " over " &amp;Table1[[#This Row],[Losing Seed]],"")</f>
        <v/>
      </c>
      <c r="Q1496">
        <f>VLOOKUP(Table1[[#This Row],[Losing Seed]],'Seed History'!$N$4:$O$19,2)</f>
        <v>0.59027777777777779</v>
      </c>
      <c r="R1496" s="1">
        <f>IF(Table1[[#This Row],[Round]]="PI",0,Table1[[#This Row],[Round]]-1)</f>
        <v>1</v>
      </c>
      <c r="S1496">
        <f>Table1[[#This Row],[LAW]]-Table1[[#This Row],[LEW]]</f>
        <v>0.40972222222222221</v>
      </c>
    </row>
    <row r="1497" spans="1:19" x14ac:dyDescent="0.25">
      <c r="A1497" s="66">
        <v>39529</v>
      </c>
      <c r="B1497" s="51">
        <f>YEAR(Table1[[#This Row],[Date]])</f>
        <v>2008</v>
      </c>
      <c r="C1497" s="1">
        <v>2</v>
      </c>
      <c r="D1497" t="s">
        <v>38</v>
      </c>
      <c r="E1497" s="1">
        <v>3</v>
      </c>
      <c r="F1497" t="s">
        <v>44</v>
      </c>
      <c r="G1497" t="str">
        <f>VLOOKUP(Table1[[#This Row],[Winner]],Ranking!C:D,2,FALSE)</f>
        <v>BE</v>
      </c>
      <c r="H1497" s="1">
        <v>85</v>
      </c>
      <c r="I1497" s="1">
        <v>6</v>
      </c>
      <c r="J1497" t="s">
        <v>29</v>
      </c>
      <c r="K1497" t="str">
        <f>VLOOKUP(Table1[[#This Row],[Loser]],Ranking!C:D,2,FALSE)</f>
        <v>B10</v>
      </c>
      <c r="L1497" s="1">
        <v>78</v>
      </c>
      <c r="N1497" s="1">
        <f>Table1[[#This Row],[Winning Score]]-Table1[[#This Row],[Losing Score]]</f>
        <v>7</v>
      </c>
      <c r="O1497" s="1">
        <f>Table1[[#This Row],[Losing Seed]]-Table1[[#This Row],[Winning Seed]]</f>
        <v>3</v>
      </c>
      <c r="P1497" s="1" t="str">
        <f>IF(Table1[[#This Row],[SeD]]&lt;-2,Table1[[#This Row],[Winning Seed]]&amp; " over " &amp;Table1[[#This Row],[Losing Seed]],"")</f>
        <v/>
      </c>
      <c r="Q1497">
        <f>VLOOKUP(Table1[[#This Row],[Losing Seed]],'Seed History'!$N$4:$O$19,2)</f>
        <v>1.0625</v>
      </c>
      <c r="R1497" s="1">
        <f>IF(Table1[[#This Row],[Round]]="PI",0,Table1[[#This Row],[Round]]-1)</f>
        <v>1</v>
      </c>
      <c r="S1497">
        <f>Table1[[#This Row],[LAW]]-Table1[[#This Row],[LEW]]</f>
        <v>-6.25E-2</v>
      </c>
    </row>
    <row r="1498" spans="1:19" x14ac:dyDescent="0.25">
      <c r="A1498" s="66">
        <v>39529</v>
      </c>
      <c r="B1498" s="51">
        <f>YEAR(Table1[[#This Row],[Date]])</f>
        <v>2008</v>
      </c>
      <c r="C1498" s="1">
        <v>2</v>
      </c>
      <c r="D1498" t="s">
        <v>63</v>
      </c>
      <c r="E1498" s="1">
        <v>5</v>
      </c>
      <c r="F1498" t="s">
        <v>271</v>
      </c>
      <c r="G1498" t="str">
        <f>VLOOKUP(Table1[[#This Row],[Winner]],Ranking!C:D,2,FALSE)</f>
        <v>B10</v>
      </c>
      <c r="H1498" s="1">
        <v>65</v>
      </c>
      <c r="I1498" s="1">
        <v>4</v>
      </c>
      <c r="J1498" t="s">
        <v>83</v>
      </c>
      <c r="K1498" t="str">
        <f>VLOOKUP(Table1[[#This Row],[Loser]],Ranking!C:D,2,FALSE)</f>
        <v>ACC</v>
      </c>
      <c r="L1498" s="1">
        <v>54</v>
      </c>
      <c r="N1498" s="1">
        <f>Table1[[#This Row],[Winning Score]]-Table1[[#This Row],[Losing Score]]</f>
        <v>11</v>
      </c>
      <c r="O1498" s="1">
        <f>Table1[[#This Row],[Losing Seed]]-Table1[[#This Row],[Winning Seed]]</f>
        <v>-1</v>
      </c>
      <c r="P1498" s="1" t="str">
        <f>IF(Table1[[#This Row],[SeD]]&lt;-2,Table1[[#This Row],[Winning Seed]]&amp; " over " &amp;Table1[[#This Row],[Losing Seed]],"")</f>
        <v/>
      </c>
      <c r="Q1498">
        <f>VLOOKUP(Table1[[#This Row],[Losing Seed]],'Seed History'!$N$4:$O$19,2)</f>
        <v>1.5208333333333333</v>
      </c>
      <c r="R1498" s="1">
        <f>IF(Table1[[#This Row],[Round]]="PI",0,Table1[[#This Row],[Round]]-1)</f>
        <v>1</v>
      </c>
      <c r="S1498">
        <f>Table1[[#This Row],[LAW]]-Table1[[#This Row],[LEW]]</f>
        <v>-0.52083333333333326</v>
      </c>
    </row>
    <row r="1499" spans="1:19" x14ac:dyDescent="0.25">
      <c r="A1499" s="66">
        <v>39530</v>
      </c>
      <c r="B1499" s="51">
        <f>YEAR(Table1[[#This Row],[Date]])</f>
        <v>2008</v>
      </c>
      <c r="C1499" s="1">
        <v>2</v>
      </c>
      <c r="D1499" t="s">
        <v>439</v>
      </c>
      <c r="E1499" s="1">
        <v>10</v>
      </c>
      <c r="F1499" t="s">
        <v>70</v>
      </c>
      <c r="G1499" t="str">
        <f>VLOOKUP(Table1[[#This Row],[Winner]],Ranking!C:D,2,FALSE)</f>
        <v>A10</v>
      </c>
      <c r="H1499" s="1">
        <v>74</v>
      </c>
      <c r="I1499" s="1">
        <v>2</v>
      </c>
      <c r="J1499" t="s">
        <v>66</v>
      </c>
      <c r="K1499" t="str">
        <f>VLOOKUP(Table1[[#This Row],[Loser]],Ranking!C:D,2,FALSE)</f>
        <v>BE</v>
      </c>
      <c r="L1499" s="1">
        <v>70</v>
      </c>
      <c r="N1499" s="1">
        <f>Table1[[#This Row],[Winning Score]]-Table1[[#This Row],[Losing Score]]</f>
        <v>4</v>
      </c>
      <c r="O1499" s="1">
        <f>Table1[[#This Row],[Losing Seed]]-Table1[[#This Row],[Winning Seed]]</f>
        <v>-8</v>
      </c>
      <c r="P1499" s="1" t="str">
        <f>IF(Table1[[#This Row],[SeD]]&lt;-2,Table1[[#This Row],[Winning Seed]]&amp; " over " &amp;Table1[[#This Row],[Losing Seed]],"")</f>
        <v>10 over 2</v>
      </c>
      <c r="Q1499">
        <f>VLOOKUP(Table1[[#This Row],[Losing Seed]],'Seed History'!$N$4:$O$19,2)</f>
        <v>2.3472222222222223</v>
      </c>
      <c r="R1499" s="1">
        <f>IF(Table1[[#This Row],[Round]]="PI",0,Table1[[#This Row],[Round]]-1)</f>
        <v>1</v>
      </c>
      <c r="S1499">
        <f>Table1[[#This Row],[LAW]]-Table1[[#This Row],[LEW]]</f>
        <v>-1.3472222222222223</v>
      </c>
    </row>
    <row r="1500" spans="1:19" x14ac:dyDescent="0.25">
      <c r="A1500" s="66">
        <v>39530</v>
      </c>
      <c r="B1500" s="51">
        <f>YEAR(Table1[[#This Row],[Date]])</f>
        <v>2008</v>
      </c>
      <c r="C1500" s="1">
        <v>2</v>
      </c>
      <c r="D1500" t="s">
        <v>49</v>
      </c>
      <c r="E1500" s="1">
        <v>1</v>
      </c>
      <c r="F1500" t="s">
        <v>298</v>
      </c>
      <c r="G1500" t="str">
        <f>VLOOKUP(Table1[[#This Row],[Winner]],Ranking!C:D,2,FALSE)</f>
        <v>ACC</v>
      </c>
      <c r="H1500" s="1">
        <v>108</v>
      </c>
      <c r="I1500" s="1">
        <v>9</v>
      </c>
      <c r="J1500" t="s">
        <v>41</v>
      </c>
      <c r="K1500" t="str">
        <f>VLOOKUP(Table1[[#This Row],[Loser]],Ranking!C:D,2,FALSE)</f>
        <v>SEC</v>
      </c>
      <c r="L1500" s="1">
        <v>77</v>
      </c>
      <c r="N1500" s="1">
        <f>Table1[[#This Row],[Winning Score]]-Table1[[#This Row],[Losing Score]]</f>
        <v>31</v>
      </c>
      <c r="O1500" s="1">
        <f>Table1[[#This Row],[Losing Seed]]-Table1[[#This Row],[Winning Seed]]</f>
        <v>8</v>
      </c>
      <c r="P1500" s="1" t="str">
        <f>IF(Table1[[#This Row],[SeD]]&lt;-2,Table1[[#This Row],[Winning Seed]]&amp; " over " &amp;Table1[[#This Row],[Losing Seed]],"")</f>
        <v/>
      </c>
      <c r="Q1500">
        <f>VLOOKUP(Table1[[#This Row],[Losing Seed]],'Seed History'!$N$4:$O$19,2)</f>
        <v>0.59027777777777779</v>
      </c>
      <c r="R1500" s="1">
        <f>IF(Table1[[#This Row],[Round]]="PI",0,Table1[[#This Row],[Round]]-1)</f>
        <v>1</v>
      </c>
      <c r="S1500">
        <f>Table1[[#This Row],[LAW]]-Table1[[#This Row],[LEW]]</f>
        <v>0.40972222222222221</v>
      </c>
    </row>
    <row r="1501" spans="1:19" x14ac:dyDescent="0.25">
      <c r="A1501" s="66">
        <v>39530</v>
      </c>
      <c r="B1501" s="51">
        <f>YEAR(Table1[[#This Row],[Date]])</f>
        <v>2008</v>
      </c>
      <c r="C1501" s="1">
        <v>2</v>
      </c>
      <c r="D1501" t="s">
        <v>49</v>
      </c>
      <c r="E1501" s="1">
        <v>2</v>
      </c>
      <c r="F1501" t="s">
        <v>374</v>
      </c>
      <c r="G1501" t="str">
        <f>VLOOKUP(Table1[[#This Row],[Winner]],Ranking!C:D,2,FALSE)</f>
        <v>SEC</v>
      </c>
      <c r="H1501" s="1">
        <v>76</v>
      </c>
      <c r="I1501" s="1">
        <v>7</v>
      </c>
      <c r="J1501" t="s">
        <v>33</v>
      </c>
      <c r="K1501" t="str">
        <f>VLOOKUP(Table1[[#This Row],[Loser]],Ranking!C:D,2,FALSE)</f>
        <v>BE</v>
      </c>
      <c r="L1501" s="1">
        <v>71</v>
      </c>
      <c r="M1501" s="1" t="s">
        <v>462</v>
      </c>
      <c r="N1501" s="1">
        <f>Table1[[#This Row],[Winning Score]]-Table1[[#This Row],[Losing Score]]</f>
        <v>5</v>
      </c>
      <c r="O1501" s="1">
        <f>Table1[[#This Row],[Losing Seed]]-Table1[[#This Row],[Winning Seed]]</f>
        <v>5</v>
      </c>
      <c r="P1501" s="1" t="str">
        <f>IF(Table1[[#This Row],[SeD]]&lt;-2,Table1[[#This Row],[Winning Seed]]&amp; " over " &amp;Table1[[#This Row],[Losing Seed]],"")</f>
        <v/>
      </c>
      <c r="Q1501">
        <f>VLOOKUP(Table1[[#This Row],[Losing Seed]],'Seed History'!$N$4:$O$19,2)</f>
        <v>0.90277777777777779</v>
      </c>
      <c r="R1501" s="1">
        <f>IF(Table1[[#This Row],[Round]]="PI",0,Table1[[#This Row],[Round]]-1)</f>
        <v>1</v>
      </c>
      <c r="S1501">
        <f>Table1[[#This Row],[LAW]]-Table1[[#This Row],[LEW]]</f>
        <v>9.722222222222221E-2</v>
      </c>
    </row>
    <row r="1502" spans="1:19" x14ac:dyDescent="0.25">
      <c r="A1502" s="66">
        <v>39530</v>
      </c>
      <c r="B1502" s="51">
        <f>YEAR(Table1[[#This Row],[Date]])</f>
        <v>2008</v>
      </c>
      <c r="C1502" s="1">
        <v>2</v>
      </c>
      <c r="D1502" t="s">
        <v>49</v>
      </c>
      <c r="E1502" s="1">
        <v>3</v>
      </c>
      <c r="F1502" t="s">
        <v>54</v>
      </c>
      <c r="G1502" t="str">
        <f>VLOOKUP(Table1[[#This Row],[Winner]],Ranking!C:D,2,FALSE)</f>
        <v>ACC</v>
      </c>
      <c r="H1502" s="1">
        <v>78</v>
      </c>
      <c r="I1502" s="1">
        <v>6</v>
      </c>
      <c r="J1502" t="s">
        <v>58</v>
      </c>
      <c r="K1502" t="str">
        <f>VLOOKUP(Table1[[#This Row],[Loser]],Ranking!C:D,2,FALSE)</f>
        <v>B12</v>
      </c>
      <c r="L1502" s="1">
        <v>48</v>
      </c>
      <c r="N1502" s="1">
        <f>Table1[[#This Row],[Winning Score]]-Table1[[#This Row],[Losing Score]]</f>
        <v>30</v>
      </c>
      <c r="O1502" s="1">
        <f>Table1[[#This Row],[Losing Seed]]-Table1[[#This Row],[Winning Seed]]</f>
        <v>3</v>
      </c>
      <c r="P1502" s="1" t="str">
        <f>IF(Table1[[#This Row],[SeD]]&lt;-2,Table1[[#This Row],[Winning Seed]]&amp; " over " &amp;Table1[[#This Row],[Losing Seed]],"")</f>
        <v/>
      </c>
      <c r="Q1502">
        <f>VLOOKUP(Table1[[#This Row],[Losing Seed]],'Seed History'!$N$4:$O$19,2)</f>
        <v>1.0625</v>
      </c>
      <c r="R1502" s="1">
        <f>IF(Table1[[#This Row],[Round]]="PI",0,Table1[[#This Row],[Round]]-1)</f>
        <v>1</v>
      </c>
      <c r="S1502">
        <f>Table1[[#This Row],[LAW]]-Table1[[#This Row],[LEW]]</f>
        <v>-6.25E-2</v>
      </c>
    </row>
    <row r="1503" spans="1:19" x14ac:dyDescent="0.25">
      <c r="A1503" s="66">
        <v>39530</v>
      </c>
      <c r="B1503" s="51">
        <f>YEAR(Table1[[#This Row],[Date]])</f>
        <v>2008</v>
      </c>
      <c r="C1503" s="1">
        <v>2</v>
      </c>
      <c r="D1503" t="s">
        <v>439</v>
      </c>
      <c r="E1503" s="1">
        <v>12</v>
      </c>
      <c r="F1503" t="s">
        <v>50</v>
      </c>
      <c r="G1503" t="str">
        <f>VLOOKUP(Table1[[#This Row],[Winner]],Ranking!C:D,2,FALSE)</f>
        <v>BE</v>
      </c>
      <c r="H1503" s="1">
        <v>84</v>
      </c>
      <c r="I1503" s="1">
        <v>13</v>
      </c>
      <c r="J1503" t="s">
        <v>350</v>
      </c>
      <c r="K1503" t="str">
        <f>VLOOKUP(Table1[[#This Row],[Loser]],Ranking!C:D,2,FALSE)</f>
        <v>MAAC</v>
      </c>
      <c r="L1503" s="1">
        <v>72</v>
      </c>
      <c r="N1503" s="1">
        <f>Table1[[#This Row],[Winning Score]]-Table1[[#This Row],[Losing Score]]</f>
        <v>12</v>
      </c>
      <c r="O1503" s="1">
        <f>Table1[[#This Row],[Losing Seed]]-Table1[[#This Row],[Winning Seed]]</f>
        <v>1</v>
      </c>
      <c r="P1503" s="1" t="str">
        <f>IF(Table1[[#This Row],[SeD]]&lt;-2,Table1[[#This Row],[Winning Seed]]&amp; " over " &amp;Table1[[#This Row],[Losing Seed]],"")</f>
        <v/>
      </c>
      <c r="Q1503">
        <f>VLOOKUP(Table1[[#This Row],[Losing Seed]],'Seed History'!$N$4:$O$19,2)</f>
        <v>0.25694444444444442</v>
      </c>
      <c r="R1503" s="1">
        <f>IF(Table1[[#This Row],[Round]]="PI",0,Table1[[#This Row],[Round]]-1)</f>
        <v>1</v>
      </c>
      <c r="S1503">
        <f>Table1[[#This Row],[LAW]]-Table1[[#This Row],[LEW]]</f>
        <v>0.74305555555555558</v>
      </c>
    </row>
    <row r="1504" spans="1:19" x14ac:dyDescent="0.25">
      <c r="A1504" s="66">
        <v>39530</v>
      </c>
      <c r="B1504" s="51">
        <f>YEAR(Table1[[#This Row],[Date]])</f>
        <v>2008</v>
      </c>
      <c r="C1504" s="1">
        <v>2</v>
      </c>
      <c r="D1504" t="s">
        <v>63</v>
      </c>
      <c r="E1504" s="1">
        <v>1</v>
      </c>
      <c r="F1504" t="s">
        <v>267</v>
      </c>
      <c r="G1504" t="str">
        <f>VLOOKUP(Table1[[#This Row],[Winner]],Ranking!C:D,2,FALSE)</f>
        <v>Amer</v>
      </c>
      <c r="H1504" s="1">
        <v>77</v>
      </c>
      <c r="I1504" s="1">
        <v>8</v>
      </c>
      <c r="J1504" t="s">
        <v>275</v>
      </c>
      <c r="K1504" t="str">
        <f>VLOOKUP(Table1[[#This Row],[Loser]],Ranking!C:D,2,FALSE)</f>
        <v>SEC</v>
      </c>
      <c r="L1504" s="1">
        <v>74</v>
      </c>
      <c r="N1504" s="1">
        <f>Table1[[#This Row],[Winning Score]]-Table1[[#This Row],[Losing Score]]</f>
        <v>3</v>
      </c>
      <c r="O1504" s="1">
        <f>Table1[[#This Row],[Losing Seed]]-Table1[[#This Row],[Winning Seed]]</f>
        <v>7</v>
      </c>
      <c r="P1504" s="1" t="str">
        <f>IF(Table1[[#This Row],[SeD]]&lt;-2,Table1[[#This Row],[Winning Seed]]&amp; " over " &amp;Table1[[#This Row],[Losing Seed]],"")</f>
        <v/>
      </c>
      <c r="Q1504">
        <f>VLOOKUP(Table1[[#This Row],[Losing Seed]],'Seed History'!$N$4:$O$19,2)</f>
        <v>0.70833333333333337</v>
      </c>
      <c r="R1504" s="1">
        <f>IF(Table1[[#This Row],[Round]]="PI",0,Table1[[#This Row],[Round]]-1)</f>
        <v>1</v>
      </c>
      <c r="S1504">
        <f>Table1[[#This Row],[LAW]]-Table1[[#This Row],[LEW]]</f>
        <v>0.29166666666666663</v>
      </c>
    </row>
    <row r="1505" spans="1:19" x14ac:dyDescent="0.25">
      <c r="A1505" s="66">
        <v>39530</v>
      </c>
      <c r="B1505" s="51">
        <f>YEAR(Table1[[#This Row],[Date]])</f>
        <v>2008</v>
      </c>
      <c r="C1505" s="1">
        <v>2</v>
      </c>
      <c r="D1505" t="s">
        <v>63</v>
      </c>
      <c r="E1505" s="1">
        <v>2</v>
      </c>
      <c r="F1505" t="s">
        <v>34</v>
      </c>
      <c r="G1505" t="str">
        <f>VLOOKUP(Table1[[#This Row],[Winner]],Ranking!C:D,2,FALSE)</f>
        <v>B12</v>
      </c>
      <c r="H1505" s="1">
        <v>75</v>
      </c>
      <c r="I1505" s="1">
        <v>7</v>
      </c>
      <c r="J1505" t="s">
        <v>269</v>
      </c>
      <c r="K1505" t="str">
        <f>VLOOKUP(Table1[[#This Row],[Loser]],Ranking!C:D,2,FALSE)</f>
        <v>ACC</v>
      </c>
      <c r="L1505" s="1">
        <v>72</v>
      </c>
      <c r="N1505" s="1">
        <f>Table1[[#This Row],[Winning Score]]-Table1[[#This Row],[Losing Score]]</f>
        <v>3</v>
      </c>
      <c r="O1505" s="1">
        <f>Table1[[#This Row],[Losing Seed]]-Table1[[#This Row],[Winning Seed]]</f>
        <v>5</v>
      </c>
      <c r="P1505" s="1" t="str">
        <f>IF(Table1[[#This Row],[SeD]]&lt;-2,Table1[[#This Row],[Winning Seed]]&amp; " over " &amp;Table1[[#This Row],[Losing Seed]],"")</f>
        <v/>
      </c>
      <c r="Q1505">
        <f>VLOOKUP(Table1[[#This Row],[Losing Seed]],'Seed History'!$N$4:$O$19,2)</f>
        <v>0.90277777777777779</v>
      </c>
      <c r="R1505" s="1">
        <f>IF(Table1[[#This Row],[Round]]="PI",0,Table1[[#This Row],[Round]]-1)</f>
        <v>1</v>
      </c>
      <c r="S1505">
        <f>Table1[[#This Row],[LAW]]-Table1[[#This Row],[LEW]]</f>
        <v>9.722222222222221E-2</v>
      </c>
    </row>
    <row r="1506" spans="1:19" x14ac:dyDescent="0.25">
      <c r="A1506" s="66">
        <v>39530</v>
      </c>
      <c r="B1506" s="51">
        <f>YEAR(Table1[[#This Row],[Date]])</f>
        <v>2008</v>
      </c>
      <c r="C1506" s="1">
        <v>2</v>
      </c>
      <c r="D1506" t="s">
        <v>38</v>
      </c>
      <c r="E1506" s="1">
        <v>12</v>
      </c>
      <c r="F1506" t="s">
        <v>415</v>
      </c>
      <c r="G1506" t="str">
        <f>VLOOKUP(Table1[[#This Row],[Winner]],Ranking!C:D,2,FALSE)</f>
        <v>CUSA</v>
      </c>
      <c r="H1506" s="1">
        <v>72</v>
      </c>
      <c r="I1506" s="1">
        <v>13</v>
      </c>
      <c r="J1506" t="s">
        <v>343</v>
      </c>
      <c r="K1506" t="str">
        <f>VLOOKUP(Table1[[#This Row],[Loser]],Ranking!C:D,2,FALSE)</f>
        <v>WCC</v>
      </c>
      <c r="L1506" s="1">
        <v>63</v>
      </c>
      <c r="N1506" s="1">
        <f>Table1[[#This Row],[Winning Score]]-Table1[[#This Row],[Losing Score]]</f>
        <v>9</v>
      </c>
      <c r="O1506" s="1">
        <f>Table1[[#This Row],[Losing Seed]]-Table1[[#This Row],[Winning Seed]]</f>
        <v>1</v>
      </c>
      <c r="P1506" s="1" t="str">
        <f>IF(Table1[[#This Row],[SeD]]&lt;-2,Table1[[#This Row],[Winning Seed]]&amp; " over " &amp;Table1[[#This Row],[Losing Seed]],"")</f>
        <v/>
      </c>
      <c r="Q1506">
        <f>VLOOKUP(Table1[[#This Row],[Losing Seed]],'Seed History'!$N$4:$O$19,2)</f>
        <v>0.25694444444444442</v>
      </c>
      <c r="R1506" s="1">
        <f>IF(Table1[[#This Row],[Round]]="PI",0,Table1[[#This Row],[Round]]-1)</f>
        <v>1</v>
      </c>
      <c r="S1506">
        <f>Table1[[#This Row],[LAW]]-Table1[[#This Row],[LEW]]</f>
        <v>0.74305555555555558</v>
      </c>
    </row>
    <row r="1507" spans="1:19" x14ac:dyDescent="0.25">
      <c r="A1507" s="66">
        <v>39534</v>
      </c>
      <c r="B1507" s="51">
        <f>YEAR(Table1[[#This Row],[Date]])</f>
        <v>2008</v>
      </c>
      <c r="C1507" s="1">
        <v>3</v>
      </c>
      <c r="D1507" t="s">
        <v>49</v>
      </c>
      <c r="E1507" s="1">
        <v>1</v>
      </c>
      <c r="F1507" t="s">
        <v>298</v>
      </c>
      <c r="G1507" t="str">
        <f>VLOOKUP(Table1[[#This Row],[Winner]],Ranking!C:D,2,FALSE)</f>
        <v>ACC</v>
      </c>
      <c r="H1507" s="1">
        <v>68</v>
      </c>
      <c r="I1507" s="1">
        <v>4</v>
      </c>
      <c r="J1507" t="s">
        <v>410</v>
      </c>
      <c r="K1507" t="str">
        <f>VLOOKUP(Table1[[#This Row],[Loser]],Ranking!C:D,2,FALSE)</f>
        <v>P12</v>
      </c>
      <c r="L1507" s="1">
        <v>47</v>
      </c>
      <c r="N1507" s="1">
        <f>Table1[[#This Row],[Winning Score]]-Table1[[#This Row],[Losing Score]]</f>
        <v>21</v>
      </c>
      <c r="O1507" s="1">
        <f>Table1[[#This Row],[Losing Seed]]-Table1[[#This Row],[Winning Seed]]</f>
        <v>3</v>
      </c>
      <c r="P1507" s="1" t="str">
        <f>IF(Table1[[#This Row],[SeD]]&lt;-2,Table1[[#This Row],[Winning Seed]]&amp; " over " &amp;Table1[[#This Row],[Losing Seed]],"")</f>
        <v/>
      </c>
      <c r="Q1507">
        <f>VLOOKUP(Table1[[#This Row],[Losing Seed]],'Seed History'!$N$4:$O$19,2)</f>
        <v>1.5208333333333333</v>
      </c>
      <c r="R1507" s="1">
        <f>IF(Table1[[#This Row],[Round]]="PI",0,Table1[[#This Row],[Round]]-1)</f>
        <v>2</v>
      </c>
      <c r="S1507">
        <f>Table1[[#This Row],[LAW]]-Table1[[#This Row],[LEW]]</f>
        <v>0.47916666666666674</v>
      </c>
    </row>
    <row r="1508" spans="1:19" x14ac:dyDescent="0.25">
      <c r="A1508" s="66">
        <v>39534</v>
      </c>
      <c r="B1508" s="51">
        <f>YEAR(Table1[[#This Row],[Date]])</f>
        <v>2008</v>
      </c>
      <c r="C1508" s="1">
        <v>3</v>
      </c>
      <c r="D1508" t="s">
        <v>38</v>
      </c>
      <c r="E1508" s="1">
        <v>1</v>
      </c>
      <c r="F1508" t="s">
        <v>67</v>
      </c>
      <c r="G1508" t="str">
        <f>VLOOKUP(Table1[[#This Row],[Winner]],Ranking!C:D,2,FALSE)</f>
        <v>P12</v>
      </c>
      <c r="H1508" s="1">
        <v>88</v>
      </c>
      <c r="I1508" s="1">
        <v>12</v>
      </c>
      <c r="J1508" t="s">
        <v>415</v>
      </c>
      <c r="K1508" t="str">
        <f>VLOOKUP(Table1[[#This Row],[Loser]],Ranking!C:D,2,FALSE)</f>
        <v>CUSA</v>
      </c>
      <c r="L1508" s="1">
        <v>78</v>
      </c>
      <c r="N1508" s="1">
        <f>Table1[[#This Row],[Winning Score]]-Table1[[#This Row],[Losing Score]]</f>
        <v>10</v>
      </c>
      <c r="O1508" s="1">
        <f>Table1[[#This Row],[Losing Seed]]-Table1[[#This Row],[Winning Seed]]</f>
        <v>11</v>
      </c>
      <c r="P1508" s="1" t="str">
        <f>IF(Table1[[#This Row],[SeD]]&lt;-2,Table1[[#This Row],[Winning Seed]]&amp; " over " &amp;Table1[[#This Row],[Losing Seed]],"")</f>
        <v/>
      </c>
      <c r="Q1508">
        <f>VLOOKUP(Table1[[#This Row],[Losing Seed]],'Seed History'!$N$4:$O$19,2)</f>
        <v>0.52083333333333337</v>
      </c>
      <c r="R1508" s="1">
        <f>IF(Table1[[#This Row],[Round]]="PI",0,Table1[[#This Row],[Round]]-1)</f>
        <v>2</v>
      </c>
      <c r="S1508">
        <f>Table1[[#This Row],[LAW]]-Table1[[#This Row],[LEW]]</f>
        <v>1.4791666666666665</v>
      </c>
    </row>
    <row r="1509" spans="1:19" x14ac:dyDescent="0.25">
      <c r="A1509" s="66">
        <v>39534</v>
      </c>
      <c r="B1509" s="51">
        <f>YEAR(Table1[[#This Row],[Date]])</f>
        <v>2008</v>
      </c>
      <c r="C1509" s="1">
        <v>3</v>
      </c>
      <c r="D1509" t="s">
        <v>38</v>
      </c>
      <c r="E1509" s="1">
        <v>3</v>
      </c>
      <c r="F1509" t="s">
        <v>44</v>
      </c>
      <c r="G1509" t="str">
        <f>VLOOKUP(Table1[[#This Row],[Winner]],Ranking!C:D,2,FALSE)</f>
        <v>BE</v>
      </c>
      <c r="H1509" s="1">
        <v>79</v>
      </c>
      <c r="I1509" s="1">
        <v>7</v>
      </c>
      <c r="J1509" t="s">
        <v>412</v>
      </c>
      <c r="K1509" t="str">
        <f>VLOOKUP(Table1[[#This Row],[Loser]],Ranking!C:D,2,FALSE)</f>
        <v>B12</v>
      </c>
      <c r="L1509" s="1">
        <v>75</v>
      </c>
      <c r="M1509" s="1" t="s">
        <v>462</v>
      </c>
      <c r="N1509" s="1">
        <f>Table1[[#This Row],[Winning Score]]-Table1[[#This Row],[Losing Score]]</f>
        <v>4</v>
      </c>
      <c r="O1509" s="1">
        <f>Table1[[#This Row],[Losing Seed]]-Table1[[#This Row],[Winning Seed]]</f>
        <v>4</v>
      </c>
      <c r="P1509" s="1" t="str">
        <f>IF(Table1[[#This Row],[SeD]]&lt;-2,Table1[[#This Row],[Winning Seed]]&amp; " over " &amp;Table1[[#This Row],[Losing Seed]],"")</f>
        <v/>
      </c>
      <c r="Q1509">
        <f>VLOOKUP(Table1[[#This Row],[Losing Seed]],'Seed History'!$N$4:$O$19,2)</f>
        <v>0.90277777777777779</v>
      </c>
      <c r="R1509" s="1">
        <f>IF(Table1[[#This Row],[Round]]="PI",0,Table1[[#This Row],[Round]]-1)</f>
        <v>2</v>
      </c>
      <c r="S1509">
        <f>Table1[[#This Row],[LAW]]-Table1[[#This Row],[LEW]]</f>
        <v>1.0972222222222223</v>
      </c>
    </row>
    <row r="1510" spans="1:19" x14ac:dyDescent="0.25">
      <c r="A1510" s="66">
        <v>39534</v>
      </c>
      <c r="B1510" s="51">
        <f>YEAR(Table1[[#This Row],[Date]])</f>
        <v>2008</v>
      </c>
      <c r="C1510" s="1">
        <v>3</v>
      </c>
      <c r="D1510" t="s">
        <v>49</v>
      </c>
      <c r="E1510" s="1">
        <v>3</v>
      </c>
      <c r="F1510" t="s">
        <v>54</v>
      </c>
      <c r="G1510" t="str">
        <f>VLOOKUP(Table1[[#This Row],[Winner]],Ranking!C:D,2,FALSE)</f>
        <v>ACC</v>
      </c>
      <c r="H1510" s="1">
        <v>79</v>
      </c>
      <c r="I1510" s="1">
        <v>2</v>
      </c>
      <c r="J1510" t="s">
        <v>374</v>
      </c>
      <c r="K1510" t="str">
        <f>VLOOKUP(Table1[[#This Row],[Loser]],Ranking!C:D,2,FALSE)</f>
        <v>SEC</v>
      </c>
      <c r="L1510" s="1">
        <v>60</v>
      </c>
      <c r="N1510" s="1">
        <f>Table1[[#This Row],[Winning Score]]-Table1[[#This Row],[Losing Score]]</f>
        <v>19</v>
      </c>
      <c r="O1510" s="1">
        <f>Table1[[#This Row],[Losing Seed]]-Table1[[#This Row],[Winning Seed]]</f>
        <v>-1</v>
      </c>
      <c r="P1510" s="1" t="str">
        <f>IF(Table1[[#This Row],[SeD]]&lt;-2,Table1[[#This Row],[Winning Seed]]&amp; " over " &amp;Table1[[#This Row],[Losing Seed]],"")</f>
        <v/>
      </c>
      <c r="Q1510">
        <f>VLOOKUP(Table1[[#This Row],[Losing Seed]],'Seed History'!$N$4:$O$19,2)</f>
        <v>2.3472222222222223</v>
      </c>
      <c r="R1510" s="1">
        <f>IF(Table1[[#This Row],[Round]]="PI",0,Table1[[#This Row],[Round]]-1)</f>
        <v>2</v>
      </c>
      <c r="S1510">
        <f>Table1[[#This Row],[LAW]]-Table1[[#This Row],[LEW]]</f>
        <v>-0.34722222222222232</v>
      </c>
    </row>
    <row r="1511" spans="1:19" x14ac:dyDescent="0.25">
      <c r="A1511" s="66">
        <v>39535</v>
      </c>
      <c r="B1511" s="51">
        <f>YEAR(Table1[[#This Row],[Date]])</f>
        <v>2008</v>
      </c>
      <c r="C1511" s="1">
        <v>3</v>
      </c>
      <c r="D1511" t="s">
        <v>439</v>
      </c>
      <c r="E1511" s="1">
        <v>10</v>
      </c>
      <c r="F1511" t="s">
        <v>70</v>
      </c>
      <c r="G1511" t="str">
        <f>VLOOKUP(Table1[[#This Row],[Winner]],Ranking!C:D,2,FALSE)</f>
        <v>A10</v>
      </c>
      <c r="H1511" s="1">
        <v>73</v>
      </c>
      <c r="I1511" s="1">
        <v>3</v>
      </c>
      <c r="J1511" t="s">
        <v>39</v>
      </c>
      <c r="K1511" t="str">
        <f>VLOOKUP(Table1[[#This Row],[Loser]],Ranking!C:D,2,FALSE)</f>
        <v>B10</v>
      </c>
      <c r="L1511" s="1">
        <v>56</v>
      </c>
      <c r="N1511" s="1">
        <f>Table1[[#This Row],[Winning Score]]-Table1[[#This Row],[Losing Score]]</f>
        <v>17</v>
      </c>
      <c r="O1511" s="1">
        <f>Table1[[#This Row],[Losing Seed]]-Table1[[#This Row],[Winning Seed]]</f>
        <v>-7</v>
      </c>
      <c r="P1511" s="1" t="str">
        <f>IF(Table1[[#This Row],[SeD]]&lt;-2,Table1[[#This Row],[Winning Seed]]&amp; " over " &amp;Table1[[#This Row],[Losing Seed]],"")</f>
        <v>10 over 3</v>
      </c>
      <c r="Q1511">
        <f>VLOOKUP(Table1[[#This Row],[Losing Seed]],'Seed History'!$N$4:$O$19,2)</f>
        <v>1.8472222222222223</v>
      </c>
      <c r="R1511" s="1">
        <f>IF(Table1[[#This Row],[Round]]="PI",0,Table1[[#This Row],[Round]]-1)</f>
        <v>2</v>
      </c>
      <c r="S1511">
        <f>Table1[[#This Row],[LAW]]-Table1[[#This Row],[LEW]]</f>
        <v>0.15277777777777768</v>
      </c>
    </row>
    <row r="1512" spans="1:19" x14ac:dyDescent="0.25">
      <c r="A1512" s="66">
        <v>39535</v>
      </c>
      <c r="B1512" s="51">
        <f>YEAR(Table1[[#This Row],[Date]])</f>
        <v>2008</v>
      </c>
      <c r="C1512" s="1">
        <v>3</v>
      </c>
      <c r="D1512" t="s">
        <v>439</v>
      </c>
      <c r="E1512" s="1">
        <v>1</v>
      </c>
      <c r="F1512" t="s">
        <v>37</v>
      </c>
      <c r="G1512" t="str">
        <f>VLOOKUP(Table1[[#This Row],[Winner]],Ranking!C:D,2,FALSE)</f>
        <v>B12</v>
      </c>
      <c r="H1512" s="1">
        <v>72</v>
      </c>
      <c r="I1512" s="1">
        <v>12</v>
      </c>
      <c r="J1512" t="s">
        <v>50</v>
      </c>
      <c r="K1512" t="str">
        <f>VLOOKUP(Table1[[#This Row],[Loser]],Ranking!C:D,2,FALSE)</f>
        <v>BE</v>
      </c>
      <c r="L1512" s="1">
        <v>57</v>
      </c>
      <c r="N1512" s="1">
        <f>Table1[[#This Row],[Winning Score]]-Table1[[#This Row],[Losing Score]]</f>
        <v>15</v>
      </c>
      <c r="O1512" s="1">
        <f>Table1[[#This Row],[Losing Seed]]-Table1[[#This Row],[Winning Seed]]</f>
        <v>11</v>
      </c>
      <c r="P1512" s="1" t="str">
        <f>IF(Table1[[#This Row],[SeD]]&lt;-2,Table1[[#This Row],[Winning Seed]]&amp; " over " &amp;Table1[[#This Row],[Losing Seed]],"")</f>
        <v/>
      </c>
      <c r="Q1512">
        <f>VLOOKUP(Table1[[#This Row],[Losing Seed]],'Seed History'!$N$4:$O$19,2)</f>
        <v>0.52083333333333337</v>
      </c>
      <c r="R1512" s="1">
        <f>IF(Table1[[#This Row],[Round]]="PI",0,Table1[[#This Row],[Round]]-1)</f>
        <v>2</v>
      </c>
      <c r="S1512">
        <f>Table1[[#This Row],[LAW]]-Table1[[#This Row],[LEW]]</f>
        <v>1.4791666666666665</v>
      </c>
    </row>
    <row r="1513" spans="1:19" x14ac:dyDescent="0.25">
      <c r="A1513" s="66">
        <v>39535</v>
      </c>
      <c r="B1513" s="51">
        <f>YEAR(Table1[[#This Row],[Date]])</f>
        <v>2008</v>
      </c>
      <c r="C1513" s="1">
        <v>3</v>
      </c>
      <c r="D1513" t="s">
        <v>63</v>
      </c>
      <c r="E1513" s="1">
        <v>1</v>
      </c>
      <c r="F1513" t="s">
        <v>267</v>
      </c>
      <c r="G1513" t="str">
        <f>VLOOKUP(Table1[[#This Row],[Winner]],Ranking!C:D,2,FALSE)</f>
        <v>Amer</v>
      </c>
      <c r="H1513" s="1">
        <v>92</v>
      </c>
      <c r="I1513" s="1">
        <v>5</v>
      </c>
      <c r="J1513" t="s">
        <v>271</v>
      </c>
      <c r="K1513" t="str">
        <f>VLOOKUP(Table1[[#This Row],[Loser]],Ranking!C:D,2,FALSE)</f>
        <v>B10</v>
      </c>
      <c r="L1513" s="1">
        <v>74</v>
      </c>
      <c r="N1513" s="1">
        <f>Table1[[#This Row],[Winning Score]]-Table1[[#This Row],[Losing Score]]</f>
        <v>18</v>
      </c>
      <c r="O1513" s="1">
        <f>Table1[[#This Row],[Losing Seed]]-Table1[[#This Row],[Winning Seed]]</f>
        <v>4</v>
      </c>
      <c r="P1513" s="1" t="str">
        <f>IF(Table1[[#This Row],[SeD]]&lt;-2,Table1[[#This Row],[Winning Seed]]&amp; " over " &amp;Table1[[#This Row],[Losing Seed]],"")</f>
        <v/>
      </c>
      <c r="Q1513">
        <f>VLOOKUP(Table1[[#This Row],[Losing Seed]],'Seed History'!$N$4:$O$19,2)</f>
        <v>1.1180555555555556</v>
      </c>
      <c r="R1513" s="1">
        <f>IF(Table1[[#This Row],[Round]]="PI",0,Table1[[#This Row],[Round]]-1)</f>
        <v>2</v>
      </c>
      <c r="S1513">
        <f>Table1[[#This Row],[LAW]]-Table1[[#This Row],[LEW]]</f>
        <v>0.88194444444444442</v>
      </c>
    </row>
    <row r="1514" spans="1:19" x14ac:dyDescent="0.25">
      <c r="A1514" s="66">
        <v>39535</v>
      </c>
      <c r="B1514" s="51">
        <f>YEAR(Table1[[#This Row],[Date]])</f>
        <v>2008</v>
      </c>
      <c r="C1514" s="1">
        <v>3</v>
      </c>
      <c r="D1514" t="s">
        <v>63</v>
      </c>
      <c r="E1514" s="1">
        <v>2</v>
      </c>
      <c r="F1514" t="s">
        <v>34</v>
      </c>
      <c r="G1514" t="str">
        <f>VLOOKUP(Table1[[#This Row],[Winner]],Ranking!C:D,2,FALSE)</f>
        <v>B12</v>
      </c>
      <c r="H1514" s="1">
        <v>82</v>
      </c>
      <c r="I1514" s="1">
        <v>3</v>
      </c>
      <c r="J1514" t="s">
        <v>369</v>
      </c>
      <c r="K1514" t="str">
        <f>VLOOKUP(Table1[[#This Row],[Loser]],Ranking!C:D,2,FALSE)</f>
        <v>P12</v>
      </c>
      <c r="L1514" s="1">
        <v>62</v>
      </c>
      <c r="N1514" s="1">
        <f>Table1[[#This Row],[Winning Score]]-Table1[[#This Row],[Losing Score]]</f>
        <v>20</v>
      </c>
      <c r="O1514" s="1">
        <f>Table1[[#This Row],[Losing Seed]]-Table1[[#This Row],[Winning Seed]]</f>
        <v>1</v>
      </c>
      <c r="P1514" s="1" t="str">
        <f>IF(Table1[[#This Row],[SeD]]&lt;-2,Table1[[#This Row],[Winning Seed]]&amp; " over " &amp;Table1[[#This Row],[Losing Seed]],"")</f>
        <v/>
      </c>
      <c r="Q1514">
        <f>VLOOKUP(Table1[[#This Row],[Losing Seed]],'Seed History'!$N$4:$O$19,2)</f>
        <v>1.8472222222222223</v>
      </c>
      <c r="R1514" s="1">
        <f>IF(Table1[[#This Row],[Round]]="PI",0,Table1[[#This Row],[Round]]-1)</f>
        <v>2</v>
      </c>
      <c r="S1514">
        <f>Table1[[#This Row],[LAW]]-Table1[[#This Row],[LEW]]</f>
        <v>0.15277777777777768</v>
      </c>
    </row>
    <row r="1515" spans="1:19" x14ac:dyDescent="0.25">
      <c r="A1515" s="66">
        <v>39536</v>
      </c>
      <c r="B1515" s="51">
        <f>YEAR(Table1[[#This Row],[Date]])</f>
        <v>2008</v>
      </c>
      <c r="C1515" s="1">
        <v>4</v>
      </c>
      <c r="D1515" t="s">
        <v>49</v>
      </c>
      <c r="E1515" s="1">
        <v>1</v>
      </c>
      <c r="F1515" t="s">
        <v>298</v>
      </c>
      <c r="G1515" t="str">
        <f>VLOOKUP(Table1[[#This Row],[Winner]],Ranking!C:D,2,FALSE)</f>
        <v>ACC</v>
      </c>
      <c r="H1515" s="1">
        <v>83</v>
      </c>
      <c r="I1515" s="1">
        <v>3</v>
      </c>
      <c r="J1515" t="s">
        <v>54</v>
      </c>
      <c r="K1515" t="str">
        <f>VLOOKUP(Table1[[#This Row],[Loser]],Ranking!C:D,2,FALSE)</f>
        <v>ACC</v>
      </c>
      <c r="L1515" s="1">
        <v>73</v>
      </c>
      <c r="N1515" s="1">
        <f>Table1[[#This Row],[Winning Score]]-Table1[[#This Row],[Losing Score]]</f>
        <v>10</v>
      </c>
      <c r="O1515" s="1">
        <f>Table1[[#This Row],[Losing Seed]]-Table1[[#This Row],[Winning Seed]]</f>
        <v>2</v>
      </c>
      <c r="P1515" s="1" t="str">
        <f>IF(Table1[[#This Row],[SeD]]&lt;-2,Table1[[#This Row],[Winning Seed]]&amp; " over " &amp;Table1[[#This Row],[Losing Seed]],"")</f>
        <v/>
      </c>
      <c r="Q1515">
        <f>VLOOKUP(Table1[[#This Row],[Losing Seed]],'Seed History'!$N$4:$O$19,2)</f>
        <v>1.8472222222222223</v>
      </c>
      <c r="R1515" s="1">
        <f>IF(Table1[[#This Row],[Round]]="PI",0,Table1[[#This Row],[Round]]-1)</f>
        <v>3</v>
      </c>
      <c r="S1515">
        <f>Table1[[#This Row],[LAW]]-Table1[[#This Row],[LEW]]</f>
        <v>1.1527777777777777</v>
      </c>
    </row>
    <row r="1516" spans="1:19" x14ac:dyDescent="0.25">
      <c r="A1516" s="66">
        <v>39536</v>
      </c>
      <c r="B1516" s="51">
        <f>YEAR(Table1[[#This Row],[Date]])</f>
        <v>2008</v>
      </c>
      <c r="C1516" s="1">
        <v>4</v>
      </c>
      <c r="D1516" t="s">
        <v>38</v>
      </c>
      <c r="E1516" s="1">
        <v>1</v>
      </c>
      <c r="F1516" t="s">
        <v>67</v>
      </c>
      <c r="G1516" t="str">
        <f>VLOOKUP(Table1[[#This Row],[Winner]],Ranking!C:D,2,FALSE)</f>
        <v>P12</v>
      </c>
      <c r="H1516" s="1">
        <v>76</v>
      </c>
      <c r="I1516" s="1">
        <v>3</v>
      </c>
      <c r="J1516" t="s">
        <v>44</v>
      </c>
      <c r="K1516" t="str">
        <f>VLOOKUP(Table1[[#This Row],[Loser]],Ranking!C:D,2,FALSE)</f>
        <v>BE</v>
      </c>
      <c r="L1516" s="1">
        <v>57</v>
      </c>
      <c r="N1516" s="1">
        <f>Table1[[#This Row],[Winning Score]]-Table1[[#This Row],[Losing Score]]</f>
        <v>19</v>
      </c>
      <c r="O1516" s="1">
        <f>Table1[[#This Row],[Losing Seed]]-Table1[[#This Row],[Winning Seed]]</f>
        <v>2</v>
      </c>
      <c r="P1516" s="1" t="str">
        <f>IF(Table1[[#This Row],[SeD]]&lt;-2,Table1[[#This Row],[Winning Seed]]&amp; " over " &amp;Table1[[#This Row],[Losing Seed]],"")</f>
        <v/>
      </c>
      <c r="Q1516">
        <f>VLOOKUP(Table1[[#This Row],[Losing Seed]],'Seed History'!$N$4:$O$19,2)</f>
        <v>1.8472222222222223</v>
      </c>
      <c r="R1516" s="1">
        <f>IF(Table1[[#This Row],[Round]]="PI",0,Table1[[#This Row],[Round]]-1)</f>
        <v>3</v>
      </c>
      <c r="S1516">
        <f>Table1[[#This Row],[LAW]]-Table1[[#This Row],[LEW]]</f>
        <v>1.1527777777777777</v>
      </c>
    </row>
    <row r="1517" spans="1:19" x14ac:dyDescent="0.25">
      <c r="A1517" s="66">
        <v>39537</v>
      </c>
      <c r="B1517" s="51">
        <f>YEAR(Table1[[#This Row],[Date]])</f>
        <v>2008</v>
      </c>
      <c r="C1517" s="1">
        <v>4</v>
      </c>
      <c r="D1517" t="s">
        <v>439</v>
      </c>
      <c r="E1517" s="1">
        <v>1</v>
      </c>
      <c r="F1517" t="s">
        <v>37</v>
      </c>
      <c r="G1517" t="str">
        <f>VLOOKUP(Table1[[#This Row],[Winner]],Ranking!C:D,2,FALSE)</f>
        <v>B12</v>
      </c>
      <c r="H1517" s="1">
        <v>59</v>
      </c>
      <c r="I1517" s="1">
        <v>10</v>
      </c>
      <c r="J1517" t="s">
        <v>70</v>
      </c>
      <c r="K1517" t="str">
        <f>VLOOKUP(Table1[[#This Row],[Loser]],Ranking!C:D,2,FALSE)</f>
        <v>A10</v>
      </c>
      <c r="L1517" s="1">
        <v>57</v>
      </c>
      <c r="N1517" s="1">
        <f>Table1[[#This Row],[Winning Score]]-Table1[[#This Row],[Losing Score]]</f>
        <v>2</v>
      </c>
      <c r="O1517" s="1">
        <f>Table1[[#This Row],[Losing Seed]]-Table1[[#This Row],[Winning Seed]]</f>
        <v>9</v>
      </c>
      <c r="P1517" s="1" t="str">
        <f>IF(Table1[[#This Row],[SeD]]&lt;-2,Table1[[#This Row],[Winning Seed]]&amp; " over " &amp;Table1[[#This Row],[Losing Seed]],"")</f>
        <v/>
      </c>
      <c r="Q1517">
        <f>VLOOKUP(Table1[[#This Row],[Losing Seed]],'Seed History'!$N$4:$O$19,2)</f>
        <v>0.61805555555555558</v>
      </c>
      <c r="R1517" s="1">
        <f>IF(Table1[[#This Row],[Round]]="PI",0,Table1[[#This Row],[Round]]-1)</f>
        <v>3</v>
      </c>
      <c r="S1517">
        <f>Table1[[#This Row],[LAW]]-Table1[[#This Row],[LEW]]</f>
        <v>2.3819444444444446</v>
      </c>
    </row>
    <row r="1518" spans="1:19" x14ac:dyDescent="0.25">
      <c r="A1518" s="66">
        <v>39537</v>
      </c>
      <c r="B1518" s="51">
        <f>YEAR(Table1[[#This Row],[Date]])</f>
        <v>2008</v>
      </c>
      <c r="C1518" s="1">
        <v>4</v>
      </c>
      <c r="D1518" t="s">
        <v>63</v>
      </c>
      <c r="E1518" s="1">
        <v>1</v>
      </c>
      <c r="F1518" t="s">
        <v>267</v>
      </c>
      <c r="G1518" t="str">
        <f>VLOOKUP(Table1[[#This Row],[Winner]],Ranking!C:D,2,FALSE)</f>
        <v>Amer</v>
      </c>
      <c r="H1518" s="1">
        <v>85</v>
      </c>
      <c r="I1518" s="1">
        <v>2</v>
      </c>
      <c r="J1518" t="s">
        <v>34</v>
      </c>
      <c r="K1518" t="str">
        <f>VLOOKUP(Table1[[#This Row],[Loser]],Ranking!C:D,2,FALSE)</f>
        <v>B12</v>
      </c>
      <c r="L1518" s="1">
        <v>67</v>
      </c>
      <c r="N1518" s="1">
        <f>Table1[[#This Row],[Winning Score]]-Table1[[#This Row],[Losing Score]]</f>
        <v>18</v>
      </c>
      <c r="O1518" s="1">
        <f>Table1[[#This Row],[Losing Seed]]-Table1[[#This Row],[Winning Seed]]</f>
        <v>1</v>
      </c>
      <c r="P1518" s="1" t="str">
        <f>IF(Table1[[#This Row],[SeD]]&lt;-2,Table1[[#This Row],[Winning Seed]]&amp; " over " &amp;Table1[[#This Row],[Losing Seed]],"")</f>
        <v/>
      </c>
      <c r="Q1518">
        <f>VLOOKUP(Table1[[#This Row],[Losing Seed]],'Seed History'!$N$4:$O$19,2)</f>
        <v>2.3472222222222223</v>
      </c>
      <c r="R1518" s="1">
        <f>IF(Table1[[#This Row],[Round]]="PI",0,Table1[[#This Row],[Round]]-1)</f>
        <v>3</v>
      </c>
      <c r="S1518">
        <f>Table1[[#This Row],[LAW]]-Table1[[#This Row],[LEW]]</f>
        <v>0.65277777777777768</v>
      </c>
    </row>
    <row r="1519" spans="1:19" x14ac:dyDescent="0.25">
      <c r="A1519" s="66">
        <v>39543</v>
      </c>
      <c r="B1519" s="51">
        <f>YEAR(Table1[[#This Row],[Date]])</f>
        <v>2008</v>
      </c>
      <c r="C1519" s="1">
        <v>5</v>
      </c>
      <c r="D1519" t="s">
        <v>467</v>
      </c>
      <c r="E1519" s="1">
        <v>1</v>
      </c>
      <c r="F1519" t="s">
        <v>37</v>
      </c>
      <c r="G1519" t="str">
        <f>VLOOKUP(Table1[[#This Row],[Winner]],Ranking!C:D,2,FALSE)</f>
        <v>B12</v>
      </c>
      <c r="H1519" s="1">
        <v>84</v>
      </c>
      <c r="I1519" s="1">
        <v>1</v>
      </c>
      <c r="J1519" t="s">
        <v>298</v>
      </c>
      <c r="K1519" t="str">
        <f>VLOOKUP(Table1[[#This Row],[Loser]],Ranking!C:D,2,FALSE)</f>
        <v>ACC</v>
      </c>
      <c r="L1519" s="1">
        <v>66</v>
      </c>
      <c r="N1519" s="1">
        <f>Table1[[#This Row],[Winning Score]]-Table1[[#This Row],[Losing Score]]</f>
        <v>18</v>
      </c>
      <c r="O1519" s="1">
        <f>Table1[[#This Row],[Losing Seed]]-Table1[[#This Row],[Winning Seed]]</f>
        <v>0</v>
      </c>
      <c r="P1519" s="1" t="str">
        <f>IF(Table1[[#This Row],[SeD]]&lt;-2,Table1[[#This Row],[Winning Seed]]&amp; " over " &amp;Table1[[#This Row],[Losing Seed]],"")</f>
        <v/>
      </c>
      <c r="Q1519">
        <f>VLOOKUP(Table1[[#This Row],[Losing Seed]],'Seed History'!$N$4:$O$19,2)</f>
        <v>3.3263888888888888</v>
      </c>
      <c r="R1519" s="1">
        <f>IF(Table1[[#This Row],[Round]]="PI",0,Table1[[#This Row],[Round]]-1)</f>
        <v>4</v>
      </c>
      <c r="S1519">
        <f>Table1[[#This Row],[LAW]]-Table1[[#This Row],[LEW]]</f>
        <v>0.67361111111111116</v>
      </c>
    </row>
    <row r="1520" spans="1:19" x14ac:dyDescent="0.25">
      <c r="A1520" s="66">
        <v>39543</v>
      </c>
      <c r="B1520" s="51">
        <f>YEAR(Table1[[#This Row],[Date]])</f>
        <v>2008</v>
      </c>
      <c r="C1520" s="1">
        <v>5</v>
      </c>
      <c r="D1520" t="s">
        <v>467</v>
      </c>
      <c r="E1520" s="1">
        <v>1</v>
      </c>
      <c r="F1520" t="s">
        <v>267</v>
      </c>
      <c r="G1520" t="str">
        <f>VLOOKUP(Table1[[#This Row],[Winner]],Ranking!C:D,2,FALSE)</f>
        <v>Amer</v>
      </c>
      <c r="H1520" s="1">
        <v>78</v>
      </c>
      <c r="I1520" s="1">
        <v>1</v>
      </c>
      <c r="J1520" t="s">
        <v>67</v>
      </c>
      <c r="K1520" t="str">
        <f>VLOOKUP(Table1[[#This Row],[Loser]],Ranking!C:D,2,FALSE)</f>
        <v>P12</v>
      </c>
      <c r="L1520" s="1">
        <v>63</v>
      </c>
      <c r="N1520" s="1">
        <f>Table1[[#This Row],[Winning Score]]-Table1[[#This Row],[Losing Score]]</f>
        <v>15</v>
      </c>
      <c r="O1520" s="1">
        <f>Table1[[#This Row],[Losing Seed]]-Table1[[#This Row],[Winning Seed]]</f>
        <v>0</v>
      </c>
      <c r="P1520" s="1" t="str">
        <f>IF(Table1[[#This Row],[SeD]]&lt;-2,Table1[[#This Row],[Winning Seed]]&amp; " over " &amp;Table1[[#This Row],[Losing Seed]],"")</f>
        <v/>
      </c>
      <c r="Q1520">
        <f>VLOOKUP(Table1[[#This Row],[Losing Seed]],'Seed History'!$N$4:$O$19,2)</f>
        <v>3.3263888888888888</v>
      </c>
      <c r="R1520" s="1">
        <f>IF(Table1[[#This Row],[Round]]="PI",0,Table1[[#This Row],[Round]]-1)</f>
        <v>4</v>
      </c>
      <c r="S1520">
        <f>Table1[[#This Row],[LAW]]-Table1[[#This Row],[LEW]]</f>
        <v>0.67361111111111116</v>
      </c>
    </row>
    <row r="1521" spans="1:19" x14ac:dyDescent="0.25">
      <c r="A1521" s="66">
        <v>39545</v>
      </c>
      <c r="B1521" s="51">
        <f>YEAR(Table1[[#This Row],[Date]])</f>
        <v>2008</v>
      </c>
      <c r="C1521" s="1">
        <v>6</v>
      </c>
      <c r="D1521" t="s">
        <v>468</v>
      </c>
      <c r="E1521" s="1">
        <v>1</v>
      </c>
      <c r="F1521" t="s">
        <v>37</v>
      </c>
      <c r="G1521" t="str">
        <f>VLOOKUP(Table1[[#This Row],[Winner]],Ranking!C:D,2,FALSE)</f>
        <v>B12</v>
      </c>
      <c r="H1521" s="1">
        <v>75</v>
      </c>
      <c r="I1521" s="1">
        <v>1</v>
      </c>
      <c r="J1521" t="s">
        <v>267</v>
      </c>
      <c r="K1521" t="str">
        <f>VLOOKUP(Table1[[#This Row],[Loser]],Ranking!C:D,2,FALSE)</f>
        <v>Amer</v>
      </c>
      <c r="L1521" s="1">
        <v>68</v>
      </c>
      <c r="M1521" s="1" t="s">
        <v>462</v>
      </c>
      <c r="N1521" s="1">
        <f>Table1[[#This Row],[Winning Score]]-Table1[[#This Row],[Losing Score]]</f>
        <v>7</v>
      </c>
      <c r="O1521" s="1">
        <f>Table1[[#This Row],[Losing Seed]]-Table1[[#This Row],[Winning Seed]]</f>
        <v>0</v>
      </c>
      <c r="P1521" s="1" t="str">
        <f>IF(Table1[[#This Row],[SeD]]&lt;-2,Table1[[#This Row],[Winning Seed]]&amp; " over " &amp;Table1[[#This Row],[Losing Seed]],"")</f>
        <v/>
      </c>
      <c r="Q1521">
        <f>VLOOKUP(Table1[[#This Row],[Losing Seed]],'Seed History'!$N$4:$O$19,2)</f>
        <v>3.3263888888888888</v>
      </c>
      <c r="R1521" s="1">
        <f>IF(Table1[[#This Row],[Round]]="PI",0,Table1[[#This Row],[Round]]-1)</f>
        <v>5</v>
      </c>
      <c r="S1521">
        <f>Table1[[#This Row],[LAW]]-Table1[[#This Row],[LEW]]</f>
        <v>1.6736111111111112</v>
      </c>
    </row>
    <row r="1522" spans="1:19" x14ac:dyDescent="0.25">
      <c r="A1522" s="66">
        <v>39889</v>
      </c>
      <c r="B1522" s="51">
        <f>YEAR(Table1[[#This Row],[Date]])</f>
        <v>2009</v>
      </c>
      <c r="C1522" s="1" t="s">
        <v>476</v>
      </c>
      <c r="D1522" t="s">
        <v>439</v>
      </c>
      <c r="E1522" s="1">
        <v>16</v>
      </c>
      <c r="F1522" t="s">
        <v>282</v>
      </c>
      <c r="G1522" t="str">
        <f>VLOOKUP(Table1[[#This Row],[Winner]],Ranking!C:D,2,FALSE)</f>
        <v>OVC</v>
      </c>
      <c r="H1522" s="1">
        <v>58</v>
      </c>
      <c r="I1522" s="1">
        <v>16</v>
      </c>
      <c r="J1522" t="s">
        <v>117</v>
      </c>
      <c r="K1522" t="str">
        <f>VLOOKUP(Table1[[#This Row],[Loser]],Ranking!C:D,2,FALSE)</f>
        <v>SWAC</v>
      </c>
      <c r="L1522" s="1">
        <v>43</v>
      </c>
      <c r="N1522" s="1">
        <f>Table1[[#This Row],[Winning Score]]-Table1[[#This Row],[Losing Score]]</f>
        <v>15</v>
      </c>
      <c r="O1522" s="1">
        <f>Table1[[#This Row],[Losing Seed]]-Table1[[#This Row],[Winning Seed]]</f>
        <v>0</v>
      </c>
      <c r="P1522" s="1" t="str">
        <f>IF(Table1[[#This Row],[SeD]]&lt;-2,Table1[[#This Row],[Winning Seed]]&amp; " over " &amp;Table1[[#This Row],[Losing Seed]],"")</f>
        <v/>
      </c>
      <c r="Q1522">
        <f>VLOOKUP(Table1[[#This Row],[Losing Seed]],'Seed History'!$N$4:$O$19,2)</f>
        <v>6.9444444444444441E-3</v>
      </c>
      <c r="R1522" s="1">
        <f>IF(Table1[[#This Row],[Round]]="PI",0,Table1[[#This Row],[Round]]-1)</f>
        <v>0</v>
      </c>
      <c r="S1522">
        <f>Table1[[#This Row],[LAW]]-Table1[[#This Row],[LEW]]</f>
        <v>-6.9444444444444441E-3</v>
      </c>
    </row>
    <row r="1523" spans="1:19" x14ac:dyDescent="0.25">
      <c r="A1523" s="66">
        <v>39891</v>
      </c>
      <c r="B1523" s="51">
        <f>YEAR(Table1[[#This Row],[Date]])</f>
        <v>2009</v>
      </c>
      <c r="C1523" s="1">
        <v>1</v>
      </c>
      <c r="D1523" t="s">
        <v>63</v>
      </c>
      <c r="E1523" s="1">
        <v>12</v>
      </c>
      <c r="F1523" t="s">
        <v>415</v>
      </c>
      <c r="G1523" t="str">
        <f>VLOOKUP(Table1[[#This Row],[Winner]],Ranking!C:D,2,FALSE)</f>
        <v>CUSA</v>
      </c>
      <c r="H1523" s="1">
        <v>76</v>
      </c>
      <c r="I1523" s="1">
        <v>5</v>
      </c>
      <c r="J1523" t="s">
        <v>230</v>
      </c>
      <c r="K1523" t="str">
        <f>VLOOKUP(Table1[[#This Row],[Loser]],Ranking!C:D,2,FALSE)</f>
        <v>B10</v>
      </c>
      <c r="L1523" s="1">
        <v>72</v>
      </c>
      <c r="N1523" s="1">
        <f>Table1[[#This Row],[Winning Score]]-Table1[[#This Row],[Losing Score]]</f>
        <v>4</v>
      </c>
      <c r="O1523" s="1">
        <f>Table1[[#This Row],[Losing Seed]]-Table1[[#This Row],[Winning Seed]]</f>
        <v>-7</v>
      </c>
      <c r="P1523" s="1" t="str">
        <f>IF(Table1[[#This Row],[SeD]]&lt;-2,Table1[[#This Row],[Winning Seed]]&amp; " over " &amp;Table1[[#This Row],[Losing Seed]],"")</f>
        <v>12 over 5</v>
      </c>
      <c r="Q1523">
        <f>VLOOKUP(Table1[[#This Row],[Losing Seed]],'Seed History'!$N$4:$O$19,2)</f>
        <v>1.1180555555555556</v>
      </c>
      <c r="R1523" s="1">
        <f>IF(Table1[[#This Row],[Round]]="PI",0,Table1[[#This Row],[Round]]-1)</f>
        <v>0</v>
      </c>
      <c r="S1523">
        <f>Table1[[#This Row],[LAW]]-Table1[[#This Row],[LEW]]</f>
        <v>-1.1180555555555556</v>
      </c>
    </row>
    <row r="1524" spans="1:19" x14ac:dyDescent="0.25">
      <c r="A1524" s="66">
        <v>39891</v>
      </c>
      <c r="B1524" s="51">
        <f>YEAR(Table1[[#This Row],[Date]])</f>
        <v>2009</v>
      </c>
      <c r="C1524" s="1">
        <v>1</v>
      </c>
      <c r="D1524" t="s">
        <v>63</v>
      </c>
      <c r="E1524" s="1">
        <v>10</v>
      </c>
      <c r="F1524" t="s">
        <v>82</v>
      </c>
      <c r="G1524" t="str">
        <f>VLOOKUP(Table1[[#This Row],[Winner]],Ranking!C:D,2,FALSE)</f>
        <v>B10</v>
      </c>
      <c r="H1524" s="1">
        <v>62</v>
      </c>
      <c r="I1524" s="1">
        <v>7</v>
      </c>
      <c r="J1524" t="s">
        <v>89</v>
      </c>
      <c r="K1524" t="str">
        <f>VLOOKUP(Table1[[#This Row],[Loser]],Ranking!C:D,2,FALSE)</f>
        <v>ACC</v>
      </c>
      <c r="L1524" s="1">
        <v>59</v>
      </c>
      <c r="N1524" s="1">
        <f>Table1[[#This Row],[Winning Score]]-Table1[[#This Row],[Losing Score]]</f>
        <v>3</v>
      </c>
      <c r="O1524" s="1">
        <f>Table1[[#This Row],[Losing Seed]]-Table1[[#This Row],[Winning Seed]]</f>
        <v>-3</v>
      </c>
      <c r="P1524" s="1" t="str">
        <f>IF(Table1[[#This Row],[SeD]]&lt;-2,Table1[[#This Row],[Winning Seed]]&amp; " over " &amp;Table1[[#This Row],[Losing Seed]],"")</f>
        <v>10 over 7</v>
      </c>
      <c r="Q1524">
        <f>VLOOKUP(Table1[[#This Row],[Losing Seed]],'Seed History'!$N$4:$O$19,2)</f>
        <v>0.90277777777777779</v>
      </c>
      <c r="R1524" s="1">
        <f>IF(Table1[[#This Row],[Round]]="PI",0,Table1[[#This Row],[Round]]-1)</f>
        <v>0</v>
      </c>
      <c r="S1524">
        <f>Table1[[#This Row],[LAW]]-Table1[[#This Row],[LEW]]</f>
        <v>-0.90277777777777779</v>
      </c>
    </row>
    <row r="1525" spans="1:19" x14ac:dyDescent="0.25">
      <c r="A1525" s="66">
        <v>39891</v>
      </c>
      <c r="B1525" s="51">
        <f>YEAR(Table1[[#This Row],[Date]])</f>
        <v>2009</v>
      </c>
      <c r="C1525" s="1">
        <v>1</v>
      </c>
      <c r="D1525" t="s">
        <v>38</v>
      </c>
      <c r="E1525" s="1">
        <v>10</v>
      </c>
      <c r="F1525" t="s">
        <v>31</v>
      </c>
      <c r="G1525" t="str">
        <f>VLOOKUP(Table1[[#This Row],[Winner]],Ranking!C:D,2,FALSE)</f>
        <v>B10</v>
      </c>
      <c r="H1525" s="1">
        <v>84</v>
      </c>
      <c r="I1525" s="1">
        <v>7</v>
      </c>
      <c r="J1525" t="s">
        <v>84</v>
      </c>
      <c r="K1525" t="str">
        <f>VLOOKUP(Table1[[#This Row],[Loser]],Ranking!C:D,2,FALSE)</f>
        <v>P12</v>
      </c>
      <c r="L1525" s="1">
        <v>71</v>
      </c>
      <c r="N1525" s="1">
        <f>Table1[[#This Row],[Winning Score]]-Table1[[#This Row],[Losing Score]]</f>
        <v>13</v>
      </c>
      <c r="O1525" s="1">
        <f>Table1[[#This Row],[Losing Seed]]-Table1[[#This Row],[Winning Seed]]</f>
        <v>-3</v>
      </c>
      <c r="P1525" s="1" t="str">
        <f>IF(Table1[[#This Row],[SeD]]&lt;-2,Table1[[#This Row],[Winning Seed]]&amp; " over " &amp;Table1[[#This Row],[Losing Seed]],"")</f>
        <v>10 over 7</v>
      </c>
      <c r="Q1525">
        <f>VLOOKUP(Table1[[#This Row],[Losing Seed]],'Seed History'!$N$4:$O$19,2)</f>
        <v>0.90277777777777779</v>
      </c>
      <c r="R1525" s="1">
        <f>IF(Table1[[#This Row],[Round]]="PI",0,Table1[[#This Row],[Round]]-1)</f>
        <v>0</v>
      </c>
      <c r="S1525">
        <f>Table1[[#This Row],[LAW]]-Table1[[#This Row],[LEW]]</f>
        <v>-0.90277777777777779</v>
      </c>
    </row>
    <row r="1526" spans="1:19" x14ac:dyDescent="0.25">
      <c r="A1526" s="66">
        <v>39891</v>
      </c>
      <c r="B1526" s="51">
        <f>YEAR(Table1[[#This Row],[Date]])</f>
        <v>2009</v>
      </c>
      <c r="C1526" s="1">
        <v>1</v>
      </c>
      <c r="D1526" t="s">
        <v>49</v>
      </c>
      <c r="E1526" s="1">
        <v>2</v>
      </c>
      <c r="F1526" t="s">
        <v>64</v>
      </c>
      <c r="G1526" t="str">
        <f>VLOOKUP(Table1[[#This Row],[Winner]],Ranking!C:D,2,FALSE)</f>
        <v>ACC</v>
      </c>
      <c r="H1526" s="1">
        <v>86</v>
      </c>
      <c r="I1526" s="1">
        <v>15</v>
      </c>
      <c r="J1526" t="s">
        <v>136</v>
      </c>
      <c r="K1526" t="str">
        <f>VLOOKUP(Table1[[#This Row],[Loser]],Ranking!C:D,2,FALSE)</f>
        <v>AE</v>
      </c>
      <c r="L1526" s="1">
        <v>62</v>
      </c>
      <c r="N1526" s="1">
        <f>Table1[[#This Row],[Winning Score]]-Table1[[#This Row],[Losing Score]]</f>
        <v>24</v>
      </c>
      <c r="O1526" s="1">
        <f>Table1[[#This Row],[Losing Seed]]-Table1[[#This Row],[Winning Seed]]</f>
        <v>13</v>
      </c>
      <c r="P1526" s="1" t="str">
        <f>IF(Table1[[#This Row],[SeD]]&lt;-2,Table1[[#This Row],[Winning Seed]]&amp; " over " &amp;Table1[[#This Row],[Losing Seed]],"")</f>
        <v/>
      </c>
      <c r="Q1526">
        <f>VLOOKUP(Table1[[#This Row],[Losing Seed]],'Seed History'!$N$4:$O$19,2)</f>
        <v>7.6388888888888895E-2</v>
      </c>
      <c r="R1526" s="1">
        <f>IF(Table1[[#This Row],[Round]]="PI",0,Table1[[#This Row],[Round]]-1)</f>
        <v>0</v>
      </c>
      <c r="S1526">
        <f>Table1[[#This Row],[LAW]]-Table1[[#This Row],[LEW]]</f>
        <v>-7.6388888888888895E-2</v>
      </c>
    </row>
    <row r="1527" spans="1:19" x14ac:dyDescent="0.25">
      <c r="A1527" s="66">
        <v>39891</v>
      </c>
      <c r="B1527" s="51">
        <f>YEAR(Table1[[#This Row],[Date]])</f>
        <v>2009</v>
      </c>
      <c r="C1527" s="1">
        <v>1</v>
      </c>
      <c r="D1527" t="s">
        <v>49</v>
      </c>
      <c r="E1527" s="1">
        <v>3</v>
      </c>
      <c r="F1527" t="s">
        <v>50</v>
      </c>
      <c r="G1527" t="str">
        <f>VLOOKUP(Table1[[#This Row],[Winner]],Ranking!C:D,2,FALSE)</f>
        <v>BE</v>
      </c>
      <c r="H1527" s="1">
        <v>80</v>
      </c>
      <c r="I1527" s="1">
        <v>14</v>
      </c>
      <c r="J1527" t="s">
        <v>120</v>
      </c>
      <c r="K1527" t="str">
        <f>VLOOKUP(Table1[[#This Row],[Loser]],Ranking!C:D,2,FALSE)</f>
        <v>Pat</v>
      </c>
      <c r="L1527" s="1">
        <v>67</v>
      </c>
      <c r="N1527" s="1">
        <f>Table1[[#This Row],[Winning Score]]-Table1[[#This Row],[Losing Score]]</f>
        <v>13</v>
      </c>
      <c r="O1527" s="1">
        <f>Table1[[#This Row],[Losing Seed]]-Table1[[#This Row],[Winning Seed]]</f>
        <v>11</v>
      </c>
      <c r="P1527" s="1" t="str">
        <f>IF(Table1[[#This Row],[SeD]]&lt;-2,Table1[[#This Row],[Winning Seed]]&amp; " over " &amp;Table1[[#This Row],[Losing Seed]],"")</f>
        <v/>
      </c>
      <c r="Q1527">
        <f>VLOOKUP(Table1[[#This Row],[Losing Seed]],'Seed History'!$N$4:$O$19,2)</f>
        <v>0.16666666666666666</v>
      </c>
      <c r="R1527" s="1">
        <f>IF(Table1[[#This Row],[Round]]="PI",0,Table1[[#This Row],[Round]]-1)</f>
        <v>0</v>
      </c>
      <c r="S1527">
        <f>Table1[[#This Row],[LAW]]-Table1[[#This Row],[LEW]]</f>
        <v>-0.16666666666666666</v>
      </c>
    </row>
    <row r="1528" spans="1:19" x14ac:dyDescent="0.25">
      <c r="A1528" s="66">
        <v>39891</v>
      </c>
      <c r="B1528" s="51">
        <f>YEAR(Table1[[#This Row],[Date]])</f>
        <v>2009</v>
      </c>
      <c r="C1528" s="1">
        <v>1</v>
      </c>
      <c r="D1528" t="s">
        <v>49</v>
      </c>
      <c r="E1528" s="1">
        <v>6</v>
      </c>
      <c r="F1528" t="s">
        <v>67</v>
      </c>
      <c r="G1528" t="str">
        <f>VLOOKUP(Table1[[#This Row],[Winner]],Ranking!C:D,2,FALSE)</f>
        <v>P12</v>
      </c>
      <c r="H1528" s="1">
        <v>65</v>
      </c>
      <c r="I1528" s="1">
        <v>11</v>
      </c>
      <c r="J1528" t="s">
        <v>47</v>
      </c>
      <c r="K1528" t="str">
        <f>VLOOKUP(Table1[[#This Row],[Loser]],Ranking!C:D,2,FALSE)</f>
        <v>A10</v>
      </c>
      <c r="L1528" s="1">
        <v>64</v>
      </c>
      <c r="N1528" s="1">
        <f>Table1[[#This Row],[Winning Score]]-Table1[[#This Row],[Losing Score]]</f>
        <v>1</v>
      </c>
      <c r="O1528" s="1">
        <f>Table1[[#This Row],[Losing Seed]]-Table1[[#This Row],[Winning Seed]]</f>
        <v>5</v>
      </c>
      <c r="P1528" s="1" t="str">
        <f>IF(Table1[[#This Row],[SeD]]&lt;-2,Table1[[#This Row],[Winning Seed]]&amp; " over " &amp;Table1[[#This Row],[Losing Seed]],"")</f>
        <v/>
      </c>
      <c r="Q1528">
        <f>VLOOKUP(Table1[[#This Row],[Losing Seed]],'Seed History'!$N$4:$O$19,2)</f>
        <v>0.63194444444444442</v>
      </c>
      <c r="R1528" s="1">
        <f>IF(Table1[[#This Row],[Round]]="PI",0,Table1[[#This Row],[Round]]-1)</f>
        <v>0</v>
      </c>
      <c r="S1528">
        <f>Table1[[#This Row],[LAW]]-Table1[[#This Row],[LEW]]</f>
        <v>-0.63194444444444442</v>
      </c>
    </row>
    <row r="1529" spans="1:19" x14ac:dyDescent="0.25">
      <c r="A1529" s="66">
        <v>39891</v>
      </c>
      <c r="B1529" s="51">
        <f>YEAR(Table1[[#This Row],[Date]])</f>
        <v>2009</v>
      </c>
      <c r="C1529" s="1">
        <v>1</v>
      </c>
      <c r="D1529" t="s">
        <v>49</v>
      </c>
      <c r="E1529" s="1">
        <v>7</v>
      </c>
      <c r="F1529" t="s">
        <v>34</v>
      </c>
      <c r="G1529" t="str">
        <f>VLOOKUP(Table1[[#This Row],[Winner]],Ranking!C:D,2,FALSE)</f>
        <v>B12</v>
      </c>
      <c r="H1529" s="1">
        <v>76</v>
      </c>
      <c r="I1529" s="1">
        <v>10</v>
      </c>
      <c r="J1529" t="s">
        <v>274</v>
      </c>
      <c r="K1529" t="str">
        <f>VLOOKUP(Table1[[#This Row],[Loser]],Ranking!C:D,2,FALSE)</f>
        <v>B10</v>
      </c>
      <c r="L1529" s="1">
        <v>62</v>
      </c>
      <c r="N1529" s="1">
        <f>Table1[[#This Row],[Winning Score]]-Table1[[#This Row],[Losing Score]]</f>
        <v>14</v>
      </c>
      <c r="O1529" s="1">
        <f>Table1[[#This Row],[Losing Seed]]-Table1[[#This Row],[Winning Seed]]</f>
        <v>3</v>
      </c>
      <c r="P1529" s="1" t="str">
        <f>IF(Table1[[#This Row],[SeD]]&lt;-2,Table1[[#This Row],[Winning Seed]]&amp; " over " &amp;Table1[[#This Row],[Losing Seed]],"")</f>
        <v/>
      </c>
      <c r="Q1529">
        <f>VLOOKUP(Table1[[#This Row],[Losing Seed]],'Seed History'!$N$4:$O$19,2)</f>
        <v>0.61805555555555558</v>
      </c>
      <c r="R1529" s="1">
        <f>IF(Table1[[#This Row],[Round]]="PI",0,Table1[[#This Row],[Round]]-1)</f>
        <v>0</v>
      </c>
      <c r="S1529">
        <f>Table1[[#This Row],[LAW]]-Table1[[#This Row],[LEW]]</f>
        <v>-0.61805555555555558</v>
      </c>
    </row>
    <row r="1530" spans="1:19" x14ac:dyDescent="0.25">
      <c r="A1530" s="66">
        <v>39891</v>
      </c>
      <c r="B1530" s="51">
        <f>YEAR(Table1[[#This Row],[Date]])</f>
        <v>2009</v>
      </c>
      <c r="C1530" s="1">
        <v>1</v>
      </c>
      <c r="D1530" t="s">
        <v>63</v>
      </c>
      <c r="E1530" s="1">
        <v>1</v>
      </c>
      <c r="F1530" t="s">
        <v>298</v>
      </c>
      <c r="G1530" t="str">
        <f>VLOOKUP(Table1[[#This Row],[Winner]],Ranking!C:D,2,FALSE)</f>
        <v>ACC</v>
      </c>
      <c r="H1530" s="1">
        <v>101</v>
      </c>
      <c r="I1530" s="1">
        <v>16</v>
      </c>
      <c r="J1530" t="s">
        <v>329</v>
      </c>
      <c r="K1530" t="str">
        <f>VLOOKUP(Table1[[#This Row],[Loser]],Ranking!C:D,2,FALSE)</f>
        <v>BSth</v>
      </c>
      <c r="L1530" s="1">
        <v>58</v>
      </c>
      <c r="N1530" s="1">
        <f>Table1[[#This Row],[Winning Score]]-Table1[[#This Row],[Losing Score]]</f>
        <v>43</v>
      </c>
      <c r="O1530" s="1">
        <f>Table1[[#This Row],[Losing Seed]]-Table1[[#This Row],[Winning Seed]]</f>
        <v>15</v>
      </c>
      <c r="P1530" s="1" t="str">
        <f>IF(Table1[[#This Row],[SeD]]&lt;-2,Table1[[#This Row],[Winning Seed]]&amp; " over " &amp;Table1[[#This Row],[Losing Seed]],"")</f>
        <v/>
      </c>
      <c r="Q1530">
        <f>VLOOKUP(Table1[[#This Row],[Losing Seed]],'Seed History'!$N$4:$O$19,2)</f>
        <v>6.9444444444444441E-3</v>
      </c>
      <c r="R1530" s="1">
        <f>IF(Table1[[#This Row],[Round]]="PI",0,Table1[[#This Row],[Round]]-1)</f>
        <v>0</v>
      </c>
      <c r="S1530">
        <f>Table1[[#This Row],[LAW]]-Table1[[#This Row],[LEW]]</f>
        <v>-6.9444444444444441E-3</v>
      </c>
    </row>
    <row r="1531" spans="1:19" x14ac:dyDescent="0.25">
      <c r="A1531" s="66">
        <v>39891</v>
      </c>
      <c r="B1531" s="51">
        <f>YEAR(Table1[[#This Row],[Date]])</f>
        <v>2009</v>
      </c>
      <c r="C1531" s="1">
        <v>1</v>
      </c>
      <c r="D1531" t="s">
        <v>63</v>
      </c>
      <c r="E1531" s="1">
        <v>2</v>
      </c>
      <c r="F1531" t="s">
        <v>58</v>
      </c>
      <c r="G1531" t="str">
        <f>VLOOKUP(Table1[[#This Row],[Winner]],Ranking!C:D,2,FALSE)</f>
        <v>B12</v>
      </c>
      <c r="H1531" s="1">
        <v>82</v>
      </c>
      <c r="I1531" s="1">
        <v>15</v>
      </c>
      <c r="J1531" t="s">
        <v>283</v>
      </c>
      <c r="K1531" t="str">
        <f>VLOOKUP(Table1[[#This Row],[Loser]],Ranking!C:D,2,FALSE)</f>
        <v>MEAC</v>
      </c>
      <c r="L1531" s="1">
        <v>54</v>
      </c>
      <c r="N1531" s="1">
        <f>Table1[[#This Row],[Winning Score]]-Table1[[#This Row],[Losing Score]]</f>
        <v>28</v>
      </c>
      <c r="O1531" s="1">
        <f>Table1[[#This Row],[Losing Seed]]-Table1[[#This Row],[Winning Seed]]</f>
        <v>13</v>
      </c>
      <c r="P1531" s="1" t="str">
        <f>IF(Table1[[#This Row],[SeD]]&lt;-2,Table1[[#This Row],[Winning Seed]]&amp; " over " &amp;Table1[[#This Row],[Losing Seed]],"")</f>
        <v/>
      </c>
      <c r="Q1531">
        <f>VLOOKUP(Table1[[#This Row],[Losing Seed]],'Seed History'!$N$4:$O$19,2)</f>
        <v>7.6388888888888895E-2</v>
      </c>
      <c r="R1531" s="1">
        <f>IF(Table1[[#This Row],[Round]]="PI",0,Table1[[#This Row],[Round]]-1)</f>
        <v>0</v>
      </c>
      <c r="S1531">
        <f>Table1[[#This Row],[LAW]]-Table1[[#This Row],[LEW]]</f>
        <v>-7.6388888888888895E-2</v>
      </c>
    </row>
    <row r="1532" spans="1:19" x14ac:dyDescent="0.25">
      <c r="A1532" s="66">
        <v>39891</v>
      </c>
      <c r="B1532" s="51">
        <f>YEAR(Table1[[#This Row],[Date]])</f>
        <v>2009</v>
      </c>
      <c r="C1532" s="1">
        <v>1</v>
      </c>
      <c r="D1532" t="s">
        <v>63</v>
      </c>
      <c r="E1532" s="1">
        <v>4</v>
      </c>
      <c r="F1532" t="s">
        <v>71</v>
      </c>
      <c r="G1532" t="str">
        <f>VLOOKUP(Table1[[#This Row],[Winner]],Ranking!C:D,2,FALSE)</f>
        <v>WCC</v>
      </c>
      <c r="H1532" s="1">
        <v>77</v>
      </c>
      <c r="I1532" s="1">
        <v>13</v>
      </c>
      <c r="J1532" t="s">
        <v>111</v>
      </c>
      <c r="K1532" t="str">
        <f>VLOOKUP(Table1[[#This Row],[Loser]],Ranking!C:D,2,FALSE)</f>
        <v>MAC</v>
      </c>
      <c r="L1532" s="1">
        <v>64</v>
      </c>
      <c r="N1532" s="1">
        <f>Table1[[#This Row],[Winning Score]]-Table1[[#This Row],[Losing Score]]</f>
        <v>13</v>
      </c>
      <c r="O1532" s="1">
        <f>Table1[[#This Row],[Losing Seed]]-Table1[[#This Row],[Winning Seed]]</f>
        <v>9</v>
      </c>
      <c r="P1532" s="1" t="str">
        <f>IF(Table1[[#This Row],[SeD]]&lt;-2,Table1[[#This Row],[Winning Seed]]&amp; " over " &amp;Table1[[#This Row],[Losing Seed]],"")</f>
        <v/>
      </c>
      <c r="Q1532">
        <f>VLOOKUP(Table1[[#This Row],[Losing Seed]],'Seed History'!$N$4:$O$19,2)</f>
        <v>0.25694444444444442</v>
      </c>
      <c r="R1532" s="1">
        <f>IF(Table1[[#This Row],[Round]]="PI",0,Table1[[#This Row],[Round]]-1)</f>
        <v>0</v>
      </c>
      <c r="S1532">
        <f>Table1[[#This Row],[LAW]]-Table1[[#This Row],[LEW]]</f>
        <v>-0.25694444444444442</v>
      </c>
    </row>
    <row r="1533" spans="1:19" x14ac:dyDescent="0.25">
      <c r="A1533" s="66">
        <v>39891</v>
      </c>
      <c r="B1533" s="51">
        <f>YEAR(Table1[[#This Row],[Date]])</f>
        <v>2009</v>
      </c>
      <c r="C1533" s="1">
        <v>1</v>
      </c>
      <c r="D1533" t="s">
        <v>63</v>
      </c>
      <c r="E1533" s="1">
        <v>8</v>
      </c>
      <c r="F1533" t="s">
        <v>52</v>
      </c>
      <c r="G1533" t="str">
        <f>VLOOKUP(Table1[[#This Row],[Winner]],Ranking!C:D,2,FALSE)</f>
        <v>SEC</v>
      </c>
      <c r="H1533" s="1">
        <v>75</v>
      </c>
      <c r="I1533" s="1">
        <v>9</v>
      </c>
      <c r="J1533" t="s">
        <v>33</v>
      </c>
      <c r="K1533" t="str">
        <f>VLOOKUP(Table1[[#This Row],[Loser]],Ranking!C:D,2,FALSE)</f>
        <v>BE</v>
      </c>
      <c r="L1533" s="1">
        <v>71</v>
      </c>
      <c r="N1533" s="1">
        <f>Table1[[#This Row],[Winning Score]]-Table1[[#This Row],[Losing Score]]</f>
        <v>4</v>
      </c>
      <c r="O1533" s="1">
        <f>Table1[[#This Row],[Losing Seed]]-Table1[[#This Row],[Winning Seed]]</f>
        <v>1</v>
      </c>
      <c r="P1533" s="1" t="str">
        <f>IF(Table1[[#This Row],[SeD]]&lt;-2,Table1[[#This Row],[Winning Seed]]&amp; " over " &amp;Table1[[#This Row],[Losing Seed]],"")</f>
        <v/>
      </c>
      <c r="Q1533">
        <f>VLOOKUP(Table1[[#This Row],[Losing Seed]],'Seed History'!$N$4:$O$19,2)</f>
        <v>0.59027777777777779</v>
      </c>
      <c r="R1533" s="1">
        <f>IF(Table1[[#This Row],[Round]]="PI",0,Table1[[#This Row],[Round]]-1)</f>
        <v>0</v>
      </c>
      <c r="S1533">
        <f>Table1[[#This Row],[LAW]]-Table1[[#This Row],[LEW]]</f>
        <v>-0.59027777777777779</v>
      </c>
    </row>
    <row r="1534" spans="1:19" x14ac:dyDescent="0.25">
      <c r="A1534" s="66">
        <v>39891</v>
      </c>
      <c r="B1534" s="51">
        <f>YEAR(Table1[[#This Row],[Date]])</f>
        <v>2009</v>
      </c>
      <c r="C1534" s="1">
        <v>1</v>
      </c>
      <c r="D1534" t="s">
        <v>38</v>
      </c>
      <c r="E1534" s="1">
        <v>1</v>
      </c>
      <c r="F1534" t="s">
        <v>80</v>
      </c>
      <c r="G1534" t="str">
        <f>VLOOKUP(Table1[[#This Row],[Winner]],Ranking!C:D,2,FALSE)</f>
        <v>BE</v>
      </c>
      <c r="H1534" s="1">
        <v>103</v>
      </c>
      <c r="I1534" s="1">
        <v>16</v>
      </c>
      <c r="J1534" t="s">
        <v>167</v>
      </c>
      <c r="K1534" t="str">
        <f>VLOOKUP(Table1[[#This Row],[Loser]],Ranking!C:D,2,FALSE)</f>
        <v>SC</v>
      </c>
      <c r="L1534" s="1">
        <v>47</v>
      </c>
      <c r="N1534" s="1">
        <f>Table1[[#This Row],[Winning Score]]-Table1[[#This Row],[Losing Score]]</f>
        <v>56</v>
      </c>
      <c r="O1534" s="1">
        <f>Table1[[#This Row],[Losing Seed]]-Table1[[#This Row],[Winning Seed]]</f>
        <v>15</v>
      </c>
      <c r="P1534" s="1" t="str">
        <f>IF(Table1[[#This Row],[SeD]]&lt;-2,Table1[[#This Row],[Winning Seed]]&amp; " over " &amp;Table1[[#This Row],[Losing Seed]],"")</f>
        <v/>
      </c>
      <c r="Q1534">
        <f>VLOOKUP(Table1[[#This Row],[Losing Seed]],'Seed History'!$N$4:$O$19,2)</f>
        <v>6.9444444444444441E-3</v>
      </c>
      <c r="R1534" s="1">
        <f>IF(Table1[[#This Row],[Round]]="PI",0,Table1[[#This Row],[Round]]-1)</f>
        <v>0</v>
      </c>
      <c r="S1534">
        <f>Table1[[#This Row],[LAW]]-Table1[[#This Row],[LEW]]</f>
        <v>-6.9444444444444441E-3</v>
      </c>
    </row>
    <row r="1535" spans="1:19" x14ac:dyDescent="0.25">
      <c r="A1535" s="66">
        <v>39891</v>
      </c>
      <c r="B1535" s="51">
        <f>YEAR(Table1[[#This Row],[Date]])</f>
        <v>2009</v>
      </c>
      <c r="C1535" s="1">
        <v>1</v>
      </c>
      <c r="D1535" t="s">
        <v>38</v>
      </c>
      <c r="E1535" s="1">
        <v>2</v>
      </c>
      <c r="F1535" t="s">
        <v>267</v>
      </c>
      <c r="G1535" t="str">
        <f>VLOOKUP(Table1[[#This Row],[Winner]],Ranking!C:D,2,FALSE)</f>
        <v>Amer</v>
      </c>
      <c r="H1535" s="1">
        <v>81</v>
      </c>
      <c r="I1535" s="1">
        <v>15</v>
      </c>
      <c r="J1535" t="s">
        <v>156</v>
      </c>
      <c r="K1535" t="str">
        <f>VLOOKUP(Table1[[#This Row],[Loser]],Ranking!C:D,2,FALSE)</f>
        <v>BW</v>
      </c>
      <c r="L1535" s="1">
        <v>70</v>
      </c>
      <c r="N1535" s="1">
        <f>Table1[[#This Row],[Winning Score]]-Table1[[#This Row],[Losing Score]]</f>
        <v>11</v>
      </c>
      <c r="O1535" s="1">
        <f>Table1[[#This Row],[Losing Seed]]-Table1[[#This Row],[Winning Seed]]</f>
        <v>13</v>
      </c>
      <c r="P1535" s="1" t="str">
        <f>IF(Table1[[#This Row],[SeD]]&lt;-2,Table1[[#This Row],[Winning Seed]]&amp; " over " &amp;Table1[[#This Row],[Losing Seed]],"")</f>
        <v/>
      </c>
      <c r="Q1535">
        <f>VLOOKUP(Table1[[#This Row],[Losing Seed]],'Seed History'!$N$4:$O$19,2)</f>
        <v>7.6388888888888895E-2</v>
      </c>
      <c r="R1535" s="1">
        <f>IF(Table1[[#This Row],[Round]]="PI",0,Table1[[#This Row],[Round]]-1)</f>
        <v>0</v>
      </c>
      <c r="S1535">
        <f>Table1[[#This Row],[LAW]]-Table1[[#This Row],[LEW]]</f>
        <v>-7.6388888888888895E-2</v>
      </c>
    </row>
    <row r="1536" spans="1:19" x14ac:dyDescent="0.25">
      <c r="A1536" s="66">
        <v>39891</v>
      </c>
      <c r="B1536" s="51">
        <f>YEAR(Table1[[#This Row],[Date]])</f>
        <v>2009</v>
      </c>
      <c r="C1536" s="1">
        <v>1</v>
      </c>
      <c r="D1536" t="s">
        <v>38</v>
      </c>
      <c r="E1536" s="1">
        <v>4</v>
      </c>
      <c r="F1536" t="s">
        <v>409</v>
      </c>
      <c r="G1536" t="str">
        <f>VLOOKUP(Table1[[#This Row],[Winner]],Ranking!C:D,2,FALSE)</f>
        <v>P12</v>
      </c>
      <c r="H1536" s="1">
        <v>71</v>
      </c>
      <c r="I1536" s="1">
        <v>13</v>
      </c>
      <c r="J1536" t="s">
        <v>275</v>
      </c>
      <c r="K1536" t="str">
        <f>VLOOKUP(Table1[[#This Row],[Loser]],Ranking!C:D,2,FALSE)</f>
        <v>SEC</v>
      </c>
      <c r="L1536" s="1">
        <v>58</v>
      </c>
      <c r="N1536" s="1">
        <f>Table1[[#This Row],[Winning Score]]-Table1[[#This Row],[Losing Score]]</f>
        <v>13</v>
      </c>
      <c r="O1536" s="1">
        <f>Table1[[#This Row],[Losing Seed]]-Table1[[#This Row],[Winning Seed]]</f>
        <v>9</v>
      </c>
      <c r="P1536" s="1" t="str">
        <f>IF(Table1[[#This Row],[SeD]]&lt;-2,Table1[[#This Row],[Winning Seed]]&amp; " over " &amp;Table1[[#This Row],[Losing Seed]],"")</f>
        <v/>
      </c>
      <c r="Q1536">
        <f>VLOOKUP(Table1[[#This Row],[Losing Seed]],'Seed History'!$N$4:$O$19,2)</f>
        <v>0.25694444444444442</v>
      </c>
      <c r="R1536" s="1">
        <f>IF(Table1[[#This Row],[Round]]="PI",0,Table1[[#This Row],[Round]]-1)</f>
        <v>0</v>
      </c>
      <c r="S1536">
        <f>Table1[[#This Row],[LAW]]-Table1[[#This Row],[LEW]]</f>
        <v>-0.25694444444444442</v>
      </c>
    </row>
    <row r="1537" spans="1:19" x14ac:dyDescent="0.25">
      <c r="A1537" s="66">
        <v>39891</v>
      </c>
      <c r="B1537" s="51">
        <f>YEAR(Table1[[#This Row],[Date]])</f>
        <v>2009</v>
      </c>
      <c r="C1537" s="1">
        <v>1</v>
      </c>
      <c r="D1537" t="s">
        <v>38</v>
      </c>
      <c r="E1537" s="1">
        <v>5</v>
      </c>
      <c r="F1537" t="s">
        <v>29</v>
      </c>
      <c r="G1537" t="str">
        <f>VLOOKUP(Table1[[#This Row],[Winner]],Ranking!C:D,2,FALSE)</f>
        <v>B10</v>
      </c>
      <c r="H1537" s="1">
        <v>61</v>
      </c>
      <c r="I1537" s="1">
        <v>12</v>
      </c>
      <c r="J1537" t="s">
        <v>310</v>
      </c>
      <c r="K1537" t="str">
        <f>VLOOKUP(Table1[[#This Row],[Loser]],Ranking!C:D,2,FALSE)</f>
        <v>MVC</v>
      </c>
      <c r="L1537" s="1">
        <v>56</v>
      </c>
      <c r="N1537" s="1">
        <f>Table1[[#This Row],[Winning Score]]-Table1[[#This Row],[Losing Score]]</f>
        <v>5</v>
      </c>
      <c r="O1537" s="1">
        <f>Table1[[#This Row],[Losing Seed]]-Table1[[#This Row],[Winning Seed]]</f>
        <v>7</v>
      </c>
      <c r="P1537" s="1" t="str">
        <f>IF(Table1[[#This Row],[SeD]]&lt;-2,Table1[[#This Row],[Winning Seed]]&amp; " over " &amp;Table1[[#This Row],[Losing Seed]],"")</f>
        <v/>
      </c>
      <c r="Q1537">
        <f>VLOOKUP(Table1[[#This Row],[Losing Seed]],'Seed History'!$N$4:$O$19,2)</f>
        <v>0.52083333333333337</v>
      </c>
      <c r="R1537" s="1">
        <f>IF(Table1[[#This Row],[Round]]="PI",0,Table1[[#This Row],[Round]]-1)</f>
        <v>0</v>
      </c>
      <c r="S1537">
        <f>Table1[[#This Row],[LAW]]-Table1[[#This Row],[LEW]]</f>
        <v>-0.52083333333333337</v>
      </c>
    </row>
    <row r="1538" spans="1:19" x14ac:dyDescent="0.25">
      <c r="A1538" s="66">
        <v>39891</v>
      </c>
      <c r="B1538" s="51">
        <f>YEAR(Table1[[#This Row],[Date]])</f>
        <v>2009</v>
      </c>
      <c r="C1538" s="1">
        <v>1</v>
      </c>
      <c r="D1538" t="s">
        <v>38</v>
      </c>
      <c r="E1538" s="1">
        <v>9</v>
      </c>
      <c r="F1538" t="s">
        <v>79</v>
      </c>
      <c r="G1538" t="str">
        <f>VLOOKUP(Table1[[#This Row],[Winner]],Ranking!C:D,2,FALSE)</f>
        <v>SEC</v>
      </c>
      <c r="H1538" s="1">
        <v>79</v>
      </c>
      <c r="I1538" s="1">
        <v>8</v>
      </c>
      <c r="J1538" t="s">
        <v>72</v>
      </c>
      <c r="K1538" t="str">
        <f>VLOOKUP(Table1[[#This Row],[Loser]],Ranking!C:D,2,FALSE)</f>
        <v>WCC</v>
      </c>
      <c r="L1538" s="1">
        <v>66</v>
      </c>
      <c r="N1538" s="1">
        <f>Table1[[#This Row],[Winning Score]]-Table1[[#This Row],[Losing Score]]</f>
        <v>13</v>
      </c>
      <c r="O1538" s="1">
        <f>Table1[[#This Row],[Losing Seed]]-Table1[[#This Row],[Winning Seed]]</f>
        <v>-1</v>
      </c>
      <c r="P1538" s="1" t="str">
        <f>IF(Table1[[#This Row],[SeD]]&lt;-2,Table1[[#This Row],[Winning Seed]]&amp; " over " &amp;Table1[[#This Row],[Losing Seed]],"")</f>
        <v/>
      </c>
      <c r="Q1538">
        <f>VLOOKUP(Table1[[#This Row],[Losing Seed]],'Seed History'!$N$4:$O$19,2)</f>
        <v>0.70833333333333337</v>
      </c>
      <c r="R1538" s="1">
        <f>IF(Table1[[#This Row],[Round]]="PI",0,Table1[[#This Row],[Round]]-1)</f>
        <v>0</v>
      </c>
      <c r="S1538">
        <f>Table1[[#This Row],[LAW]]-Table1[[#This Row],[LEW]]</f>
        <v>-0.70833333333333337</v>
      </c>
    </row>
    <row r="1539" spans="1:19" x14ac:dyDescent="0.25">
      <c r="A1539" s="66">
        <v>39892</v>
      </c>
      <c r="B1539" s="51">
        <f>YEAR(Table1[[#This Row],[Date]])</f>
        <v>2009</v>
      </c>
      <c r="C1539" s="1">
        <v>1</v>
      </c>
      <c r="D1539" t="s">
        <v>439</v>
      </c>
      <c r="E1539" s="1">
        <v>13</v>
      </c>
      <c r="F1539" t="s">
        <v>171</v>
      </c>
      <c r="G1539" t="str">
        <f>VLOOKUP(Table1[[#This Row],[Winner]],Ranking!C:D,2,FALSE)</f>
        <v>Horz</v>
      </c>
      <c r="H1539" s="1">
        <v>84</v>
      </c>
      <c r="I1539" s="1">
        <v>4</v>
      </c>
      <c r="J1539" t="s">
        <v>408</v>
      </c>
      <c r="K1539" t="str">
        <f>VLOOKUP(Table1[[#This Row],[Loser]],Ranking!C:D,2,FALSE)</f>
        <v>ACC</v>
      </c>
      <c r="L1539" s="1">
        <v>69</v>
      </c>
      <c r="N1539" s="1">
        <f>Table1[[#This Row],[Winning Score]]-Table1[[#This Row],[Losing Score]]</f>
        <v>15</v>
      </c>
      <c r="O1539" s="1">
        <f>Table1[[#This Row],[Losing Seed]]-Table1[[#This Row],[Winning Seed]]</f>
        <v>-9</v>
      </c>
      <c r="P1539" s="1" t="str">
        <f>IF(Table1[[#This Row],[SeD]]&lt;-2,Table1[[#This Row],[Winning Seed]]&amp; " over " &amp;Table1[[#This Row],[Losing Seed]],"")</f>
        <v>13 over 4</v>
      </c>
      <c r="Q1539">
        <f>VLOOKUP(Table1[[#This Row],[Losing Seed]],'Seed History'!$N$4:$O$19,2)</f>
        <v>1.5208333333333333</v>
      </c>
      <c r="R1539" s="1">
        <f>IF(Table1[[#This Row],[Round]]="PI",0,Table1[[#This Row],[Round]]-1)</f>
        <v>0</v>
      </c>
      <c r="S1539">
        <f>Table1[[#This Row],[LAW]]-Table1[[#This Row],[LEW]]</f>
        <v>-1.5208333333333333</v>
      </c>
    </row>
    <row r="1540" spans="1:19" x14ac:dyDescent="0.25">
      <c r="A1540" s="66">
        <v>39892</v>
      </c>
      <c r="B1540" s="51">
        <f>YEAR(Table1[[#This Row],[Date]])</f>
        <v>2009</v>
      </c>
      <c r="C1540" s="1">
        <v>1</v>
      </c>
      <c r="D1540" t="s">
        <v>49</v>
      </c>
      <c r="E1540" s="1">
        <v>12</v>
      </c>
      <c r="F1540" t="s">
        <v>39</v>
      </c>
      <c r="G1540" t="str">
        <f>VLOOKUP(Table1[[#This Row],[Winner]],Ranking!C:D,2,FALSE)</f>
        <v>B10</v>
      </c>
      <c r="H1540" s="1">
        <v>61</v>
      </c>
      <c r="I1540" s="1">
        <v>5</v>
      </c>
      <c r="J1540" t="s">
        <v>207</v>
      </c>
      <c r="K1540" t="str">
        <f>VLOOKUP(Table1[[#This Row],[Loser]],Ranking!C:D,2,FALSE)</f>
        <v>ACC</v>
      </c>
      <c r="L1540" s="1">
        <v>59</v>
      </c>
      <c r="M1540" s="1" t="s">
        <v>462</v>
      </c>
      <c r="N1540" s="1">
        <f>Table1[[#This Row],[Winning Score]]-Table1[[#This Row],[Losing Score]]</f>
        <v>2</v>
      </c>
      <c r="O1540" s="1">
        <f>Table1[[#This Row],[Losing Seed]]-Table1[[#This Row],[Winning Seed]]</f>
        <v>-7</v>
      </c>
      <c r="P1540" s="1" t="str">
        <f>IF(Table1[[#This Row],[SeD]]&lt;-2,Table1[[#This Row],[Winning Seed]]&amp; " over " &amp;Table1[[#This Row],[Losing Seed]],"")</f>
        <v>12 over 5</v>
      </c>
      <c r="Q1540">
        <f>VLOOKUP(Table1[[#This Row],[Losing Seed]],'Seed History'!$N$4:$O$19,2)</f>
        <v>1.1180555555555556</v>
      </c>
      <c r="R1540" s="1">
        <f>IF(Table1[[#This Row],[Round]]="PI",0,Table1[[#This Row],[Round]]-1)</f>
        <v>0</v>
      </c>
      <c r="S1540">
        <f>Table1[[#This Row],[LAW]]-Table1[[#This Row],[LEW]]</f>
        <v>-1.1180555555555556</v>
      </c>
    </row>
    <row r="1541" spans="1:19" x14ac:dyDescent="0.25">
      <c r="A1541" s="66">
        <v>39892</v>
      </c>
      <c r="B1541" s="51">
        <f>YEAR(Table1[[#This Row],[Date]])</f>
        <v>2009</v>
      </c>
      <c r="C1541" s="1">
        <v>1</v>
      </c>
      <c r="D1541" t="s">
        <v>439</v>
      </c>
      <c r="E1541" s="1">
        <v>12</v>
      </c>
      <c r="F1541" t="s">
        <v>48</v>
      </c>
      <c r="G1541" t="str">
        <f>VLOOKUP(Table1[[#This Row],[Winner]],Ranking!C:D,2,FALSE)</f>
        <v>P12</v>
      </c>
      <c r="H1541" s="1">
        <v>84</v>
      </c>
      <c r="I1541" s="1">
        <v>5</v>
      </c>
      <c r="J1541" t="s">
        <v>65</v>
      </c>
      <c r="K1541" t="str">
        <f>VLOOKUP(Table1[[#This Row],[Loser]],Ranking!C:D,2,FALSE)</f>
        <v>P12</v>
      </c>
      <c r="L1541" s="1">
        <v>71</v>
      </c>
      <c r="N1541" s="1">
        <f>Table1[[#This Row],[Winning Score]]-Table1[[#This Row],[Losing Score]]</f>
        <v>13</v>
      </c>
      <c r="O1541" s="1">
        <f>Table1[[#This Row],[Losing Seed]]-Table1[[#This Row],[Winning Seed]]</f>
        <v>-7</v>
      </c>
      <c r="P1541" s="1" t="str">
        <f>IF(Table1[[#This Row],[SeD]]&lt;-2,Table1[[#This Row],[Winning Seed]]&amp; " over " &amp;Table1[[#This Row],[Losing Seed]],"")</f>
        <v>12 over 5</v>
      </c>
      <c r="Q1541">
        <f>VLOOKUP(Table1[[#This Row],[Losing Seed]],'Seed History'!$N$4:$O$19,2)</f>
        <v>1.1180555555555556</v>
      </c>
      <c r="R1541" s="1">
        <f>IF(Table1[[#This Row],[Round]]="PI",0,Table1[[#This Row],[Round]]-1)</f>
        <v>0</v>
      </c>
      <c r="S1541">
        <f>Table1[[#This Row],[LAW]]-Table1[[#This Row],[LEW]]</f>
        <v>-1.1180555555555556</v>
      </c>
    </row>
    <row r="1542" spans="1:19" x14ac:dyDescent="0.25">
      <c r="A1542" s="66">
        <v>39892</v>
      </c>
      <c r="B1542" s="51">
        <f>YEAR(Table1[[#This Row],[Date]])</f>
        <v>2009</v>
      </c>
      <c r="C1542" s="1">
        <v>1</v>
      </c>
      <c r="D1542" t="s">
        <v>439</v>
      </c>
      <c r="E1542" s="1">
        <v>11</v>
      </c>
      <c r="F1542" t="s">
        <v>57</v>
      </c>
      <c r="G1542" t="str">
        <f>VLOOKUP(Table1[[#This Row],[Winner]],Ranking!C:D,2,FALSE)</f>
        <v>A10</v>
      </c>
      <c r="H1542" s="1">
        <v>68</v>
      </c>
      <c r="I1542" s="1">
        <v>6</v>
      </c>
      <c r="J1542" t="s">
        <v>412</v>
      </c>
      <c r="K1542" t="str">
        <f>VLOOKUP(Table1[[#This Row],[Loser]],Ranking!C:D,2,FALSE)</f>
        <v>B12</v>
      </c>
      <c r="L1542" s="1">
        <v>60</v>
      </c>
      <c r="N1542" s="1">
        <f>Table1[[#This Row],[Winning Score]]-Table1[[#This Row],[Losing Score]]</f>
        <v>8</v>
      </c>
      <c r="O1542" s="1">
        <f>Table1[[#This Row],[Losing Seed]]-Table1[[#This Row],[Winning Seed]]</f>
        <v>-5</v>
      </c>
      <c r="P1542" s="1" t="str">
        <f>IF(Table1[[#This Row],[SeD]]&lt;-2,Table1[[#This Row],[Winning Seed]]&amp; " over " &amp;Table1[[#This Row],[Losing Seed]],"")</f>
        <v>11 over 6</v>
      </c>
      <c r="Q1542">
        <f>VLOOKUP(Table1[[#This Row],[Losing Seed]],'Seed History'!$N$4:$O$19,2)</f>
        <v>1.0625</v>
      </c>
      <c r="R1542" s="1">
        <f>IF(Table1[[#This Row],[Round]]="PI",0,Table1[[#This Row],[Round]]-1)</f>
        <v>0</v>
      </c>
      <c r="S1542">
        <f>Table1[[#This Row],[LAW]]-Table1[[#This Row],[LEW]]</f>
        <v>-1.0625</v>
      </c>
    </row>
    <row r="1543" spans="1:19" x14ac:dyDescent="0.25">
      <c r="A1543" s="66">
        <v>39892</v>
      </c>
      <c r="B1543" s="51">
        <f>YEAR(Table1[[#This Row],[Date]])</f>
        <v>2009</v>
      </c>
      <c r="C1543" s="1">
        <v>1</v>
      </c>
      <c r="D1543" t="s">
        <v>439</v>
      </c>
      <c r="E1543" s="1">
        <v>10</v>
      </c>
      <c r="F1543" t="s">
        <v>85</v>
      </c>
      <c r="G1543" t="str">
        <f>VLOOKUP(Table1[[#This Row],[Winner]],Ranking!C:D,2,FALSE)</f>
        <v>P12</v>
      </c>
      <c r="H1543" s="1">
        <v>72</v>
      </c>
      <c r="I1543" s="1">
        <v>7</v>
      </c>
      <c r="J1543" t="s">
        <v>138</v>
      </c>
      <c r="K1543" t="str">
        <f>VLOOKUP(Table1[[#This Row],[Loser]],Ranking!C:D,2,FALSE)</f>
        <v>ACC</v>
      </c>
      <c r="L1543" s="1">
        <v>55</v>
      </c>
      <c r="N1543" s="1">
        <f>Table1[[#This Row],[Winning Score]]-Table1[[#This Row],[Losing Score]]</f>
        <v>17</v>
      </c>
      <c r="O1543" s="1">
        <f>Table1[[#This Row],[Losing Seed]]-Table1[[#This Row],[Winning Seed]]</f>
        <v>-3</v>
      </c>
      <c r="P1543" s="1" t="str">
        <f>IF(Table1[[#This Row],[SeD]]&lt;-2,Table1[[#This Row],[Winning Seed]]&amp; " over " &amp;Table1[[#This Row],[Losing Seed]],"")</f>
        <v>10 over 7</v>
      </c>
      <c r="Q1543">
        <f>VLOOKUP(Table1[[#This Row],[Losing Seed]],'Seed History'!$N$4:$O$19,2)</f>
        <v>0.90277777777777779</v>
      </c>
      <c r="R1543" s="1">
        <f>IF(Table1[[#This Row],[Round]]="PI",0,Table1[[#This Row],[Round]]-1)</f>
        <v>0</v>
      </c>
      <c r="S1543">
        <f>Table1[[#This Row],[LAW]]-Table1[[#This Row],[LEW]]</f>
        <v>-0.90277777777777779</v>
      </c>
    </row>
    <row r="1544" spans="1:19" x14ac:dyDescent="0.25">
      <c r="A1544" s="66">
        <v>39892</v>
      </c>
      <c r="B1544" s="51">
        <f>YEAR(Table1[[#This Row],[Date]])</f>
        <v>2009</v>
      </c>
      <c r="C1544" s="1">
        <v>1</v>
      </c>
      <c r="D1544" t="s">
        <v>49</v>
      </c>
      <c r="E1544" s="1">
        <v>1</v>
      </c>
      <c r="F1544" t="s">
        <v>83</v>
      </c>
      <c r="G1544" t="str">
        <f>VLOOKUP(Table1[[#This Row],[Winner]],Ranking!C:D,2,FALSE)</f>
        <v>ACC</v>
      </c>
      <c r="H1544" s="1">
        <v>72</v>
      </c>
      <c r="I1544" s="1">
        <v>16</v>
      </c>
      <c r="J1544" t="s">
        <v>192</v>
      </c>
      <c r="K1544" t="str">
        <f>VLOOKUP(Table1[[#This Row],[Loser]],Ranking!C:D,2,FALSE)</f>
        <v>SC</v>
      </c>
      <c r="L1544" s="1">
        <v>62</v>
      </c>
      <c r="N1544" s="1">
        <f>Table1[[#This Row],[Winning Score]]-Table1[[#This Row],[Losing Score]]</f>
        <v>10</v>
      </c>
      <c r="O1544" s="1">
        <f>Table1[[#This Row],[Losing Seed]]-Table1[[#This Row],[Winning Seed]]</f>
        <v>15</v>
      </c>
      <c r="P1544" s="1" t="str">
        <f>IF(Table1[[#This Row],[SeD]]&lt;-2,Table1[[#This Row],[Winning Seed]]&amp; " over " &amp;Table1[[#This Row],[Losing Seed]],"")</f>
        <v/>
      </c>
      <c r="Q1544">
        <f>VLOOKUP(Table1[[#This Row],[Losing Seed]],'Seed History'!$N$4:$O$19,2)</f>
        <v>6.9444444444444441E-3</v>
      </c>
      <c r="R1544" s="1">
        <f>IF(Table1[[#This Row],[Round]]="PI",0,Table1[[#This Row],[Round]]-1)</f>
        <v>0</v>
      </c>
      <c r="S1544">
        <f>Table1[[#This Row],[LAW]]-Table1[[#This Row],[LEW]]</f>
        <v>-6.9444444444444441E-3</v>
      </c>
    </row>
    <row r="1545" spans="1:19" x14ac:dyDescent="0.25">
      <c r="A1545" s="66">
        <v>39892</v>
      </c>
      <c r="B1545" s="51">
        <f>YEAR(Table1[[#This Row],[Date]])</f>
        <v>2009</v>
      </c>
      <c r="C1545" s="1">
        <v>1</v>
      </c>
      <c r="D1545" t="s">
        <v>49</v>
      </c>
      <c r="E1545" s="1">
        <v>4</v>
      </c>
      <c r="F1545" t="s">
        <v>44</v>
      </c>
      <c r="G1545" t="str">
        <f>VLOOKUP(Table1[[#This Row],[Winner]],Ranking!C:D,2,FALSE)</f>
        <v>BE</v>
      </c>
      <c r="H1545" s="1">
        <v>77</v>
      </c>
      <c r="I1545" s="1">
        <v>13</v>
      </c>
      <c r="J1545" t="s">
        <v>325</v>
      </c>
      <c r="K1545" t="str">
        <f>VLOOKUP(Table1[[#This Row],[Loser]],Ranking!C:D,2,FALSE)</f>
        <v>BSky</v>
      </c>
      <c r="L1545" s="1">
        <v>59</v>
      </c>
      <c r="N1545" s="1">
        <f>Table1[[#This Row],[Winning Score]]-Table1[[#This Row],[Losing Score]]</f>
        <v>18</v>
      </c>
      <c r="O1545" s="1">
        <f>Table1[[#This Row],[Losing Seed]]-Table1[[#This Row],[Winning Seed]]</f>
        <v>9</v>
      </c>
      <c r="P1545" s="1" t="str">
        <f>IF(Table1[[#This Row],[SeD]]&lt;-2,Table1[[#This Row],[Winning Seed]]&amp; " over " &amp;Table1[[#This Row],[Losing Seed]],"")</f>
        <v/>
      </c>
      <c r="Q1545">
        <f>VLOOKUP(Table1[[#This Row],[Losing Seed]],'Seed History'!$N$4:$O$19,2)</f>
        <v>0.25694444444444442</v>
      </c>
      <c r="R1545" s="1">
        <f>IF(Table1[[#This Row],[Round]]="PI",0,Table1[[#This Row],[Round]]-1)</f>
        <v>0</v>
      </c>
      <c r="S1545">
        <f>Table1[[#This Row],[LAW]]-Table1[[#This Row],[LEW]]</f>
        <v>-0.25694444444444442</v>
      </c>
    </row>
    <row r="1546" spans="1:19" x14ac:dyDescent="0.25">
      <c r="A1546" s="66">
        <v>39892</v>
      </c>
      <c r="B1546" s="51">
        <f>YEAR(Table1[[#This Row],[Date]])</f>
        <v>2009</v>
      </c>
      <c r="C1546" s="1">
        <v>1</v>
      </c>
      <c r="D1546" t="s">
        <v>49</v>
      </c>
      <c r="E1546" s="1">
        <v>8</v>
      </c>
      <c r="F1546" t="s">
        <v>316</v>
      </c>
      <c r="G1546" t="str">
        <f>VLOOKUP(Table1[[#This Row],[Winner]],Ranking!C:D,2,FALSE)</f>
        <v>B12</v>
      </c>
      <c r="H1546" s="1">
        <v>77</v>
      </c>
      <c r="I1546" s="1">
        <v>9</v>
      </c>
      <c r="J1546" t="s">
        <v>374</v>
      </c>
      <c r="K1546" t="str">
        <f>VLOOKUP(Table1[[#This Row],[Loser]],Ranking!C:D,2,FALSE)</f>
        <v>SEC</v>
      </c>
      <c r="L1546" s="1">
        <v>75</v>
      </c>
      <c r="N1546" s="1">
        <f>Table1[[#This Row],[Winning Score]]-Table1[[#This Row],[Losing Score]]</f>
        <v>2</v>
      </c>
      <c r="O1546" s="1">
        <f>Table1[[#This Row],[Losing Seed]]-Table1[[#This Row],[Winning Seed]]</f>
        <v>1</v>
      </c>
      <c r="P1546" s="1" t="str">
        <f>IF(Table1[[#This Row],[SeD]]&lt;-2,Table1[[#This Row],[Winning Seed]]&amp; " over " &amp;Table1[[#This Row],[Losing Seed]],"")</f>
        <v/>
      </c>
      <c r="Q1546">
        <f>VLOOKUP(Table1[[#This Row],[Losing Seed]],'Seed History'!$N$4:$O$19,2)</f>
        <v>0.59027777777777779</v>
      </c>
      <c r="R1546" s="1">
        <f>IF(Table1[[#This Row],[Round]]="PI",0,Table1[[#This Row],[Round]]-1)</f>
        <v>0</v>
      </c>
      <c r="S1546">
        <f>Table1[[#This Row],[LAW]]-Table1[[#This Row],[LEW]]</f>
        <v>-0.59027777777777779</v>
      </c>
    </row>
    <row r="1547" spans="1:19" x14ac:dyDescent="0.25">
      <c r="A1547" s="66">
        <v>39892</v>
      </c>
      <c r="B1547" s="51">
        <f>YEAR(Table1[[#This Row],[Date]])</f>
        <v>2009</v>
      </c>
      <c r="C1547" s="1">
        <v>1</v>
      </c>
      <c r="D1547" t="s">
        <v>439</v>
      </c>
      <c r="E1547" s="1">
        <v>1</v>
      </c>
      <c r="F1547" t="s">
        <v>54</v>
      </c>
      <c r="G1547" t="str">
        <f>VLOOKUP(Table1[[#This Row],[Winner]],Ranking!C:D,2,FALSE)</f>
        <v>ACC</v>
      </c>
      <c r="H1547" s="1">
        <v>74</v>
      </c>
      <c r="I1547" s="1">
        <v>16</v>
      </c>
      <c r="J1547" t="s">
        <v>282</v>
      </c>
      <c r="K1547" t="str">
        <f>VLOOKUP(Table1[[#This Row],[Loser]],Ranking!C:D,2,FALSE)</f>
        <v>OVC</v>
      </c>
      <c r="L1547" s="1">
        <v>54</v>
      </c>
      <c r="N1547" s="1">
        <f>Table1[[#This Row],[Winning Score]]-Table1[[#This Row],[Losing Score]]</f>
        <v>20</v>
      </c>
      <c r="O1547" s="1">
        <f>Table1[[#This Row],[Losing Seed]]-Table1[[#This Row],[Winning Seed]]</f>
        <v>15</v>
      </c>
      <c r="P1547" s="1" t="str">
        <f>IF(Table1[[#This Row],[SeD]]&lt;-2,Table1[[#This Row],[Winning Seed]]&amp; " over " &amp;Table1[[#This Row],[Losing Seed]],"")</f>
        <v/>
      </c>
      <c r="Q1547">
        <f>VLOOKUP(Table1[[#This Row],[Losing Seed]],'Seed History'!$N$4:$O$19,2)</f>
        <v>6.9444444444444441E-3</v>
      </c>
      <c r="R1547" s="1">
        <f>IF(Table1[[#This Row],[Round]]="PI",0,Table1[[#This Row],[Round]]-1)</f>
        <v>0</v>
      </c>
      <c r="S1547">
        <f>Table1[[#This Row],[LAW]]-Table1[[#This Row],[LEW]]</f>
        <v>-6.9444444444444441E-3</v>
      </c>
    </row>
    <row r="1548" spans="1:19" x14ac:dyDescent="0.25">
      <c r="A1548" s="66">
        <v>39892</v>
      </c>
      <c r="B1548" s="51">
        <f>YEAR(Table1[[#This Row],[Date]])</f>
        <v>2009</v>
      </c>
      <c r="C1548" s="1">
        <v>1</v>
      </c>
      <c r="D1548" t="s">
        <v>439</v>
      </c>
      <c r="E1548" s="1">
        <v>2</v>
      </c>
      <c r="F1548" t="s">
        <v>271</v>
      </c>
      <c r="G1548" t="str">
        <f>VLOOKUP(Table1[[#This Row],[Winner]],Ranking!C:D,2,FALSE)</f>
        <v>B10</v>
      </c>
      <c r="H1548" s="1">
        <v>77</v>
      </c>
      <c r="I1548" s="1">
        <v>15</v>
      </c>
      <c r="J1548" t="s">
        <v>333</v>
      </c>
      <c r="K1548" t="str">
        <f>VLOOKUP(Table1[[#This Row],[Loser]],Ranking!C:D,2,FALSE)</f>
        <v>Horz</v>
      </c>
      <c r="L1548" s="1">
        <v>62</v>
      </c>
      <c r="N1548" s="1">
        <f>Table1[[#This Row],[Winning Score]]-Table1[[#This Row],[Losing Score]]</f>
        <v>15</v>
      </c>
      <c r="O1548" s="1">
        <f>Table1[[#This Row],[Losing Seed]]-Table1[[#This Row],[Winning Seed]]</f>
        <v>13</v>
      </c>
      <c r="P1548" s="1" t="str">
        <f>IF(Table1[[#This Row],[SeD]]&lt;-2,Table1[[#This Row],[Winning Seed]]&amp; " over " &amp;Table1[[#This Row],[Losing Seed]],"")</f>
        <v/>
      </c>
      <c r="Q1548">
        <f>VLOOKUP(Table1[[#This Row],[Losing Seed]],'Seed History'!$N$4:$O$19,2)</f>
        <v>7.6388888888888895E-2</v>
      </c>
      <c r="R1548" s="1">
        <f>IF(Table1[[#This Row],[Round]]="PI",0,Table1[[#This Row],[Round]]-1)</f>
        <v>0</v>
      </c>
      <c r="S1548">
        <f>Table1[[#This Row],[LAW]]-Table1[[#This Row],[LEW]]</f>
        <v>-7.6388888888888895E-2</v>
      </c>
    </row>
    <row r="1549" spans="1:19" x14ac:dyDescent="0.25">
      <c r="A1549" s="66">
        <v>39892</v>
      </c>
      <c r="B1549" s="51">
        <f>YEAR(Table1[[#This Row],[Date]])</f>
        <v>2009</v>
      </c>
      <c r="C1549" s="1">
        <v>1</v>
      </c>
      <c r="D1549" t="s">
        <v>439</v>
      </c>
      <c r="E1549" s="1">
        <v>3</v>
      </c>
      <c r="F1549" t="s">
        <v>37</v>
      </c>
      <c r="G1549" t="str">
        <f>VLOOKUP(Table1[[#This Row],[Winner]],Ranking!C:D,2,FALSE)</f>
        <v>B12</v>
      </c>
      <c r="H1549" s="1">
        <v>84</v>
      </c>
      <c r="I1549" s="1">
        <v>14</v>
      </c>
      <c r="J1549" t="s">
        <v>303</v>
      </c>
      <c r="K1549" t="str">
        <f>VLOOKUP(Table1[[#This Row],[Loser]],Ranking!C:D,2,FALSE)</f>
        <v>Sum</v>
      </c>
      <c r="L1549" s="1">
        <v>74</v>
      </c>
      <c r="N1549" s="1">
        <f>Table1[[#This Row],[Winning Score]]-Table1[[#This Row],[Losing Score]]</f>
        <v>10</v>
      </c>
      <c r="O1549" s="1">
        <f>Table1[[#This Row],[Losing Seed]]-Table1[[#This Row],[Winning Seed]]</f>
        <v>11</v>
      </c>
      <c r="P1549" s="1" t="str">
        <f>IF(Table1[[#This Row],[SeD]]&lt;-2,Table1[[#This Row],[Winning Seed]]&amp; " over " &amp;Table1[[#This Row],[Losing Seed]],"")</f>
        <v/>
      </c>
      <c r="Q1549">
        <f>VLOOKUP(Table1[[#This Row],[Losing Seed]],'Seed History'!$N$4:$O$19,2)</f>
        <v>0.16666666666666666</v>
      </c>
      <c r="R1549" s="1">
        <f>IF(Table1[[#This Row],[Round]]="PI",0,Table1[[#This Row],[Round]]-1)</f>
        <v>0</v>
      </c>
      <c r="S1549">
        <f>Table1[[#This Row],[LAW]]-Table1[[#This Row],[LEW]]</f>
        <v>-0.16666666666666666</v>
      </c>
    </row>
    <row r="1550" spans="1:19" x14ac:dyDescent="0.25">
      <c r="A1550" s="66">
        <v>39892</v>
      </c>
      <c r="B1550" s="51">
        <f>YEAR(Table1[[#This Row],[Date]])</f>
        <v>2009</v>
      </c>
      <c r="C1550" s="1">
        <v>1</v>
      </c>
      <c r="D1550" t="s">
        <v>63</v>
      </c>
      <c r="E1550" s="1">
        <v>3</v>
      </c>
      <c r="F1550" t="s">
        <v>86</v>
      </c>
      <c r="G1550" t="str">
        <f>VLOOKUP(Table1[[#This Row],[Winner]],Ranking!C:D,2,FALSE)</f>
        <v>ACC</v>
      </c>
      <c r="H1550" s="1">
        <v>59</v>
      </c>
      <c r="I1550" s="1">
        <v>14</v>
      </c>
      <c r="J1550" t="s">
        <v>370</v>
      </c>
      <c r="K1550" t="str">
        <f>VLOOKUP(Table1[[#This Row],[Loser]],Ranking!C:D,2,FALSE)</f>
        <v>Slnd</v>
      </c>
      <c r="L1550" s="1">
        <v>44</v>
      </c>
      <c r="N1550" s="1">
        <f>Table1[[#This Row],[Winning Score]]-Table1[[#This Row],[Losing Score]]</f>
        <v>15</v>
      </c>
      <c r="O1550" s="1">
        <f>Table1[[#This Row],[Losing Seed]]-Table1[[#This Row],[Winning Seed]]</f>
        <v>11</v>
      </c>
      <c r="P1550" s="1" t="str">
        <f>IF(Table1[[#This Row],[SeD]]&lt;-2,Table1[[#This Row],[Winning Seed]]&amp; " over " &amp;Table1[[#This Row],[Losing Seed]],"")</f>
        <v/>
      </c>
      <c r="Q1550">
        <f>VLOOKUP(Table1[[#This Row],[Losing Seed]],'Seed History'!$N$4:$O$19,2)</f>
        <v>0.16666666666666666</v>
      </c>
      <c r="R1550" s="1">
        <f>IF(Table1[[#This Row],[Round]]="PI",0,Table1[[#This Row],[Round]]-1)</f>
        <v>0</v>
      </c>
      <c r="S1550">
        <f>Table1[[#This Row],[LAW]]-Table1[[#This Row],[LEW]]</f>
        <v>-0.16666666666666666</v>
      </c>
    </row>
    <row r="1551" spans="1:19" x14ac:dyDescent="0.25">
      <c r="A1551" s="66">
        <v>39892</v>
      </c>
      <c r="B1551" s="51">
        <f>YEAR(Table1[[#This Row],[Date]])</f>
        <v>2009</v>
      </c>
      <c r="C1551" s="1">
        <v>1</v>
      </c>
      <c r="D1551" t="s">
        <v>63</v>
      </c>
      <c r="E1551" s="1">
        <v>6</v>
      </c>
      <c r="F1551" t="s">
        <v>125</v>
      </c>
      <c r="G1551" t="str">
        <f>VLOOKUP(Table1[[#This Row],[Winner]],Ranking!C:D,2,FALSE)</f>
        <v>P12</v>
      </c>
      <c r="H1551" s="1">
        <v>66</v>
      </c>
      <c r="I1551" s="1">
        <v>11</v>
      </c>
      <c r="J1551" t="s">
        <v>373</v>
      </c>
      <c r="K1551" t="str">
        <f>VLOOKUP(Table1[[#This Row],[Loser]],Ranking!C:D,2,FALSE)</f>
        <v>Amer</v>
      </c>
      <c r="L1551" s="1">
        <v>57</v>
      </c>
      <c r="N1551" s="1">
        <f>Table1[[#This Row],[Winning Score]]-Table1[[#This Row],[Losing Score]]</f>
        <v>9</v>
      </c>
      <c r="O1551" s="1">
        <f>Table1[[#This Row],[Losing Seed]]-Table1[[#This Row],[Winning Seed]]</f>
        <v>5</v>
      </c>
      <c r="P1551" s="1" t="str">
        <f>IF(Table1[[#This Row],[SeD]]&lt;-2,Table1[[#This Row],[Winning Seed]]&amp; " over " &amp;Table1[[#This Row],[Losing Seed]],"")</f>
        <v/>
      </c>
      <c r="Q1551">
        <f>VLOOKUP(Table1[[#This Row],[Losing Seed]],'Seed History'!$N$4:$O$19,2)</f>
        <v>0.63194444444444442</v>
      </c>
      <c r="R1551" s="1">
        <f>IF(Table1[[#This Row],[Round]]="PI",0,Table1[[#This Row],[Round]]-1)</f>
        <v>0</v>
      </c>
      <c r="S1551">
        <f>Table1[[#This Row],[LAW]]-Table1[[#This Row],[LEW]]</f>
        <v>-0.63194444444444442</v>
      </c>
    </row>
    <row r="1552" spans="1:19" x14ac:dyDescent="0.25">
      <c r="A1552" s="66">
        <v>39892</v>
      </c>
      <c r="B1552" s="51">
        <f>YEAR(Table1[[#This Row],[Date]])</f>
        <v>2009</v>
      </c>
      <c r="C1552" s="1">
        <v>1</v>
      </c>
      <c r="D1552" t="s">
        <v>38</v>
      </c>
      <c r="E1552" s="1">
        <v>3</v>
      </c>
      <c r="F1552" t="s">
        <v>277</v>
      </c>
      <c r="G1552" t="str">
        <f>VLOOKUP(Table1[[#This Row],[Winner]],Ranking!C:D,2,FALSE)</f>
        <v>SEC</v>
      </c>
      <c r="H1552" s="1">
        <v>78</v>
      </c>
      <c r="I1552" s="1">
        <v>14</v>
      </c>
      <c r="J1552" t="s">
        <v>179</v>
      </c>
      <c r="K1552" t="str">
        <f>VLOOKUP(Table1[[#This Row],[Loser]],Ranking!C:D,2,FALSE)</f>
        <v>Ivy</v>
      </c>
      <c r="L1552" s="1">
        <v>59</v>
      </c>
      <c r="N1552" s="1">
        <f>Table1[[#This Row],[Winning Score]]-Table1[[#This Row],[Losing Score]]</f>
        <v>19</v>
      </c>
      <c r="O1552" s="1">
        <f>Table1[[#This Row],[Losing Seed]]-Table1[[#This Row],[Winning Seed]]</f>
        <v>11</v>
      </c>
      <c r="P1552" s="1" t="str">
        <f>IF(Table1[[#This Row],[SeD]]&lt;-2,Table1[[#This Row],[Winning Seed]]&amp; " over " &amp;Table1[[#This Row],[Losing Seed]],"")</f>
        <v/>
      </c>
      <c r="Q1552">
        <f>VLOOKUP(Table1[[#This Row],[Losing Seed]],'Seed History'!$N$4:$O$19,2)</f>
        <v>0.16666666666666666</v>
      </c>
      <c r="R1552" s="1">
        <f>IF(Table1[[#This Row],[Round]]="PI",0,Table1[[#This Row],[Round]]-1)</f>
        <v>0</v>
      </c>
      <c r="S1552">
        <f>Table1[[#This Row],[LAW]]-Table1[[#This Row],[LEW]]</f>
        <v>-0.16666666666666666</v>
      </c>
    </row>
    <row r="1553" spans="1:19" x14ac:dyDescent="0.25">
      <c r="A1553" s="66">
        <v>39892</v>
      </c>
      <c r="B1553" s="51">
        <f>YEAR(Table1[[#This Row],[Date]])</f>
        <v>2009</v>
      </c>
      <c r="C1553" s="1">
        <v>1</v>
      </c>
      <c r="D1553" t="s">
        <v>38</v>
      </c>
      <c r="E1553" s="1">
        <v>6</v>
      </c>
      <c r="F1553" t="s">
        <v>262</v>
      </c>
      <c r="G1553" t="str">
        <f>VLOOKUP(Table1[[#This Row],[Winner]],Ranking!C:D,2,FALSE)</f>
        <v>BE</v>
      </c>
      <c r="H1553" s="1">
        <v>58</v>
      </c>
      <c r="I1553" s="1">
        <v>11</v>
      </c>
      <c r="J1553" t="s">
        <v>400</v>
      </c>
      <c r="K1553" t="str">
        <f>VLOOKUP(Table1[[#This Row],[Loser]],Ranking!C:D,2,FALSE)</f>
        <v>MWC</v>
      </c>
      <c r="L1553" s="1">
        <v>57</v>
      </c>
      <c r="N1553" s="1">
        <f>Table1[[#This Row],[Winning Score]]-Table1[[#This Row],[Losing Score]]</f>
        <v>1</v>
      </c>
      <c r="O1553" s="1">
        <f>Table1[[#This Row],[Losing Seed]]-Table1[[#This Row],[Winning Seed]]</f>
        <v>5</v>
      </c>
      <c r="P1553" s="1" t="str">
        <f>IF(Table1[[#This Row],[SeD]]&lt;-2,Table1[[#This Row],[Winning Seed]]&amp; " over " &amp;Table1[[#This Row],[Losing Seed]],"")</f>
        <v/>
      </c>
      <c r="Q1553">
        <f>VLOOKUP(Table1[[#This Row],[Losing Seed]],'Seed History'!$N$4:$O$19,2)</f>
        <v>0.63194444444444442</v>
      </c>
      <c r="R1553" s="1">
        <f>IF(Table1[[#This Row],[Round]]="PI",0,Table1[[#This Row],[Round]]-1)</f>
        <v>0</v>
      </c>
      <c r="S1553">
        <f>Table1[[#This Row],[LAW]]-Table1[[#This Row],[LEW]]</f>
        <v>-0.63194444444444442</v>
      </c>
    </row>
    <row r="1554" spans="1:19" x14ac:dyDescent="0.25">
      <c r="A1554" s="66">
        <v>39892</v>
      </c>
      <c r="B1554" s="51">
        <f>YEAR(Table1[[#This Row],[Date]])</f>
        <v>2009</v>
      </c>
      <c r="C1554" s="1">
        <v>1</v>
      </c>
      <c r="D1554" t="s">
        <v>439</v>
      </c>
      <c r="E1554" s="1">
        <v>9</v>
      </c>
      <c r="F1554" t="s">
        <v>350</v>
      </c>
      <c r="G1554" t="str">
        <f>VLOOKUP(Table1[[#This Row],[Winner]],Ranking!C:D,2,FALSE)</f>
        <v>MAAC</v>
      </c>
      <c r="H1554" s="1">
        <v>74</v>
      </c>
      <c r="I1554" s="1">
        <v>8</v>
      </c>
      <c r="J1554" t="s">
        <v>315</v>
      </c>
      <c r="K1554" t="str">
        <f>VLOOKUP(Table1[[#This Row],[Loser]],Ranking!C:D,2,FALSE)</f>
        <v>B10</v>
      </c>
      <c r="L1554" s="1">
        <v>72</v>
      </c>
      <c r="M1554" s="1" t="s">
        <v>463</v>
      </c>
      <c r="N1554" s="1">
        <f>Table1[[#This Row],[Winning Score]]-Table1[[#This Row],[Losing Score]]</f>
        <v>2</v>
      </c>
      <c r="O1554" s="1">
        <f>Table1[[#This Row],[Losing Seed]]-Table1[[#This Row],[Winning Seed]]</f>
        <v>-1</v>
      </c>
      <c r="P1554" s="1" t="str">
        <f>IF(Table1[[#This Row],[SeD]]&lt;-2,Table1[[#This Row],[Winning Seed]]&amp; " over " &amp;Table1[[#This Row],[Losing Seed]],"")</f>
        <v/>
      </c>
      <c r="Q1554">
        <f>VLOOKUP(Table1[[#This Row],[Losing Seed]],'Seed History'!$N$4:$O$19,2)</f>
        <v>0.70833333333333337</v>
      </c>
      <c r="R1554" s="1">
        <f>IF(Table1[[#This Row],[Round]]="PI",0,Table1[[#This Row],[Round]]-1)</f>
        <v>0</v>
      </c>
      <c r="S1554">
        <f>Table1[[#This Row],[LAW]]-Table1[[#This Row],[LEW]]</f>
        <v>-0.70833333333333337</v>
      </c>
    </row>
    <row r="1555" spans="1:19" x14ac:dyDescent="0.25">
      <c r="A1555" s="66">
        <v>39893</v>
      </c>
      <c r="B1555" s="51">
        <f>YEAR(Table1[[#This Row],[Date]])</f>
        <v>2009</v>
      </c>
      <c r="C1555" s="1">
        <v>2</v>
      </c>
      <c r="D1555" t="s">
        <v>49</v>
      </c>
      <c r="E1555" s="1">
        <v>2</v>
      </c>
      <c r="F1555" t="s">
        <v>64</v>
      </c>
      <c r="G1555" t="str">
        <f>VLOOKUP(Table1[[#This Row],[Winner]],Ranking!C:D,2,FALSE)</f>
        <v>ACC</v>
      </c>
      <c r="H1555" s="1">
        <v>74</v>
      </c>
      <c r="I1555" s="1">
        <v>7</v>
      </c>
      <c r="J1555" t="s">
        <v>34</v>
      </c>
      <c r="K1555" t="str">
        <f>VLOOKUP(Table1[[#This Row],[Loser]],Ranking!C:D,2,FALSE)</f>
        <v>B12</v>
      </c>
      <c r="L1555" s="1">
        <v>69</v>
      </c>
      <c r="N1555" s="1">
        <f>Table1[[#This Row],[Winning Score]]-Table1[[#This Row],[Losing Score]]</f>
        <v>5</v>
      </c>
      <c r="O1555" s="1">
        <f>Table1[[#This Row],[Losing Seed]]-Table1[[#This Row],[Winning Seed]]</f>
        <v>5</v>
      </c>
      <c r="P1555" s="1" t="str">
        <f>IF(Table1[[#This Row],[SeD]]&lt;-2,Table1[[#This Row],[Winning Seed]]&amp; " over " &amp;Table1[[#This Row],[Losing Seed]],"")</f>
        <v/>
      </c>
      <c r="Q1555">
        <f>VLOOKUP(Table1[[#This Row],[Losing Seed]],'Seed History'!$N$4:$O$19,2)</f>
        <v>0.90277777777777779</v>
      </c>
      <c r="R1555" s="1">
        <f>IF(Table1[[#This Row],[Round]]="PI",0,Table1[[#This Row],[Round]]-1)</f>
        <v>1</v>
      </c>
      <c r="S1555">
        <f>Table1[[#This Row],[LAW]]-Table1[[#This Row],[LEW]]</f>
        <v>9.722222222222221E-2</v>
      </c>
    </row>
    <row r="1556" spans="1:19" x14ac:dyDescent="0.25">
      <c r="A1556" s="66">
        <v>39893</v>
      </c>
      <c r="B1556" s="51">
        <f>YEAR(Table1[[#This Row],[Date]])</f>
        <v>2009</v>
      </c>
      <c r="C1556" s="1">
        <v>2</v>
      </c>
      <c r="D1556" t="s">
        <v>49</v>
      </c>
      <c r="E1556" s="1">
        <v>3</v>
      </c>
      <c r="F1556" t="s">
        <v>50</v>
      </c>
      <c r="G1556" t="str">
        <f>VLOOKUP(Table1[[#This Row],[Winner]],Ranking!C:D,2,FALSE)</f>
        <v>BE</v>
      </c>
      <c r="H1556" s="1">
        <v>89</v>
      </c>
      <c r="I1556" s="1">
        <v>6</v>
      </c>
      <c r="J1556" t="s">
        <v>67</v>
      </c>
      <c r="K1556" t="str">
        <f>VLOOKUP(Table1[[#This Row],[Loser]],Ranking!C:D,2,FALSE)</f>
        <v>P12</v>
      </c>
      <c r="L1556" s="1">
        <v>69</v>
      </c>
      <c r="N1556" s="1">
        <f>Table1[[#This Row],[Winning Score]]-Table1[[#This Row],[Losing Score]]</f>
        <v>20</v>
      </c>
      <c r="O1556" s="1">
        <f>Table1[[#This Row],[Losing Seed]]-Table1[[#This Row],[Winning Seed]]</f>
        <v>3</v>
      </c>
      <c r="P1556" s="1" t="str">
        <f>IF(Table1[[#This Row],[SeD]]&lt;-2,Table1[[#This Row],[Winning Seed]]&amp; " over " &amp;Table1[[#This Row],[Losing Seed]],"")</f>
        <v/>
      </c>
      <c r="Q1556">
        <f>VLOOKUP(Table1[[#This Row],[Losing Seed]],'Seed History'!$N$4:$O$19,2)</f>
        <v>1.0625</v>
      </c>
      <c r="R1556" s="1">
        <f>IF(Table1[[#This Row],[Round]]="PI",0,Table1[[#This Row],[Round]]-1)</f>
        <v>1</v>
      </c>
      <c r="S1556">
        <f>Table1[[#This Row],[LAW]]-Table1[[#This Row],[LEW]]</f>
        <v>-6.25E-2</v>
      </c>
    </row>
    <row r="1557" spans="1:19" x14ac:dyDescent="0.25">
      <c r="A1557" s="66">
        <v>39893</v>
      </c>
      <c r="B1557" s="51">
        <f>YEAR(Table1[[#This Row],[Date]])</f>
        <v>2009</v>
      </c>
      <c r="C1557" s="1">
        <v>2</v>
      </c>
      <c r="D1557" t="s">
        <v>63</v>
      </c>
      <c r="E1557" s="1">
        <v>1</v>
      </c>
      <c r="F1557" t="s">
        <v>298</v>
      </c>
      <c r="G1557" t="str">
        <f>VLOOKUP(Table1[[#This Row],[Winner]],Ranking!C:D,2,FALSE)</f>
        <v>ACC</v>
      </c>
      <c r="H1557" s="1">
        <v>84</v>
      </c>
      <c r="I1557" s="1">
        <v>8</v>
      </c>
      <c r="J1557" t="s">
        <v>52</v>
      </c>
      <c r="K1557" t="str">
        <f>VLOOKUP(Table1[[#This Row],[Loser]],Ranking!C:D,2,FALSE)</f>
        <v>SEC</v>
      </c>
      <c r="L1557" s="1">
        <v>70</v>
      </c>
      <c r="N1557" s="1">
        <f>Table1[[#This Row],[Winning Score]]-Table1[[#This Row],[Losing Score]]</f>
        <v>14</v>
      </c>
      <c r="O1557" s="1">
        <f>Table1[[#This Row],[Losing Seed]]-Table1[[#This Row],[Winning Seed]]</f>
        <v>7</v>
      </c>
      <c r="P1557" s="1" t="str">
        <f>IF(Table1[[#This Row],[SeD]]&lt;-2,Table1[[#This Row],[Winning Seed]]&amp; " over " &amp;Table1[[#This Row],[Losing Seed]],"")</f>
        <v/>
      </c>
      <c r="Q1557">
        <f>VLOOKUP(Table1[[#This Row],[Losing Seed]],'Seed History'!$N$4:$O$19,2)</f>
        <v>0.70833333333333337</v>
      </c>
      <c r="R1557" s="1">
        <f>IF(Table1[[#This Row],[Round]]="PI",0,Table1[[#This Row],[Round]]-1)</f>
        <v>1</v>
      </c>
      <c r="S1557">
        <f>Table1[[#This Row],[LAW]]-Table1[[#This Row],[LEW]]</f>
        <v>0.29166666666666663</v>
      </c>
    </row>
    <row r="1558" spans="1:19" x14ac:dyDescent="0.25">
      <c r="A1558" s="66">
        <v>39893</v>
      </c>
      <c r="B1558" s="51">
        <f>YEAR(Table1[[#This Row],[Date]])</f>
        <v>2009</v>
      </c>
      <c r="C1558" s="1">
        <v>2</v>
      </c>
      <c r="D1558" t="s">
        <v>63</v>
      </c>
      <c r="E1558" s="1">
        <v>2</v>
      </c>
      <c r="F1558" t="s">
        <v>58</v>
      </c>
      <c r="G1558" t="str">
        <f>VLOOKUP(Table1[[#This Row],[Winner]],Ranking!C:D,2,FALSE)</f>
        <v>B12</v>
      </c>
      <c r="H1558" s="1">
        <v>73</v>
      </c>
      <c r="I1558" s="1">
        <v>10</v>
      </c>
      <c r="J1558" t="s">
        <v>82</v>
      </c>
      <c r="K1558" t="str">
        <f>VLOOKUP(Table1[[#This Row],[Loser]],Ranking!C:D,2,FALSE)</f>
        <v>B10</v>
      </c>
      <c r="L1558" s="1">
        <v>63</v>
      </c>
      <c r="N1558" s="1">
        <f>Table1[[#This Row],[Winning Score]]-Table1[[#This Row],[Losing Score]]</f>
        <v>10</v>
      </c>
      <c r="O1558" s="1">
        <f>Table1[[#This Row],[Losing Seed]]-Table1[[#This Row],[Winning Seed]]</f>
        <v>8</v>
      </c>
      <c r="P1558" s="1" t="str">
        <f>IF(Table1[[#This Row],[SeD]]&lt;-2,Table1[[#This Row],[Winning Seed]]&amp; " over " &amp;Table1[[#This Row],[Losing Seed]],"")</f>
        <v/>
      </c>
      <c r="Q1558">
        <f>VLOOKUP(Table1[[#This Row],[Losing Seed]],'Seed History'!$N$4:$O$19,2)</f>
        <v>0.61805555555555558</v>
      </c>
      <c r="R1558" s="1">
        <f>IF(Table1[[#This Row],[Round]]="PI",0,Table1[[#This Row],[Round]]-1)</f>
        <v>1</v>
      </c>
      <c r="S1558">
        <f>Table1[[#This Row],[LAW]]-Table1[[#This Row],[LEW]]</f>
        <v>0.38194444444444442</v>
      </c>
    </row>
    <row r="1559" spans="1:19" x14ac:dyDescent="0.25">
      <c r="A1559" s="66">
        <v>39893</v>
      </c>
      <c r="B1559" s="51">
        <f>YEAR(Table1[[#This Row],[Date]])</f>
        <v>2009</v>
      </c>
      <c r="C1559" s="1">
        <v>2</v>
      </c>
      <c r="D1559" t="s">
        <v>63</v>
      </c>
      <c r="E1559" s="1">
        <v>4</v>
      </c>
      <c r="F1559" t="s">
        <v>71</v>
      </c>
      <c r="G1559" t="str">
        <f>VLOOKUP(Table1[[#This Row],[Winner]],Ranking!C:D,2,FALSE)</f>
        <v>WCC</v>
      </c>
      <c r="H1559" s="1">
        <v>83</v>
      </c>
      <c r="I1559" s="1">
        <v>12</v>
      </c>
      <c r="J1559" t="s">
        <v>415</v>
      </c>
      <c r="K1559" t="str">
        <f>VLOOKUP(Table1[[#This Row],[Loser]],Ranking!C:D,2,FALSE)</f>
        <v>CUSA</v>
      </c>
      <c r="L1559" s="1">
        <v>81</v>
      </c>
      <c r="N1559" s="1">
        <f>Table1[[#This Row],[Winning Score]]-Table1[[#This Row],[Losing Score]]</f>
        <v>2</v>
      </c>
      <c r="O1559" s="1">
        <f>Table1[[#This Row],[Losing Seed]]-Table1[[#This Row],[Winning Seed]]</f>
        <v>8</v>
      </c>
      <c r="P1559" s="1" t="str">
        <f>IF(Table1[[#This Row],[SeD]]&lt;-2,Table1[[#This Row],[Winning Seed]]&amp; " over " &amp;Table1[[#This Row],[Losing Seed]],"")</f>
        <v/>
      </c>
      <c r="Q1559">
        <f>VLOOKUP(Table1[[#This Row],[Losing Seed]],'Seed History'!$N$4:$O$19,2)</f>
        <v>0.52083333333333337</v>
      </c>
      <c r="R1559" s="1">
        <f>IF(Table1[[#This Row],[Round]]="PI",0,Table1[[#This Row],[Round]]-1)</f>
        <v>1</v>
      </c>
      <c r="S1559">
        <f>Table1[[#This Row],[LAW]]-Table1[[#This Row],[LEW]]</f>
        <v>0.47916666666666663</v>
      </c>
    </row>
    <row r="1560" spans="1:19" x14ac:dyDescent="0.25">
      <c r="A1560" s="66">
        <v>39893</v>
      </c>
      <c r="B1560" s="51">
        <f>YEAR(Table1[[#This Row],[Date]])</f>
        <v>2009</v>
      </c>
      <c r="C1560" s="1">
        <v>2</v>
      </c>
      <c r="D1560" t="s">
        <v>38</v>
      </c>
      <c r="E1560" s="1">
        <v>1</v>
      </c>
      <c r="F1560" t="s">
        <v>80</v>
      </c>
      <c r="G1560" t="str">
        <f>VLOOKUP(Table1[[#This Row],[Winner]],Ranking!C:D,2,FALSE)</f>
        <v>BE</v>
      </c>
      <c r="H1560" s="1">
        <v>92</v>
      </c>
      <c r="I1560" s="1">
        <v>9</v>
      </c>
      <c r="J1560" t="s">
        <v>79</v>
      </c>
      <c r="K1560" t="str">
        <f>VLOOKUP(Table1[[#This Row],[Loser]],Ranking!C:D,2,FALSE)</f>
        <v>SEC</v>
      </c>
      <c r="L1560" s="1">
        <v>66</v>
      </c>
      <c r="N1560" s="1">
        <f>Table1[[#This Row],[Winning Score]]-Table1[[#This Row],[Losing Score]]</f>
        <v>26</v>
      </c>
      <c r="O1560" s="1">
        <f>Table1[[#This Row],[Losing Seed]]-Table1[[#This Row],[Winning Seed]]</f>
        <v>8</v>
      </c>
      <c r="P1560" s="1" t="str">
        <f>IF(Table1[[#This Row],[SeD]]&lt;-2,Table1[[#This Row],[Winning Seed]]&amp; " over " &amp;Table1[[#This Row],[Losing Seed]],"")</f>
        <v/>
      </c>
      <c r="Q1560">
        <f>VLOOKUP(Table1[[#This Row],[Losing Seed]],'Seed History'!$N$4:$O$19,2)</f>
        <v>0.59027777777777779</v>
      </c>
      <c r="R1560" s="1">
        <f>IF(Table1[[#This Row],[Round]]="PI",0,Table1[[#This Row],[Round]]-1)</f>
        <v>1</v>
      </c>
      <c r="S1560">
        <f>Table1[[#This Row],[LAW]]-Table1[[#This Row],[LEW]]</f>
        <v>0.40972222222222221</v>
      </c>
    </row>
    <row r="1561" spans="1:19" x14ac:dyDescent="0.25">
      <c r="A1561" s="66">
        <v>39893</v>
      </c>
      <c r="B1561" s="51">
        <f>YEAR(Table1[[#This Row],[Date]])</f>
        <v>2009</v>
      </c>
      <c r="C1561" s="1">
        <v>2</v>
      </c>
      <c r="D1561" t="s">
        <v>38</v>
      </c>
      <c r="E1561" s="1">
        <v>2</v>
      </c>
      <c r="F1561" t="s">
        <v>267</v>
      </c>
      <c r="G1561" t="str">
        <f>VLOOKUP(Table1[[#This Row],[Winner]],Ranking!C:D,2,FALSE)</f>
        <v>Amer</v>
      </c>
      <c r="H1561" s="1">
        <v>89</v>
      </c>
      <c r="I1561" s="1">
        <v>10</v>
      </c>
      <c r="J1561" t="s">
        <v>31</v>
      </c>
      <c r="K1561" t="str">
        <f>VLOOKUP(Table1[[#This Row],[Loser]],Ranking!C:D,2,FALSE)</f>
        <v>B10</v>
      </c>
      <c r="L1561" s="1">
        <v>70</v>
      </c>
      <c r="N1561" s="1">
        <f>Table1[[#This Row],[Winning Score]]-Table1[[#This Row],[Losing Score]]</f>
        <v>19</v>
      </c>
      <c r="O1561" s="1">
        <f>Table1[[#This Row],[Losing Seed]]-Table1[[#This Row],[Winning Seed]]</f>
        <v>8</v>
      </c>
      <c r="P1561" s="1" t="str">
        <f>IF(Table1[[#This Row],[SeD]]&lt;-2,Table1[[#This Row],[Winning Seed]]&amp; " over " &amp;Table1[[#This Row],[Losing Seed]],"")</f>
        <v/>
      </c>
      <c r="Q1561">
        <f>VLOOKUP(Table1[[#This Row],[Losing Seed]],'Seed History'!$N$4:$O$19,2)</f>
        <v>0.61805555555555558</v>
      </c>
      <c r="R1561" s="1">
        <f>IF(Table1[[#This Row],[Round]]="PI",0,Table1[[#This Row],[Round]]-1)</f>
        <v>1</v>
      </c>
      <c r="S1561">
        <f>Table1[[#This Row],[LAW]]-Table1[[#This Row],[LEW]]</f>
        <v>0.38194444444444442</v>
      </c>
    </row>
    <row r="1562" spans="1:19" x14ac:dyDescent="0.25">
      <c r="A1562" s="66">
        <v>39893</v>
      </c>
      <c r="B1562" s="51">
        <f>YEAR(Table1[[#This Row],[Date]])</f>
        <v>2009</v>
      </c>
      <c r="C1562" s="1">
        <v>2</v>
      </c>
      <c r="D1562" t="s">
        <v>38</v>
      </c>
      <c r="E1562" s="1">
        <v>5</v>
      </c>
      <c r="F1562" t="s">
        <v>29</v>
      </c>
      <c r="G1562" t="str">
        <f>VLOOKUP(Table1[[#This Row],[Winner]],Ranking!C:D,2,FALSE)</f>
        <v>B10</v>
      </c>
      <c r="H1562" s="1">
        <v>76</v>
      </c>
      <c r="I1562" s="1">
        <v>4</v>
      </c>
      <c r="J1562" t="s">
        <v>409</v>
      </c>
      <c r="K1562" t="str">
        <f>VLOOKUP(Table1[[#This Row],[Loser]],Ranking!C:D,2,FALSE)</f>
        <v>P12</v>
      </c>
      <c r="L1562" s="1">
        <v>74</v>
      </c>
      <c r="N1562" s="1">
        <f>Table1[[#This Row],[Winning Score]]-Table1[[#This Row],[Losing Score]]</f>
        <v>2</v>
      </c>
      <c r="O1562" s="1">
        <f>Table1[[#This Row],[Losing Seed]]-Table1[[#This Row],[Winning Seed]]</f>
        <v>-1</v>
      </c>
      <c r="P1562" s="1" t="str">
        <f>IF(Table1[[#This Row],[SeD]]&lt;-2,Table1[[#This Row],[Winning Seed]]&amp; " over " &amp;Table1[[#This Row],[Losing Seed]],"")</f>
        <v/>
      </c>
      <c r="Q1562">
        <f>VLOOKUP(Table1[[#This Row],[Losing Seed]],'Seed History'!$N$4:$O$19,2)</f>
        <v>1.5208333333333333</v>
      </c>
      <c r="R1562" s="1">
        <f>IF(Table1[[#This Row],[Round]]="PI",0,Table1[[#This Row],[Round]]-1)</f>
        <v>1</v>
      </c>
      <c r="S1562">
        <f>Table1[[#This Row],[LAW]]-Table1[[#This Row],[LEW]]</f>
        <v>-0.52083333333333326</v>
      </c>
    </row>
    <row r="1563" spans="1:19" x14ac:dyDescent="0.25">
      <c r="A1563" s="66">
        <v>39894</v>
      </c>
      <c r="B1563" s="51">
        <f>YEAR(Table1[[#This Row],[Date]])</f>
        <v>2009</v>
      </c>
      <c r="C1563" s="1">
        <v>2</v>
      </c>
      <c r="D1563" t="s">
        <v>49</v>
      </c>
      <c r="E1563" s="1">
        <v>1</v>
      </c>
      <c r="F1563" t="s">
        <v>83</v>
      </c>
      <c r="G1563" t="str">
        <f>VLOOKUP(Table1[[#This Row],[Winner]],Ranking!C:D,2,FALSE)</f>
        <v>ACC</v>
      </c>
      <c r="H1563" s="1">
        <v>84</v>
      </c>
      <c r="I1563" s="1">
        <v>8</v>
      </c>
      <c r="J1563" t="s">
        <v>316</v>
      </c>
      <c r="K1563" t="str">
        <f>VLOOKUP(Table1[[#This Row],[Loser]],Ranking!C:D,2,FALSE)</f>
        <v>B12</v>
      </c>
      <c r="L1563" s="1">
        <v>76</v>
      </c>
      <c r="N1563" s="1">
        <f>Table1[[#This Row],[Winning Score]]-Table1[[#This Row],[Losing Score]]</f>
        <v>8</v>
      </c>
      <c r="O1563" s="1">
        <f>Table1[[#This Row],[Losing Seed]]-Table1[[#This Row],[Winning Seed]]</f>
        <v>7</v>
      </c>
      <c r="P1563" s="1" t="str">
        <f>IF(Table1[[#This Row],[SeD]]&lt;-2,Table1[[#This Row],[Winning Seed]]&amp; " over " &amp;Table1[[#This Row],[Losing Seed]],"")</f>
        <v/>
      </c>
      <c r="Q1563">
        <f>VLOOKUP(Table1[[#This Row],[Losing Seed]],'Seed History'!$N$4:$O$19,2)</f>
        <v>0.70833333333333337</v>
      </c>
      <c r="R1563" s="1">
        <f>IF(Table1[[#This Row],[Round]]="PI",0,Table1[[#This Row],[Round]]-1)</f>
        <v>1</v>
      </c>
      <c r="S1563">
        <f>Table1[[#This Row],[LAW]]-Table1[[#This Row],[LEW]]</f>
        <v>0.29166666666666663</v>
      </c>
    </row>
    <row r="1564" spans="1:19" x14ac:dyDescent="0.25">
      <c r="A1564" s="66">
        <v>39894</v>
      </c>
      <c r="B1564" s="51">
        <f>YEAR(Table1[[#This Row],[Date]])</f>
        <v>2009</v>
      </c>
      <c r="C1564" s="1">
        <v>2</v>
      </c>
      <c r="D1564" t="s">
        <v>49</v>
      </c>
      <c r="E1564" s="1">
        <v>4</v>
      </c>
      <c r="F1564" t="s">
        <v>44</v>
      </c>
      <c r="G1564" t="str">
        <f>VLOOKUP(Table1[[#This Row],[Winner]],Ranking!C:D,2,FALSE)</f>
        <v>BE</v>
      </c>
      <c r="H1564" s="1">
        <v>60</v>
      </c>
      <c r="I1564" s="1">
        <v>12</v>
      </c>
      <c r="J1564" t="s">
        <v>39</v>
      </c>
      <c r="K1564" t="str">
        <f>VLOOKUP(Table1[[#This Row],[Loser]],Ranking!C:D,2,FALSE)</f>
        <v>B10</v>
      </c>
      <c r="L1564" s="1">
        <v>49</v>
      </c>
      <c r="N1564" s="1">
        <f>Table1[[#This Row],[Winning Score]]-Table1[[#This Row],[Losing Score]]</f>
        <v>11</v>
      </c>
      <c r="O1564" s="1">
        <f>Table1[[#This Row],[Losing Seed]]-Table1[[#This Row],[Winning Seed]]</f>
        <v>8</v>
      </c>
      <c r="P1564" s="1" t="str">
        <f>IF(Table1[[#This Row],[SeD]]&lt;-2,Table1[[#This Row],[Winning Seed]]&amp; " over " &amp;Table1[[#This Row],[Losing Seed]],"")</f>
        <v/>
      </c>
      <c r="Q1564">
        <f>VLOOKUP(Table1[[#This Row],[Losing Seed]],'Seed History'!$N$4:$O$19,2)</f>
        <v>0.52083333333333337</v>
      </c>
      <c r="R1564" s="1">
        <f>IF(Table1[[#This Row],[Round]]="PI",0,Table1[[#This Row],[Round]]-1)</f>
        <v>1</v>
      </c>
      <c r="S1564">
        <f>Table1[[#This Row],[LAW]]-Table1[[#This Row],[LEW]]</f>
        <v>0.47916666666666663</v>
      </c>
    </row>
    <row r="1565" spans="1:19" x14ac:dyDescent="0.25">
      <c r="A1565" s="66">
        <v>39894</v>
      </c>
      <c r="B1565" s="51">
        <f>YEAR(Table1[[#This Row],[Date]])</f>
        <v>2009</v>
      </c>
      <c r="C1565" s="1">
        <v>2</v>
      </c>
      <c r="D1565" t="s">
        <v>439</v>
      </c>
      <c r="E1565" s="1">
        <v>1</v>
      </c>
      <c r="F1565" t="s">
        <v>54</v>
      </c>
      <c r="G1565" t="str">
        <f>VLOOKUP(Table1[[#This Row],[Winner]],Ranking!C:D,2,FALSE)</f>
        <v>ACC</v>
      </c>
      <c r="H1565" s="1">
        <v>79</v>
      </c>
      <c r="I1565" s="1">
        <v>9</v>
      </c>
      <c r="J1565" t="s">
        <v>350</v>
      </c>
      <c r="K1565" t="str">
        <f>VLOOKUP(Table1[[#This Row],[Loser]],Ranking!C:D,2,FALSE)</f>
        <v>MAAC</v>
      </c>
      <c r="L1565" s="1">
        <v>72</v>
      </c>
      <c r="N1565" s="1">
        <f>Table1[[#This Row],[Winning Score]]-Table1[[#This Row],[Losing Score]]</f>
        <v>7</v>
      </c>
      <c r="O1565" s="1">
        <f>Table1[[#This Row],[Losing Seed]]-Table1[[#This Row],[Winning Seed]]</f>
        <v>8</v>
      </c>
      <c r="P1565" s="1" t="str">
        <f>IF(Table1[[#This Row],[SeD]]&lt;-2,Table1[[#This Row],[Winning Seed]]&amp; " over " &amp;Table1[[#This Row],[Losing Seed]],"")</f>
        <v/>
      </c>
      <c r="Q1565">
        <f>VLOOKUP(Table1[[#This Row],[Losing Seed]],'Seed History'!$N$4:$O$19,2)</f>
        <v>0.59027777777777779</v>
      </c>
      <c r="R1565" s="1">
        <f>IF(Table1[[#This Row],[Round]]="PI",0,Table1[[#This Row],[Round]]-1)</f>
        <v>1</v>
      </c>
      <c r="S1565">
        <f>Table1[[#This Row],[LAW]]-Table1[[#This Row],[LEW]]</f>
        <v>0.40972222222222221</v>
      </c>
    </row>
    <row r="1566" spans="1:19" x14ac:dyDescent="0.25">
      <c r="A1566" s="66">
        <v>39894</v>
      </c>
      <c r="B1566" s="51">
        <f>YEAR(Table1[[#This Row],[Date]])</f>
        <v>2009</v>
      </c>
      <c r="C1566" s="1">
        <v>2</v>
      </c>
      <c r="D1566" t="s">
        <v>439</v>
      </c>
      <c r="E1566" s="1">
        <v>2</v>
      </c>
      <c r="F1566" t="s">
        <v>271</v>
      </c>
      <c r="G1566" t="str">
        <f>VLOOKUP(Table1[[#This Row],[Winner]],Ranking!C:D,2,FALSE)</f>
        <v>B10</v>
      </c>
      <c r="H1566" s="1">
        <v>74</v>
      </c>
      <c r="I1566" s="1">
        <v>10</v>
      </c>
      <c r="J1566" t="s">
        <v>85</v>
      </c>
      <c r="K1566" t="str">
        <f>VLOOKUP(Table1[[#This Row],[Loser]],Ranking!C:D,2,FALSE)</f>
        <v>P12</v>
      </c>
      <c r="L1566" s="1">
        <v>69</v>
      </c>
      <c r="N1566" s="1">
        <f>Table1[[#This Row],[Winning Score]]-Table1[[#This Row],[Losing Score]]</f>
        <v>5</v>
      </c>
      <c r="O1566" s="1">
        <f>Table1[[#This Row],[Losing Seed]]-Table1[[#This Row],[Winning Seed]]</f>
        <v>8</v>
      </c>
      <c r="P1566" s="1" t="str">
        <f>IF(Table1[[#This Row],[SeD]]&lt;-2,Table1[[#This Row],[Winning Seed]]&amp; " over " &amp;Table1[[#This Row],[Losing Seed]],"")</f>
        <v/>
      </c>
      <c r="Q1566">
        <f>VLOOKUP(Table1[[#This Row],[Losing Seed]],'Seed History'!$N$4:$O$19,2)</f>
        <v>0.61805555555555558</v>
      </c>
      <c r="R1566" s="1">
        <f>IF(Table1[[#This Row],[Round]]="PI",0,Table1[[#This Row],[Round]]-1)</f>
        <v>1</v>
      </c>
      <c r="S1566">
        <f>Table1[[#This Row],[LAW]]-Table1[[#This Row],[LEW]]</f>
        <v>0.38194444444444442</v>
      </c>
    </row>
    <row r="1567" spans="1:19" x14ac:dyDescent="0.25">
      <c r="A1567" s="66">
        <v>39894</v>
      </c>
      <c r="B1567" s="51">
        <f>YEAR(Table1[[#This Row],[Date]])</f>
        <v>2009</v>
      </c>
      <c r="C1567" s="1">
        <v>2</v>
      </c>
      <c r="D1567" t="s">
        <v>439</v>
      </c>
      <c r="E1567" s="1">
        <v>3</v>
      </c>
      <c r="F1567" t="s">
        <v>37</v>
      </c>
      <c r="G1567" t="str">
        <f>VLOOKUP(Table1[[#This Row],[Winner]],Ranking!C:D,2,FALSE)</f>
        <v>B12</v>
      </c>
      <c r="H1567" s="1">
        <v>60</v>
      </c>
      <c r="I1567" s="1">
        <v>11</v>
      </c>
      <c r="J1567" t="s">
        <v>57</v>
      </c>
      <c r="K1567" t="str">
        <f>VLOOKUP(Table1[[#This Row],[Loser]],Ranking!C:D,2,FALSE)</f>
        <v>A10</v>
      </c>
      <c r="L1567" s="1">
        <v>43</v>
      </c>
      <c r="N1567" s="1">
        <f>Table1[[#This Row],[Winning Score]]-Table1[[#This Row],[Losing Score]]</f>
        <v>17</v>
      </c>
      <c r="O1567" s="1">
        <f>Table1[[#This Row],[Losing Seed]]-Table1[[#This Row],[Winning Seed]]</f>
        <v>8</v>
      </c>
      <c r="P1567" s="1" t="str">
        <f>IF(Table1[[#This Row],[SeD]]&lt;-2,Table1[[#This Row],[Winning Seed]]&amp; " over " &amp;Table1[[#This Row],[Losing Seed]],"")</f>
        <v/>
      </c>
      <c r="Q1567">
        <f>VLOOKUP(Table1[[#This Row],[Losing Seed]],'Seed History'!$N$4:$O$19,2)</f>
        <v>0.63194444444444442</v>
      </c>
      <c r="R1567" s="1">
        <f>IF(Table1[[#This Row],[Round]]="PI",0,Table1[[#This Row],[Round]]-1)</f>
        <v>1</v>
      </c>
      <c r="S1567">
        <f>Table1[[#This Row],[LAW]]-Table1[[#This Row],[LEW]]</f>
        <v>0.36805555555555558</v>
      </c>
    </row>
    <row r="1568" spans="1:19" x14ac:dyDescent="0.25">
      <c r="A1568" s="66">
        <v>39894</v>
      </c>
      <c r="B1568" s="51">
        <f>YEAR(Table1[[#This Row],[Date]])</f>
        <v>2009</v>
      </c>
      <c r="C1568" s="1">
        <v>2</v>
      </c>
      <c r="D1568" t="s">
        <v>439</v>
      </c>
      <c r="E1568" s="1">
        <v>12</v>
      </c>
      <c r="F1568" t="s">
        <v>48</v>
      </c>
      <c r="G1568" t="str">
        <f>VLOOKUP(Table1[[#This Row],[Winner]],Ranking!C:D,2,FALSE)</f>
        <v>P12</v>
      </c>
      <c r="H1568" s="1">
        <v>71</v>
      </c>
      <c r="I1568" s="1">
        <v>13</v>
      </c>
      <c r="J1568" t="s">
        <v>171</v>
      </c>
      <c r="K1568" t="str">
        <f>VLOOKUP(Table1[[#This Row],[Loser]],Ranking!C:D,2,FALSE)</f>
        <v>Horz</v>
      </c>
      <c r="L1568" s="1">
        <v>57</v>
      </c>
      <c r="N1568" s="1">
        <f>Table1[[#This Row],[Winning Score]]-Table1[[#This Row],[Losing Score]]</f>
        <v>14</v>
      </c>
      <c r="O1568" s="1">
        <f>Table1[[#This Row],[Losing Seed]]-Table1[[#This Row],[Winning Seed]]</f>
        <v>1</v>
      </c>
      <c r="P1568" s="1" t="str">
        <f>IF(Table1[[#This Row],[SeD]]&lt;-2,Table1[[#This Row],[Winning Seed]]&amp; " over " &amp;Table1[[#This Row],[Losing Seed]],"")</f>
        <v/>
      </c>
      <c r="Q1568">
        <f>VLOOKUP(Table1[[#This Row],[Losing Seed]],'Seed History'!$N$4:$O$19,2)</f>
        <v>0.25694444444444442</v>
      </c>
      <c r="R1568" s="1">
        <f>IF(Table1[[#This Row],[Round]]="PI",0,Table1[[#This Row],[Round]]-1)</f>
        <v>1</v>
      </c>
      <c r="S1568">
        <f>Table1[[#This Row],[LAW]]-Table1[[#This Row],[LEW]]</f>
        <v>0.74305555555555558</v>
      </c>
    </row>
    <row r="1569" spans="1:19" x14ac:dyDescent="0.25">
      <c r="A1569" s="66">
        <v>39894</v>
      </c>
      <c r="B1569" s="51">
        <f>YEAR(Table1[[#This Row],[Date]])</f>
        <v>2009</v>
      </c>
      <c r="C1569" s="1">
        <v>2</v>
      </c>
      <c r="D1569" t="s">
        <v>63</v>
      </c>
      <c r="E1569" s="1">
        <v>3</v>
      </c>
      <c r="F1569" t="s">
        <v>86</v>
      </c>
      <c r="G1569" t="str">
        <f>VLOOKUP(Table1[[#This Row],[Winner]],Ranking!C:D,2,FALSE)</f>
        <v>ACC</v>
      </c>
      <c r="H1569" s="1">
        <v>78</v>
      </c>
      <c r="I1569" s="1">
        <v>6</v>
      </c>
      <c r="J1569" t="s">
        <v>125</v>
      </c>
      <c r="K1569" t="str">
        <f>VLOOKUP(Table1[[#This Row],[Loser]],Ranking!C:D,2,FALSE)</f>
        <v>P12</v>
      </c>
      <c r="L1569" s="1">
        <v>67</v>
      </c>
      <c r="N1569" s="1">
        <f>Table1[[#This Row],[Winning Score]]-Table1[[#This Row],[Losing Score]]</f>
        <v>11</v>
      </c>
      <c r="O1569" s="1">
        <f>Table1[[#This Row],[Losing Seed]]-Table1[[#This Row],[Winning Seed]]</f>
        <v>3</v>
      </c>
      <c r="P1569" s="1" t="str">
        <f>IF(Table1[[#This Row],[SeD]]&lt;-2,Table1[[#This Row],[Winning Seed]]&amp; " over " &amp;Table1[[#This Row],[Losing Seed]],"")</f>
        <v/>
      </c>
      <c r="Q1569">
        <f>VLOOKUP(Table1[[#This Row],[Losing Seed]],'Seed History'!$N$4:$O$19,2)</f>
        <v>1.0625</v>
      </c>
      <c r="R1569" s="1">
        <f>IF(Table1[[#This Row],[Round]]="PI",0,Table1[[#This Row],[Round]]-1)</f>
        <v>1</v>
      </c>
      <c r="S1569">
        <f>Table1[[#This Row],[LAW]]-Table1[[#This Row],[LEW]]</f>
        <v>-6.25E-2</v>
      </c>
    </row>
    <row r="1570" spans="1:19" x14ac:dyDescent="0.25">
      <c r="A1570" s="66">
        <v>39894</v>
      </c>
      <c r="B1570" s="51">
        <f>YEAR(Table1[[#This Row],[Date]])</f>
        <v>2009</v>
      </c>
      <c r="C1570" s="1">
        <v>2</v>
      </c>
      <c r="D1570" t="s">
        <v>38</v>
      </c>
      <c r="E1570" s="1">
        <v>3</v>
      </c>
      <c r="F1570" t="s">
        <v>277</v>
      </c>
      <c r="G1570" t="str">
        <f>VLOOKUP(Table1[[#This Row],[Winner]],Ranking!C:D,2,FALSE)</f>
        <v>SEC</v>
      </c>
      <c r="H1570" s="1">
        <v>83</v>
      </c>
      <c r="I1570" s="1">
        <v>6</v>
      </c>
      <c r="J1570" t="s">
        <v>262</v>
      </c>
      <c r="K1570" t="str">
        <f>VLOOKUP(Table1[[#This Row],[Loser]],Ranking!C:D,2,FALSE)</f>
        <v>BE</v>
      </c>
      <c r="L1570" s="1">
        <v>79</v>
      </c>
      <c r="N1570" s="1">
        <f>Table1[[#This Row],[Winning Score]]-Table1[[#This Row],[Losing Score]]</f>
        <v>4</v>
      </c>
      <c r="O1570" s="1">
        <f>Table1[[#This Row],[Losing Seed]]-Table1[[#This Row],[Winning Seed]]</f>
        <v>3</v>
      </c>
      <c r="P1570" s="1" t="str">
        <f>IF(Table1[[#This Row],[SeD]]&lt;-2,Table1[[#This Row],[Winning Seed]]&amp; " over " &amp;Table1[[#This Row],[Losing Seed]],"")</f>
        <v/>
      </c>
      <c r="Q1570">
        <f>VLOOKUP(Table1[[#This Row],[Losing Seed]],'Seed History'!$N$4:$O$19,2)</f>
        <v>1.0625</v>
      </c>
      <c r="R1570" s="1">
        <f>IF(Table1[[#This Row],[Round]]="PI",0,Table1[[#This Row],[Round]]-1)</f>
        <v>1</v>
      </c>
      <c r="S1570">
        <f>Table1[[#This Row],[LAW]]-Table1[[#This Row],[LEW]]</f>
        <v>-6.25E-2</v>
      </c>
    </row>
    <row r="1571" spans="1:19" x14ac:dyDescent="0.25">
      <c r="A1571" s="66">
        <v>39898</v>
      </c>
      <c r="B1571" s="51">
        <f>YEAR(Table1[[#This Row],[Date]])</f>
        <v>2009</v>
      </c>
      <c r="C1571" s="1">
        <v>3</v>
      </c>
      <c r="D1571" t="s">
        <v>49</v>
      </c>
      <c r="E1571" s="1">
        <v>1</v>
      </c>
      <c r="F1571" t="s">
        <v>83</v>
      </c>
      <c r="G1571" t="str">
        <f>VLOOKUP(Table1[[#This Row],[Winner]],Ranking!C:D,2,FALSE)</f>
        <v>ACC</v>
      </c>
      <c r="H1571" s="1">
        <v>60</v>
      </c>
      <c r="I1571" s="1">
        <v>4</v>
      </c>
      <c r="J1571" t="s">
        <v>44</v>
      </c>
      <c r="K1571" t="str">
        <f>VLOOKUP(Table1[[#This Row],[Loser]],Ranking!C:D,2,FALSE)</f>
        <v>BE</v>
      </c>
      <c r="L1571" s="1">
        <v>55</v>
      </c>
      <c r="N1571" s="1">
        <f>Table1[[#This Row],[Winning Score]]-Table1[[#This Row],[Losing Score]]</f>
        <v>5</v>
      </c>
      <c r="O1571" s="1">
        <f>Table1[[#This Row],[Losing Seed]]-Table1[[#This Row],[Winning Seed]]</f>
        <v>3</v>
      </c>
      <c r="P1571" s="1" t="str">
        <f>IF(Table1[[#This Row],[SeD]]&lt;-2,Table1[[#This Row],[Winning Seed]]&amp; " over " &amp;Table1[[#This Row],[Losing Seed]],"")</f>
        <v/>
      </c>
      <c r="Q1571">
        <f>VLOOKUP(Table1[[#This Row],[Losing Seed]],'Seed History'!$N$4:$O$19,2)</f>
        <v>1.5208333333333333</v>
      </c>
      <c r="R1571" s="1">
        <f>IF(Table1[[#This Row],[Round]]="PI",0,Table1[[#This Row],[Round]]-1)</f>
        <v>2</v>
      </c>
      <c r="S1571">
        <f>Table1[[#This Row],[LAW]]-Table1[[#This Row],[LEW]]</f>
        <v>0.47916666666666674</v>
      </c>
    </row>
    <row r="1572" spans="1:19" x14ac:dyDescent="0.25">
      <c r="A1572" s="66">
        <v>39898</v>
      </c>
      <c r="B1572" s="51">
        <f>YEAR(Table1[[#This Row],[Date]])</f>
        <v>2009</v>
      </c>
      <c r="C1572" s="1">
        <v>3</v>
      </c>
      <c r="D1572" t="s">
        <v>38</v>
      </c>
      <c r="E1572" s="1">
        <v>1</v>
      </c>
      <c r="F1572" t="s">
        <v>80</v>
      </c>
      <c r="G1572" t="str">
        <f>VLOOKUP(Table1[[#This Row],[Winner]],Ranking!C:D,2,FALSE)</f>
        <v>BE</v>
      </c>
      <c r="H1572" s="1">
        <v>72</v>
      </c>
      <c r="I1572" s="1">
        <v>5</v>
      </c>
      <c r="J1572" t="s">
        <v>29</v>
      </c>
      <c r="K1572" t="str">
        <f>VLOOKUP(Table1[[#This Row],[Loser]],Ranking!C:D,2,FALSE)</f>
        <v>B10</v>
      </c>
      <c r="L1572" s="1">
        <v>60</v>
      </c>
      <c r="N1572" s="1">
        <f>Table1[[#This Row],[Winning Score]]-Table1[[#This Row],[Losing Score]]</f>
        <v>12</v>
      </c>
      <c r="O1572" s="1">
        <f>Table1[[#This Row],[Losing Seed]]-Table1[[#This Row],[Winning Seed]]</f>
        <v>4</v>
      </c>
      <c r="P1572" s="1" t="str">
        <f>IF(Table1[[#This Row],[SeD]]&lt;-2,Table1[[#This Row],[Winning Seed]]&amp; " over " &amp;Table1[[#This Row],[Losing Seed]],"")</f>
        <v/>
      </c>
      <c r="Q1572">
        <f>VLOOKUP(Table1[[#This Row],[Losing Seed]],'Seed History'!$N$4:$O$19,2)</f>
        <v>1.1180555555555556</v>
      </c>
      <c r="R1572" s="1">
        <f>IF(Table1[[#This Row],[Round]]="PI",0,Table1[[#This Row],[Round]]-1)</f>
        <v>2</v>
      </c>
      <c r="S1572">
        <f>Table1[[#This Row],[LAW]]-Table1[[#This Row],[LEW]]</f>
        <v>0.88194444444444442</v>
      </c>
    </row>
    <row r="1573" spans="1:19" x14ac:dyDescent="0.25">
      <c r="A1573" s="66">
        <v>39898</v>
      </c>
      <c r="B1573" s="51">
        <f>YEAR(Table1[[#This Row],[Date]])</f>
        <v>2009</v>
      </c>
      <c r="C1573" s="1">
        <v>3</v>
      </c>
      <c r="D1573" t="s">
        <v>49</v>
      </c>
      <c r="E1573" s="1">
        <v>3</v>
      </c>
      <c r="F1573" t="s">
        <v>50</v>
      </c>
      <c r="G1573" t="str">
        <f>VLOOKUP(Table1[[#This Row],[Winner]],Ranking!C:D,2,FALSE)</f>
        <v>BE</v>
      </c>
      <c r="H1573" s="1">
        <v>77</v>
      </c>
      <c r="I1573" s="1">
        <v>2</v>
      </c>
      <c r="J1573" t="s">
        <v>64</v>
      </c>
      <c r="K1573" t="str">
        <f>VLOOKUP(Table1[[#This Row],[Loser]],Ranking!C:D,2,FALSE)</f>
        <v>ACC</v>
      </c>
      <c r="L1573" s="1">
        <v>54</v>
      </c>
      <c r="N1573" s="1">
        <f>Table1[[#This Row],[Winning Score]]-Table1[[#This Row],[Losing Score]]</f>
        <v>23</v>
      </c>
      <c r="O1573" s="1">
        <f>Table1[[#This Row],[Losing Seed]]-Table1[[#This Row],[Winning Seed]]</f>
        <v>-1</v>
      </c>
      <c r="P1573" s="1" t="str">
        <f>IF(Table1[[#This Row],[SeD]]&lt;-2,Table1[[#This Row],[Winning Seed]]&amp; " over " &amp;Table1[[#This Row],[Losing Seed]],"")</f>
        <v/>
      </c>
      <c r="Q1573">
        <f>VLOOKUP(Table1[[#This Row],[Losing Seed]],'Seed History'!$N$4:$O$19,2)</f>
        <v>2.3472222222222223</v>
      </c>
      <c r="R1573" s="1">
        <f>IF(Table1[[#This Row],[Round]]="PI",0,Table1[[#This Row],[Round]]-1)</f>
        <v>2</v>
      </c>
      <c r="S1573">
        <f>Table1[[#This Row],[LAW]]-Table1[[#This Row],[LEW]]</f>
        <v>-0.34722222222222232</v>
      </c>
    </row>
    <row r="1574" spans="1:19" x14ac:dyDescent="0.25">
      <c r="A1574" s="66">
        <v>39898</v>
      </c>
      <c r="B1574" s="51">
        <f>YEAR(Table1[[#This Row],[Date]])</f>
        <v>2009</v>
      </c>
      <c r="C1574" s="1">
        <v>3</v>
      </c>
      <c r="D1574" t="s">
        <v>38</v>
      </c>
      <c r="E1574" s="1">
        <v>3</v>
      </c>
      <c r="F1574" t="s">
        <v>277</v>
      </c>
      <c r="G1574" t="str">
        <f>VLOOKUP(Table1[[#This Row],[Winner]],Ranking!C:D,2,FALSE)</f>
        <v>SEC</v>
      </c>
      <c r="H1574" s="1">
        <v>102</v>
      </c>
      <c r="I1574" s="1">
        <v>2</v>
      </c>
      <c r="J1574" t="s">
        <v>267</v>
      </c>
      <c r="K1574" t="str">
        <f>VLOOKUP(Table1[[#This Row],[Loser]],Ranking!C:D,2,FALSE)</f>
        <v>Amer</v>
      </c>
      <c r="L1574" s="1">
        <v>91</v>
      </c>
      <c r="N1574" s="1">
        <f>Table1[[#This Row],[Winning Score]]-Table1[[#This Row],[Losing Score]]</f>
        <v>11</v>
      </c>
      <c r="O1574" s="1">
        <f>Table1[[#This Row],[Losing Seed]]-Table1[[#This Row],[Winning Seed]]</f>
        <v>-1</v>
      </c>
      <c r="P1574" s="1" t="str">
        <f>IF(Table1[[#This Row],[SeD]]&lt;-2,Table1[[#This Row],[Winning Seed]]&amp; " over " &amp;Table1[[#This Row],[Losing Seed]],"")</f>
        <v/>
      </c>
      <c r="Q1574">
        <f>VLOOKUP(Table1[[#This Row],[Losing Seed]],'Seed History'!$N$4:$O$19,2)</f>
        <v>2.3472222222222223</v>
      </c>
      <c r="R1574" s="1">
        <f>IF(Table1[[#This Row],[Round]]="PI",0,Table1[[#This Row],[Round]]-1)</f>
        <v>2</v>
      </c>
      <c r="S1574">
        <f>Table1[[#This Row],[LAW]]-Table1[[#This Row],[LEW]]</f>
        <v>-0.34722222222222232</v>
      </c>
    </row>
    <row r="1575" spans="1:19" x14ac:dyDescent="0.25">
      <c r="A1575" s="66">
        <v>39899</v>
      </c>
      <c r="B1575" s="51">
        <f>YEAR(Table1[[#This Row],[Date]])</f>
        <v>2009</v>
      </c>
      <c r="C1575" s="1">
        <v>3</v>
      </c>
      <c r="D1575" t="s">
        <v>439</v>
      </c>
      <c r="E1575" s="1">
        <v>1</v>
      </c>
      <c r="F1575" t="s">
        <v>54</v>
      </c>
      <c r="G1575" t="str">
        <f>VLOOKUP(Table1[[#This Row],[Winner]],Ranking!C:D,2,FALSE)</f>
        <v>ACC</v>
      </c>
      <c r="H1575" s="1">
        <v>103</v>
      </c>
      <c r="I1575" s="1">
        <v>12</v>
      </c>
      <c r="J1575" t="s">
        <v>48</v>
      </c>
      <c r="K1575" t="str">
        <f>VLOOKUP(Table1[[#This Row],[Loser]],Ranking!C:D,2,FALSE)</f>
        <v>P12</v>
      </c>
      <c r="L1575" s="1">
        <v>64</v>
      </c>
      <c r="N1575" s="1">
        <f>Table1[[#This Row],[Winning Score]]-Table1[[#This Row],[Losing Score]]</f>
        <v>39</v>
      </c>
      <c r="O1575" s="1">
        <f>Table1[[#This Row],[Losing Seed]]-Table1[[#This Row],[Winning Seed]]</f>
        <v>11</v>
      </c>
      <c r="P1575" s="1" t="str">
        <f>IF(Table1[[#This Row],[SeD]]&lt;-2,Table1[[#This Row],[Winning Seed]]&amp; " over " &amp;Table1[[#This Row],[Losing Seed]],"")</f>
        <v/>
      </c>
      <c r="Q1575">
        <f>VLOOKUP(Table1[[#This Row],[Losing Seed]],'Seed History'!$N$4:$O$19,2)</f>
        <v>0.52083333333333337</v>
      </c>
      <c r="R1575" s="1">
        <f>IF(Table1[[#This Row],[Round]]="PI",0,Table1[[#This Row],[Round]]-1)</f>
        <v>2</v>
      </c>
      <c r="S1575">
        <f>Table1[[#This Row],[LAW]]-Table1[[#This Row],[LEW]]</f>
        <v>1.4791666666666665</v>
      </c>
    </row>
    <row r="1576" spans="1:19" x14ac:dyDescent="0.25">
      <c r="A1576" s="66">
        <v>39899</v>
      </c>
      <c r="B1576" s="51">
        <f>YEAR(Table1[[#This Row],[Date]])</f>
        <v>2009</v>
      </c>
      <c r="C1576" s="1">
        <v>3</v>
      </c>
      <c r="D1576" t="s">
        <v>439</v>
      </c>
      <c r="E1576" s="1">
        <v>2</v>
      </c>
      <c r="F1576" t="s">
        <v>271</v>
      </c>
      <c r="G1576" t="str">
        <f>VLOOKUP(Table1[[#This Row],[Winner]],Ranking!C:D,2,FALSE)</f>
        <v>B10</v>
      </c>
      <c r="H1576" s="1">
        <v>67</v>
      </c>
      <c r="I1576" s="1">
        <v>3</v>
      </c>
      <c r="J1576" t="s">
        <v>37</v>
      </c>
      <c r="K1576" t="str">
        <f>VLOOKUP(Table1[[#This Row],[Loser]],Ranking!C:D,2,FALSE)</f>
        <v>B12</v>
      </c>
      <c r="L1576" s="1">
        <v>62</v>
      </c>
      <c r="N1576" s="1">
        <f>Table1[[#This Row],[Winning Score]]-Table1[[#This Row],[Losing Score]]</f>
        <v>5</v>
      </c>
      <c r="O1576" s="1">
        <f>Table1[[#This Row],[Losing Seed]]-Table1[[#This Row],[Winning Seed]]</f>
        <v>1</v>
      </c>
      <c r="P1576" s="1" t="str">
        <f>IF(Table1[[#This Row],[SeD]]&lt;-2,Table1[[#This Row],[Winning Seed]]&amp; " over " &amp;Table1[[#This Row],[Losing Seed]],"")</f>
        <v/>
      </c>
      <c r="Q1576">
        <f>VLOOKUP(Table1[[#This Row],[Losing Seed]],'Seed History'!$N$4:$O$19,2)</f>
        <v>1.8472222222222223</v>
      </c>
      <c r="R1576" s="1">
        <f>IF(Table1[[#This Row],[Round]]="PI",0,Table1[[#This Row],[Round]]-1)</f>
        <v>2</v>
      </c>
      <c r="S1576">
        <f>Table1[[#This Row],[LAW]]-Table1[[#This Row],[LEW]]</f>
        <v>0.15277777777777768</v>
      </c>
    </row>
    <row r="1577" spans="1:19" x14ac:dyDescent="0.25">
      <c r="A1577" s="66">
        <v>39899</v>
      </c>
      <c r="B1577" s="51">
        <f>YEAR(Table1[[#This Row],[Date]])</f>
        <v>2009</v>
      </c>
      <c r="C1577" s="1">
        <v>3</v>
      </c>
      <c r="D1577" t="s">
        <v>63</v>
      </c>
      <c r="E1577" s="1">
        <v>1</v>
      </c>
      <c r="F1577" t="s">
        <v>298</v>
      </c>
      <c r="G1577" t="str">
        <f>VLOOKUP(Table1[[#This Row],[Winner]],Ranking!C:D,2,FALSE)</f>
        <v>ACC</v>
      </c>
      <c r="H1577" s="1">
        <v>98</v>
      </c>
      <c r="I1577" s="1">
        <v>4</v>
      </c>
      <c r="J1577" t="s">
        <v>71</v>
      </c>
      <c r="K1577" t="str">
        <f>VLOOKUP(Table1[[#This Row],[Loser]],Ranking!C:D,2,FALSE)</f>
        <v>WCC</v>
      </c>
      <c r="L1577" s="1">
        <v>77</v>
      </c>
      <c r="N1577" s="1">
        <f>Table1[[#This Row],[Winning Score]]-Table1[[#This Row],[Losing Score]]</f>
        <v>21</v>
      </c>
      <c r="O1577" s="1">
        <f>Table1[[#This Row],[Losing Seed]]-Table1[[#This Row],[Winning Seed]]</f>
        <v>3</v>
      </c>
      <c r="P1577" s="1" t="str">
        <f>IF(Table1[[#This Row],[SeD]]&lt;-2,Table1[[#This Row],[Winning Seed]]&amp; " over " &amp;Table1[[#This Row],[Losing Seed]],"")</f>
        <v/>
      </c>
      <c r="Q1577">
        <f>VLOOKUP(Table1[[#This Row],[Losing Seed]],'Seed History'!$N$4:$O$19,2)</f>
        <v>1.5208333333333333</v>
      </c>
      <c r="R1577" s="1">
        <f>IF(Table1[[#This Row],[Round]]="PI",0,Table1[[#This Row],[Round]]-1)</f>
        <v>2</v>
      </c>
      <c r="S1577">
        <f>Table1[[#This Row],[LAW]]-Table1[[#This Row],[LEW]]</f>
        <v>0.47916666666666674</v>
      </c>
    </row>
    <row r="1578" spans="1:19" x14ac:dyDescent="0.25">
      <c r="A1578" s="66">
        <v>39899</v>
      </c>
      <c r="B1578" s="51">
        <f>YEAR(Table1[[#This Row],[Date]])</f>
        <v>2009</v>
      </c>
      <c r="C1578" s="1">
        <v>3</v>
      </c>
      <c r="D1578" t="s">
        <v>63</v>
      </c>
      <c r="E1578" s="1">
        <v>2</v>
      </c>
      <c r="F1578" t="s">
        <v>58</v>
      </c>
      <c r="G1578" t="str">
        <f>VLOOKUP(Table1[[#This Row],[Winner]],Ranking!C:D,2,FALSE)</f>
        <v>B12</v>
      </c>
      <c r="H1578" s="1">
        <v>84</v>
      </c>
      <c r="I1578" s="1">
        <v>3</v>
      </c>
      <c r="J1578" t="s">
        <v>86</v>
      </c>
      <c r="K1578" t="str">
        <f>VLOOKUP(Table1[[#This Row],[Loser]],Ranking!C:D,2,FALSE)</f>
        <v>ACC</v>
      </c>
      <c r="L1578" s="1">
        <v>71</v>
      </c>
      <c r="N1578" s="1">
        <f>Table1[[#This Row],[Winning Score]]-Table1[[#This Row],[Losing Score]]</f>
        <v>13</v>
      </c>
      <c r="O1578" s="1">
        <f>Table1[[#This Row],[Losing Seed]]-Table1[[#This Row],[Winning Seed]]</f>
        <v>1</v>
      </c>
      <c r="P1578" s="1" t="str">
        <f>IF(Table1[[#This Row],[SeD]]&lt;-2,Table1[[#This Row],[Winning Seed]]&amp; " over " &amp;Table1[[#This Row],[Losing Seed]],"")</f>
        <v/>
      </c>
      <c r="Q1578">
        <f>VLOOKUP(Table1[[#This Row],[Losing Seed]],'Seed History'!$N$4:$O$19,2)</f>
        <v>1.8472222222222223</v>
      </c>
      <c r="R1578" s="1">
        <f>IF(Table1[[#This Row],[Round]]="PI",0,Table1[[#This Row],[Round]]-1)</f>
        <v>2</v>
      </c>
      <c r="S1578">
        <f>Table1[[#This Row],[LAW]]-Table1[[#This Row],[LEW]]</f>
        <v>0.15277777777777768</v>
      </c>
    </row>
    <row r="1579" spans="1:19" x14ac:dyDescent="0.25">
      <c r="A1579" s="66">
        <v>39900</v>
      </c>
      <c r="B1579" s="51">
        <f>YEAR(Table1[[#This Row],[Date]])</f>
        <v>2009</v>
      </c>
      <c r="C1579" s="1">
        <v>4</v>
      </c>
      <c r="D1579" t="s">
        <v>49</v>
      </c>
      <c r="E1579" s="1">
        <v>3</v>
      </c>
      <c r="F1579" t="s">
        <v>50</v>
      </c>
      <c r="G1579" t="str">
        <f>VLOOKUP(Table1[[#This Row],[Winner]],Ranking!C:D,2,FALSE)</f>
        <v>BE</v>
      </c>
      <c r="H1579" s="1">
        <v>78</v>
      </c>
      <c r="I1579" s="1">
        <v>1</v>
      </c>
      <c r="J1579" t="s">
        <v>83</v>
      </c>
      <c r="K1579" t="str">
        <f>VLOOKUP(Table1[[#This Row],[Loser]],Ranking!C:D,2,FALSE)</f>
        <v>ACC</v>
      </c>
      <c r="L1579" s="1">
        <v>76</v>
      </c>
      <c r="N1579" s="1">
        <f>Table1[[#This Row],[Winning Score]]-Table1[[#This Row],[Losing Score]]</f>
        <v>2</v>
      </c>
      <c r="O1579" s="1">
        <f>Table1[[#This Row],[Losing Seed]]-Table1[[#This Row],[Winning Seed]]</f>
        <v>-2</v>
      </c>
      <c r="P1579" s="1" t="str">
        <f>IF(Table1[[#This Row],[SeD]]&lt;-2,Table1[[#This Row],[Winning Seed]]&amp; " over " &amp;Table1[[#This Row],[Losing Seed]],"")</f>
        <v/>
      </c>
      <c r="Q1579">
        <f>VLOOKUP(Table1[[#This Row],[Losing Seed]],'Seed History'!$N$4:$O$19,2)</f>
        <v>3.3263888888888888</v>
      </c>
      <c r="R1579" s="1">
        <f>IF(Table1[[#This Row],[Round]]="PI",0,Table1[[#This Row],[Round]]-1)</f>
        <v>3</v>
      </c>
      <c r="S1579">
        <f>Table1[[#This Row],[LAW]]-Table1[[#This Row],[LEW]]</f>
        <v>-0.32638888888888884</v>
      </c>
    </row>
    <row r="1580" spans="1:19" x14ac:dyDescent="0.25">
      <c r="A1580" s="66">
        <v>39900</v>
      </c>
      <c r="B1580" s="51">
        <f>YEAR(Table1[[#This Row],[Date]])</f>
        <v>2009</v>
      </c>
      <c r="C1580" s="1">
        <v>4</v>
      </c>
      <c r="D1580" t="s">
        <v>38</v>
      </c>
      <c r="E1580" s="1">
        <v>1</v>
      </c>
      <c r="F1580" t="s">
        <v>80</v>
      </c>
      <c r="G1580" t="str">
        <f>VLOOKUP(Table1[[#This Row],[Winner]],Ranking!C:D,2,FALSE)</f>
        <v>BE</v>
      </c>
      <c r="H1580" s="1">
        <v>82</v>
      </c>
      <c r="I1580" s="1">
        <v>3</v>
      </c>
      <c r="J1580" t="s">
        <v>277</v>
      </c>
      <c r="K1580" t="str">
        <f>VLOOKUP(Table1[[#This Row],[Loser]],Ranking!C:D,2,FALSE)</f>
        <v>SEC</v>
      </c>
      <c r="L1580" s="1">
        <v>75</v>
      </c>
      <c r="N1580" s="1">
        <f>Table1[[#This Row],[Winning Score]]-Table1[[#This Row],[Losing Score]]</f>
        <v>7</v>
      </c>
      <c r="O1580" s="1">
        <f>Table1[[#This Row],[Losing Seed]]-Table1[[#This Row],[Winning Seed]]</f>
        <v>2</v>
      </c>
      <c r="P1580" s="1" t="str">
        <f>IF(Table1[[#This Row],[SeD]]&lt;-2,Table1[[#This Row],[Winning Seed]]&amp; " over " &amp;Table1[[#This Row],[Losing Seed]],"")</f>
        <v/>
      </c>
      <c r="Q1580">
        <f>VLOOKUP(Table1[[#This Row],[Losing Seed]],'Seed History'!$N$4:$O$19,2)</f>
        <v>1.8472222222222223</v>
      </c>
      <c r="R1580" s="1">
        <f>IF(Table1[[#This Row],[Round]]="PI",0,Table1[[#This Row],[Round]]-1)</f>
        <v>3</v>
      </c>
      <c r="S1580">
        <f>Table1[[#This Row],[LAW]]-Table1[[#This Row],[LEW]]</f>
        <v>1.1527777777777777</v>
      </c>
    </row>
    <row r="1581" spans="1:19" x14ac:dyDescent="0.25">
      <c r="A1581" s="66">
        <v>39901</v>
      </c>
      <c r="B1581" s="51">
        <f>YEAR(Table1[[#This Row],[Date]])</f>
        <v>2009</v>
      </c>
      <c r="C1581" s="1">
        <v>4</v>
      </c>
      <c r="D1581" t="s">
        <v>63</v>
      </c>
      <c r="E1581" s="1">
        <v>1</v>
      </c>
      <c r="F1581" t="s">
        <v>298</v>
      </c>
      <c r="G1581" t="str">
        <f>VLOOKUP(Table1[[#This Row],[Winner]],Ranking!C:D,2,FALSE)</f>
        <v>ACC</v>
      </c>
      <c r="H1581" s="1">
        <v>72</v>
      </c>
      <c r="I1581" s="1">
        <v>2</v>
      </c>
      <c r="J1581" t="s">
        <v>58</v>
      </c>
      <c r="K1581" t="str">
        <f>VLOOKUP(Table1[[#This Row],[Loser]],Ranking!C:D,2,FALSE)</f>
        <v>B12</v>
      </c>
      <c r="L1581" s="1">
        <v>60</v>
      </c>
      <c r="N1581" s="1">
        <f>Table1[[#This Row],[Winning Score]]-Table1[[#This Row],[Losing Score]]</f>
        <v>12</v>
      </c>
      <c r="O1581" s="1">
        <f>Table1[[#This Row],[Losing Seed]]-Table1[[#This Row],[Winning Seed]]</f>
        <v>1</v>
      </c>
      <c r="P1581" s="1" t="str">
        <f>IF(Table1[[#This Row],[SeD]]&lt;-2,Table1[[#This Row],[Winning Seed]]&amp; " over " &amp;Table1[[#This Row],[Losing Seed]],"")</f>
        <v/>
      </c>
      <c r="Q1581">
        <f>VLOOKUP(Table1[[#This Row],[Losing Seed]],'Seed History'!$N$4:$O$19,2)</f>
        <v>2.3472222222222223</v>
      </c>
      <c r="R1581" s="1">
        <f>IF(Table1[[#This Row],[Round]]="PI",0,Table1[[#This Row],[Round]]-1)</f>
        <v>3</v>
      </c>
      <c r="S1581">
        <f>Table1[[#This Row],[LAW]]-Table1[[#This Row],[LEW]]</f>
        <v>0.65277777777777768</v>
      </c>
    </row>
    <row r="1582" spans="1:19" x14ac:dyDescent="0.25">
      <c r="A1582" s="66">
        <v>39901</v>
      </c>
      <c r="B1582" s="51">
        <f>YEAR(Table1[[#This Row],[Date]])</f>
        <v>2009</v>
      </c>
      <c r="C1582" s="1">
        <v>4</v>
      </c>
      <c r="D1582" t="s">
        <v>439</v>
      </c>
      <c r="E1582" s="1">
        <v>2</v>
      </c>
      <c r="F1582" t="s">
        <v>271</v>
      </c>
      <c r="G1582" t="str">
        <f>VLOOKUP(Table1[[#This Row],[Winner]],Ranking!C:D,2,FALSE)</f>
        <v>B10</v>
      </c>
      <c r="H1582" s="1">
        <v>64</v>
      </c>
      <c r="I1582" s="1">
        <v>1</v>
      </c>
      <c r="J1582" t="s">
        <v>54</v>
      </c>
      <c r="K1582" t="str">
        <f>VLOOKUP(Table1[[#This Row],[Loser]],Ranking!C:D,2,FALSE)</f>
        <v>ACC</v>
      </c>
      <c r="L1582" s="1">
        <v>52</v>
      </c>
      <c r="N1582" s="1">
        <f>Table1[[#This Row],[Winning Score]]-Table1[[#This Row],[Losing Score]]</f>
        <v>12</v>
      </c>
      <c r="O1582" s="1">
        <f>Table1[[#This Row],[Losing Seed]]-Table1[[#This Row],[Winning Seed]]</f>
        <v>-1</v>
      </c>
      <c r="P1582" s="1" t="str">
        <f>IF(Table1[[#This Row],[SeD]]&lt;-2,Table1[[#This Row],[Winning Seed]]&amp; " over " &amp;Table1[[#This Row],[Losing Seed]],"")</f>
        <v/>
      </c>
      <c r="Q1582">
        <f>VLOOKUP(Table1[[#This Row],[Losing Seed]],'Seed History'!$N$4:$O$19,2)</f>
        <v>3.3263888888888888</v>
      </c>
      <c r="R1582" s="1">
        <f>IF(Table1[[#This Row],[Round]]="PI",0,Table1[[#This Row],[Round]]-1)</f>
        <v>3</v>
      </c>
      <c r="S1582">
        <f>Table1[[#This Row],[LAW]]-Table1[[#This Row],[LEW]]</f>
        <v>-0.32638888888888884</v>
      </c>
    </row>
    <row r="1583" spans="1:19" x14ac:dyDescent="0.25">
      <c r="A1583" s="66">
        <v>39907</v>
      </c>
      <c r="B1583" s="51">
        <f>YEAR(Table1[[#This Row],[Date]])</f>
        <v>2009</v>
      </c>
      <c r="C1583" s="1">
        <v>5</v>
      </c>
      <c r="D1583" t="s">
        <v>467</v>
      </c>
      <c r="E1583" s="1">
        <v>1</v>
      </c>
      <c r="F1583" t="s">
        <v>298</v>
      </c>
      <c r="G1583" t="str">
        <f>VLOOKUP(Table1[[#This Row],[Winner]],Ranking!C:D,2,FALSE)</f>
        <v>ACC</v>
      </c>
      <c r="H1583" s="1">
        <v>83</v>
      </c>
      <c r="I1583" s="1">
        <v>3</v>
      </c>
      <c r="J1583" t="s">
        <v>50</v>
      </c>
      <c r="K1583" t="str">
        <f>VLOOKUP(Table1[[#This Row],[Loser]],Ranking!C:D,2,FALSE)</f>
        <v>BE</v>
      </c>
      <c r="L1583" s="1">
        <v>69</v>
      </c>
      <c r="N1583" s="1">
        <f>Table1[[#This Row],[Winning Score]]-Table1[[#This Row],[Losing Score]]</f>
        <v>14</v>
      </c>
      <c r="O1583" s="1">
        <f>Table1[[#This Row],[Losing Seed]]-Table1[[#This Row],[Winning Seed]]</f>
        <v>2</v>
      </c>
      <c r="P1583" s="1" t="str">
        <f>IF(Table1[[#This Row],[SeD]]&lt;-2,Table1[[#This Row],[Winning Seed]]&amp; " over " &amp;Table1[[#This Row],[Losing Seed]],"")</f>
        <v/>
      </c>
      <c r="Q1583">
        <f>VLOOKUP(Table1[[#This Row],[Losing Seed]],'Seed History'!$N$4:$O$19,2)</f>
        <v>1.8472222222222223</v>
      </c>
      <c r="R1583" s="1">
        <f>IF(Table1[[#This Row],[Round]]="PI",0,Table1[[#This Row],[Round]]-1)</f>
        <v>4</v>
      </c>
      <c r="S1583">
        <f>Table1[[#This Row],[LAW]]-Table1[[#This Row],[LEW]]</f>
        <v>2.1527777777777777</v>
      </c>
    </row>
    <row r="1584" spans="1:19" x14ac:dyDescent="0.25">
      <c r="A1584" s="66">
        <v>39907</v>
      </c>
      <c r="B1584" s="51">
        <f>YEAR(Table1[[#This Row],[Date]])</f>
        <v>2009</v>
      </c>
      <c r="C1584" s="1">
        <v>5</v>
      </c>
      <c r="D1584" t="s">
        <v>467</v>
      </c>
      <c r="E1584" s="1">
        <v>2</v>
      </c>
      <c r="F1584" t="s">
        <v>271</v>
      </c>
      <c r="G1584" t="str">
        <f>VLOOKUP(Table1[[#This Row],[Winner]],Ranking!C:D,2,FALSE)</f>
        <v>B10</v>
      </c>
      <c r="H1584" s="1">
        <v>82</v>
      </c>
      <c r="I1584" s="1">
        <v>1</v>
      </c>
      <c r="J1584" t="s">
        <v>80</v>
      </c>
      <c r="K1584" t="str">
        <f>VLOOKUP(Table1[[#This Row],[Loser]],Ranking!C:D,2,FALSE)</f>
        <v>BE</v>
      </c>
      <c r="L1584" s="1">
        <v>73</v>
      </c>
      <c r="N1584" s="1">
        <f>Table1[[#This Row],[Winning Score]]-Table1[[#This Row],[Losing Score]]</f>
        <v>9</v>
      </c>
      <c r="O1584" s="1">
        <f>Table1[[#This Row],[Losing Seed]]-Table1[[#This Row],[Winning Seed]]</f>
        <v>-1</v>
      </c>
      <c r="P1584" s="1" t="str">
        <f>IF(Table1[[#This Row],[SeD]]&lt;-2,Table1[[#This Row],[Winning Seed]]&amp; " over " &amp;Table1[[#This Row],[Losing Seed]],"")</f>
        <v/>
      </c>
      <c r="Q1584">
        <f>VLOOKUP(Table1[[#This Row],[Losing Seed]],'Seed History'!$N$4:$O$19,2)</f>
        <v>3.3263888888888888</v>
      </c>
      <c r="R1584" s="1">
        <f>IF(Table1[[#This Row],[Round]]="PI",0,Table1[[#This Row],[Round]]-1)</f>
        <v>4</v>
      </c>
      <c r="S1584">
        <f>Table1[[#This Row],[LAW]]-Table1[[#This Row],[LEW]]</f>
        <v>0.67361111111111116</v>
      </c>
    </row>
    <row r="1585" spans="1:19" x14ac:dyDescent="0.25">
      <c r="A1585" s="66">
        <v>39909</v>
      </c>
      <c r="B1585" s="51">
        <f>YEAR(Table1[[#This Row],[Date]])</f>
        <v>2009</v>
      </c>
      <c r="C1585" s="1">
        <v>6</v>
      </c>
      <c r="D1585" t="s">
        <v>468</v>
      </c>
      <c r="E1585" s="1">
        <v>1</v>
      </c>
      <c r="F1585" t="s">
        <v>298</v>
      </c>
      <c r="G1585" t="str">
        <f>VLOOKUP(Table1[[#This Row],[Winner]],Ranking!C:D,2,FALSE)</f>
        <v>ACC</v>
      </c>
      <c r="H1585" s="1">
        <v>89</v>
      </c>
      <c r="I1585" s="1">
        <v>2</v>
      </c>
      <c r="J1585" t="s">
        <v>271</v>
      </c>
      <c r="K1585" t="str">
        <f>VLOOKUP(Table1[[#This Row],[Loser]],Ranking!C:D,2,FALSE)</f>
        <v>B10</v>
      </c>
      <c r="L1585" s="1">
        <v>72</v>
      </c>
      <c r="N1585" s="1">
        <f>Table1[[#This Row],[Winning Score]]-Table1[[#This Row],[Losing Score]]</f>
        <v>17</v>
      </c>
      <c r="O1585" s="1">
        <f>Table1[[#This Row],[Losing Seed]]-Table1[[#This Row],[Winning Seed]]</f>
        <v>1</v>
      </c>
      <c r="P1585" s="1" t="str">
        <f>IF(Table1[[#This Row],[SeD]]&lt;-2,Table1[[#This Row],[Winning Seed]]&amp; " over " &amp;Table1[[#This Row],[Losing Seed]],"")</f>
        <v/>
      </c>
      <c r="Q1585">
        <f>VLOOKUP(Table1[[#This Row],[Losing Seed]],'Seed History'!$N$4:$O$19,2)</f>
        <v>2.3472222222222223</v>
      </c>
      <c r="R1585" s="1">
        <f>IF(Table1[[#This Row],[Round]]="PI",0,Table1[[#This Row],[Round]]-1)</f>
        <v>5</v>
      </c>
      <c r="S1585">
        <f>Table1[[#This Row],[LAW]]-Table1[[#This Row],[LEW]]</f>
        <v>2.6527777777777777</v>
      </c>
    </row>
    <row r="1586" spans="1:19" x14ac:dyDescent="0.25">
      <c r="A1586" s="66">
        <v>40253</v>
      </c>
      <c r="B1586" s="51">
        <f>YEAR(Table1[[#This Row],[Date]])</f>
        <v>2010</v>
      </c>
      <c r="C1586" s="1" t="s">
        <v>476</v>
      </c>
      <c r="D1586" t="s">
        <v>63</v>
      </c>
      <c r="E1586" s="1">
        <v>16</v>
      </c>
      <c r="F1586" t="s">
        <v>126</v>
      </c>
      <c r="G1586" t="str">
        <f>VLOOKUP(Table1[[#This Row],[Winner]],Ranking!C:D,2,FALSE)</f>
        <v>SWAC</v>
      </c>
      <c r="H1586" s="1">
        <v>61</v>
      </c>
      <c r="I1586" s="1">
        <v>16</v>
      </c>
      <c r="J1586" t="s">
        <v>419</v>
      </c>
      <c r="K1586" t="str">
        <f>VLOOKUP(Table1[[#This Row],[Loser]],Ranking!C:D,2,FALSE)</f>
        <v>BSth</v>
      </c>
      <c r="L1586" s="1">
        <v>44</v>
      </c>
      <c r="N1586" s="1">
        <f>Table1[[#This Row],[Winning Score]]-Table1[[#This Row],[Losing Score]]</f>
        <v>17</v>
      </c>
      <c r="O1586" s="1">
        <f>Table1[[#This Row],[Losing Seed]]-Table1[[#This Row],[Winning Seed]]</f>
        <v>0</v>
      </c>
      <c r="P1586" s="1" t="str">
        <f>IF(Table1[[#This Row],[SeD]]&lt;-2,Table1[[#This Row],[Winning Seed]]&amp; " over " &amp;Table1[[#This Row],[Losing Seed]],"")</f>
        <v/>
      </c>
      <c r="Q1586">
        <f>VLOOKUP(Table1[[#This Row],[Losing Seed]],'Seed History'!$N$4:$O$19,2)</f>
        <v>6.9444444444444441E-3</v>
      </c>
      <c r="R1586" s="1">
        <f>IF(Table1[[#This Row],[Round]]="PI",0,Table1[[#This Row],[Round]]-1)</f>
        <v>0</v>
      </c>
      <c r="S1586">
        <f>Table1[[#This Row],[LAW]]-Table1[[#This Row],[LEW]]</f>
        <v>-6.9444444444444441E-3</v>
      </c>
    </row>
    <row r="1587" spans="1:19" x14ac:dyDescent="0.25">
      <c r="A1587" s="66">
        <v>40255</v>
      </c>
      <c r="B1587" s="51">
        <f>YEAR(Table1[[#This Row],[Date]])</f>
        <v>2010</v>
      </c>
      <c r="C1587" s="1">
        <v>1</v>
      </c>
      <c r="D1587" t="s">
        <v>439</v>
      </c>
      <c r="E1587" s="1">
        <v>14</v>
      </c>
      <c r="F1587" t="s">
        <v>314</v>
      </c>
      <c r="G1587" t="str">
        <f>VLOOKUP(Table1[[#This Row],[Winner]],Ranking!C:D,2,FALSE)</f>
        <v>MAC</v>
      </c>
      <c r="H1587" s="1">
        <v>97</v>
      </c>
      <c r="I1587" s="1">
        <v>3</v>
      </c>
      <c r="J1587" t="s">
        <v>66</v>
      </c>
      <c r="K1587" t="str">
        <f>VLOOKUP(Table1[[#This Row],[Loser]],Ranking!C:D,2,FALSE)</f>
        <v>BE</v>
      </c>
      <c r="L1587" s="1">
        <v>83</v>
      </c>
      <c r="N1587" s="1">
        <f>Table1[[#This Row],[Winning Score]]-Table1[[#This Row],[Losing Score]]</f>
        <v>14</v>
      </c>
      <c r="O1587" s="1">
        <f>Table1[[#This Row],[Losing Seed]]-Table1[[#This Row],[Winning Seed]]</f>
        <v>-11</v>
      </c>
      <c r="P1587" s="1" t="str">
        <f>IF(Table1[[#This Row],[SeD]]&lt;-2,Table1[[#This Row],[Winning Seed]]&amp; " over " &amp;Table1[[#This Row],[Losing Seed]],"")</f>
        <v>14 over 3</v>
      </c>
      <c r="Q1587">
        <f>VLOOKUP(Table1[[#This Row],[Losing Seed]],'Seed History'!$N$4:$O$19,2)</f>
        <v>1.8472222222222223</v>
      </c>
      <c r="R1587" s="1">
        <f>IF(Table1[[#This Row],[Round]]="PI",0,Table1[[#This Row],[Round]]-1)</f>
        <v>0</v>
      </c>
      <c r="S1587">
        <f>Table1[[#This Row],[LAW]]-Table1[[#This Row],[LEW]]</f>
        <v>-1.8472222222222223</v>
      </c>
    </row>
    <row r="1588" spans="1:19" x14ac:dyDescent="0.25">
      <c r="A1588" s="66">
        <v>40255</v>
      </c>
      <c r="B1588" s="51">
        <f>YEAR(Table1[[#This Row],[Date]])</f>
        <v>2010</v>
      </c>
      <c r="C1588" s="1">
        <v>1</v>
      </c>
      <c r="D1588" t="s">
        <v>38</v>
      </c>
      <c r="E1588" s="1">
        <v>13</v>
      </c>
      <c r="F1588" t="s">
        <v>285</v>
      </c>
      <c r="G1588" t="str">
        <f>VLOOKUP(Table1[[#This Row],[Winner]],Ranking!C:D,2,FALSE)</f>
        <v>OVC</v>
      </c>
      <c r="H1588" s="1">
        <v>66</v>
      </c>
      <c r="I1588" s="1">
        <v>4</v>
      </c>
      <c r="J1588" t="s">
        <v>78</v>
      </c>
      <c r="K1588" t="str">
        <f>VLOOKUP(Table1[[#This Row],[Loser]],Ranking!C:D,2,FALSE)</f>
        <v>SEC</v>
      </c>
      <c r="L1588" s="1">
        <v>65</v>
      </c>
      <c r="N1588" s="1">
        <f>Table1[[#This Row],[Winning Score]]-Table1[[#This Row],[Losing Score]]</f>
        <v>1</v>
      </c>
      <c r="O1588" s="1">
        <f>Table1[[#This Row],[Losing Seed]]-Table1[[#This Row],[Winning Seed]]</f>
        <v>-9</v>
      </c>
      <c r="P1588" s="1" t="str">
        <f>IF(Table1[[#This Row],[SeD]]&lt;-2,Table1[[#This Row],[Winning Seed]]&amp; " over " &amp;Table1[[#This Row],[Losing Seed]],"")</f>
        <v>13 over 4</v>
      </c>
      <c r="Q1588">
        <f>VLOOKUP(Table1[[#This Row],[Losing Seed]],'Seed History'!$N$4:$O$19,2)</f>
        <v>1.5208333333333333</v>
      </c>
      <c r="R1588" s="1">
        <f>IF(Table1[[#This Row],[Round]]="PI",0,Table1[[#This Row],[Round]]-1)</f>
        <v>0</v>
      </c>
      <c r="S1588">
        <f>Table1[[#This Row],[LAW]]-Table1[[#This Row],[LEW]]</f>
        <v>-1.5208333333333333</v>
      </c>
    </row>
    <row r="1589" spans="1:19" x14ac:dyDescent="0.25">
      <c r="A1589" s="66">
        <v>40255</v>
      </c>
      <c r="B1589" s="51">
        <f>YEAR(Table1[[#This Row],[Date]])</f>
        <v>2010</v>
      </c>
      <c r="C1589" s="1">
        <v>1</v>
      </c>
      <c r="D1589" t="s">
        <v>49</v>
      </c>
      <c r="E1589" s="1">
        <v>11</v>
      </c>
      <c r="F1589" t="s">
        <v>409</v>
      </c>
      <c r="G1589" t="str">
        <f>VLOOKUP(Table1[[#This Row],[Winner]],Ranking!C:D,2,FALSE)</f>
        <v>P12</v>
      </c>
      <c r="H1589" s="1">
        <v>80</v>
      </c>
      <c r="I1589" s="1">
        <v>6</v>
      </c>
      <c r="J1589" t="s">
        <v>262</v>
      </c>
      <c r="K1589" t="str">
        <f>VLOOKUP(Table1[[#This Row],[Loser]],Ranking!C:D,2,FALSE)</f>
        <v>BE</v>
      </c>
      <c r="L1589" s="1">
        <v>78</v>
      </c>
      <c r="N1589" s="1">
        <f>Table1[[#This Row],[Winning Score]]-Table1[[#This Row],[Losing Score]]</f>
        <v>2</v>
      </c>
      <c r="O1589" s="1">
        <f>Table1[[#This Row],[Losing Seed]]-Table1[[#This Row],[Winning Seed]]</f>
        <v>-5</v>
      </c>
      <c r="P1589" s="1" t="str">
        <f>IF(Table1[[#This Row],[SeD]]&lt;-2,Table1[[#This Row],[Winning Seed]]&amp; " over " &amp;Table1[[#This Row],[Losing Seed]],"")</f>
        <v>11 over 6</v>
      </c>
      <c r="Q1589">
        <f>VLOOKUP(Table1[[#This Row],[Losing Seed]],'Seed History'!$N$4:$O$19,2)</f>
        <v>1.0625</v>
      </c>
      <c r="R1589" s="1">
        <f>IF(Table1[[#This Row],[Round]]="PI",0,Table1[[#This Row],[Round]]-1)</f>
        <v>0</v>
      </c>
      <c r="S1589">
        <f>Table1[[#This Row],[LAW]]-Table1[[#This Row],[LEW]]</f>
        <v>-1.0625</v>
      </c>
    </row>
    <row r="1590" spans="1:19" x14ac:dyDescent="0.25">
      <c r="A1590" s="66">
        <v>40255</v>
      </c>
      <c r="B1590" s="51">
        <f>YEAR(Table1[[#This Row],[Date]])</f>
        <v>2010</v>
      </c>
      <c r="C1590" s="1">
        <v>1</v>
      </c>
      <c r="D1590" t="s">
        <v>63</v>
      </c>
      <c r="E1590" s="1">
        <v>11</v>
      </c>
      <c r="F1590" t="s">
        <v>317</v>
      </c>
      <c r="G1590" t="str">
        <f>VLOOKUP(Table1[[#This Row],[Winner]],Ranking!C:D,2,FALSE)</f>
        <v>CUSA</v>
      </c>
      <c r="H1590" s="1">
        <v>51</v>
      </c>
      <c r="I1590" s="1">
        <v>6</v>
      </c>
      <c r="J1590" t="s">
        <v>35</v>
      </c>
      <c r="K1590" t="str">
        <f>VLOOKUP(Table1[[#This Row],[Loser]],Ranking!C:D,2,FALSE)</f>
        <v>ACC</v>
      </c>
      <c r="L1590" s="1">
        <v>50</v>
      </c>
      <c r="N1590" s="1">
        <f>Table1[[#This Row],[Winning Score]]-Table1[[#This Row],[Losing Score]]</f>
        <v>1</v>
      </c>
      <c r="O1590" s="1">
        <f>Table1[[#This Row],[Losing Seed]]-Table1[[#This Row],[Winning Seed]]</f>
        <v>-5</v>
      </c>
      <c r="P1590" s="1" t="str">
        <f>IF(Table1[[#This Row],[SeD]]&lt;-2,Table1[[#This Row],[Winning Seed]]&amp; " over " &amp;Table1[[#This Row],[Losing Seed]],"")</f>
        <v>11 over 6</v>
      </c>
      <c r="Q1590">
        <f>VLOOKUP(Table1[[#This Row],[Losing Seed]],'Seed History'!$N$4:$O$19,2)</f>
        <v>1.0625</v>
      </c>
      <c r="R1590" s="1">
        <f>IF(Table1[[#This Row],[Round]]="PI",0,Table1[[#This Row],[Round]]-1)</f>
        <v>0</v>
      </c>
      <c r="S1590">
        <f>Table1[[#This Row],[LAW]]-Table1[[#This Row],[LEW]]</f>
        <v>-1.0625</v>
      </c>
    </row>
    <row r="1591" spans="1:19" x14ac:dyDescent="0.25">
      <c r="A1591" s="66">
        <v>40255</v>
      </c>
      <c r="B1591" s="51">
        <f>YEAR(Table1[[#This Row],[Date]])</f>
        <v>2010</v>
      </c>
      <c r="C1591" s="1">
        <v>1</v>
      </c>
      <c r="D1591" t="s">
        <v>63</v>
      </c>
      <c r="E1591" s="1">
        <v>10</v>
      </c>
      <c r="F1591" t="s">
        <v>339</v>
      </c>
      <c r="G1591" t="str">
        <f>VLOOKUP(Table1[[#This Row],[Winner]],Ranking!C:D,2,FALSE)</f>
        <v>WCC</v>
      </c>
      <c r="H1591" s="1">
        <v>80</v>
      </c>
      <c r="I1591" s="1">
        <v>7</v>
      </c>
      <c r="J1591" t="s">
        <v>331</v>
      </c>
      <c r="K1591" t="str">
        <f>VLOOKUP(Table1[[#This Row],[Loser]],Ranking!C:D,2,FALSE)</f>
        <v>A10</v>
      </c>
      <c r="L1591" s="1">
        <v>71</v>
      </c>
      <c r="N1591" s="1">
        <f>Table1[[#This Row],[Winning Score]]-Table1[[#This Row],[Losing Score]]</f>
        <v>9</v>
      </c>
      <c r="O1591" s="1">
        <f>Table1[[#This Row],[Losing Seed]]-Table1[[#This Row],[Winning Seed]]</f>
        <v>-3</v>
      </c>
      <c r="P1591" s="1" t="str">
        <f>IF(Table1[[#This Row],[SeD]]&lt;-2,Table1[[#This Row],[Winning Seed]]&amp; " over " &amp;Table1[[#This Row],[Losing Seed]],"")</f>
        <v>10 over 7</v>
      </c>
      <c r="Q1591">
        <f>VLOOKUP(Table1[[#This Row],[Losing Seed]],'Seed History'!$N$4:$O$19,2)</f>
        <v>0.90277777777777779</v>
      </c>
      <c r="R1591" s="1">
        <f>IF(Table1[[#This Row],[Round]]="PI",0,Table1[[#This Row],[Round]]-1)</f>
        <v>0</v>
      </c>
      <c r="S1591">
        <f>Table1[[#This Row],[LAW]]-Table1[[#This Row],[LEW]]</f>
        <v>-0.90277777777777779</v>
      </c>
    </row>
    <row r="1592" spans="1:19" x14ac:dyDescent="0.25">
      <c r="A1592" s="66">
        <v>40255</v>
      </c>
      <c r="B1592" s="51">
        <f>YEAR(Table1[[#This Row],[Date]])</f>
        <v>2010</v>
      </c>
      <c r="C1592" s="1">
        <v>1</v>
      </c>
      <c r="D1592" t="s">
        <v>49</v>
      </c>
      <c r="E1592" s="1">
        <v>1</v>
      </c>
      <c r="F1592" t="s">
        <v>26</v>
      </c>
      <c r="G1592" t="str">
        <f>VLOOKUP(Table1[[#This Row],[Winner]],Ranking!C:D,2,FALSE)</f>
        <v>SEC</v>
      </c>
      <c r="H1592" s="1">
        <v>100</v>
      </c>
      <c r="I1592" s="1">
        <v>16</v>
      </c>
      <c r="J1592" t="s">
        <v>192</v>
      </c>
      <c r="K1592" t="str">
        <f>VLOOKUP(Table1[[#This Row],[Loser]],Ranking!C:D,2,FALSE)</f>
        <v>SC</v>
      </c>
      <c r="L1592" s="1">
        <v>71</v>
      </c>
      <c r="N1592" s="1">
        <f>Table1[[#This Row],[Winning Score]]-Table1[[#This Row],[Losing Score]]</f>
        <v>29</v>
      </c>
      <c r="O1592" s="1">
        <f>Table1[[#This Row],[Losing Seed]]-Table1[[#This Row],[Winning Seed]]</f>
        <v>15</v>
      </c>
      <c r="P1592" s="1" t="str">
        <f>IF(Table1[[#This Row],[SeD]]&lt;-2,Table1[[#This Row],[Winning Seed]]&amp; " over " &amp;Table1[[#This Row],[Losing Seed]],"")</f>
        <v/>
      </c>
      <c r="Q1592">
        <f>VLOOKUP(Table1[[#This Row],[Losing Seed]],'Seed History'!$N$4:$O$19,2)</f>
        <v>6.9444444444444441E-3</v>
      </c>
      <c r="R1592" s="1">
        <f>IF(Table1[[#This Row],[Round]]="PI",0,Table1[[#This Row],[Round]]-1)</f>
        <v>0</v>
      </c>
      <c r="S1592">
        <f>Table1[[#This Row],[LAW]]-Table1[[#This Row],[LEW]]</f>
        <v>-6.9444444444444441E-3</v>
      </c>
    </row>
    <row r="1593" spans="1:19" x14ac:dyDescent="0.25">
      <c r="A1593" s="66">
        <v>40255</v>
      </c>
      <c r="B1593" s="51">
        <f>YEAR(Table1[[#This Row],[Date]])</f>
        <v>2010</v>
      </c>
      <c r="C1593" s="1">
        <v>1</v>
      </c>
      <c r="D1593" t="s">
        <v>49</v>
      </c>
      <c r="E1593" s="1">
        <v>3</v>
      </c>
      <c r="F1593" t="s">
        <v>291</v>
      </c>
      <c r="G1593" t="str">
        <f>VLOOKUP(Table1[[#This Row],[Winner]],Ranking!C:D,2,FALSE)</f>
        <v>MWC</v>
      </c>
      <c r="H1593" s="1">
        <v>62</v>
      </c>
      <c r="I1593" s="1">
        <v>14</v>
      </c>
      <c r="J1593" t="s">
        <v>280</v>
      </c>
      <c r="K1593" t="str">
        <f>VLOOKUP(Table1[[#This Row],[Loser]],Ranking!C:D,2,FALSE)</f>
        <v>BSky</v>
      </c>
      <c r="L1593" s="1">
        <v>57</v>
      </c>
      <c r="N1593" s="1">
        <f>Table1[[#This Row],[Winning Score]]-Table1[[#This Row],[Losing Score]]</f>
        <v>5</v>
      </c>
      <c r="O1593" s="1">
        <f>Table1[[#This Row],[Losing Seed]]-Table1[[#This Row],[Winning Seed]]</f>
        <v>11</v>
      </c>
      <c r="P1593" s="1" t="str">
        <f>IF(Table1[[#This Row],[SeD]]&lt;-2,Table1[[#This Row],[Winning Seed]]&amp; " over " &amp;Table1[[#This Row],[Losing Seed]],"")</f>
        <v/>
      </c>
      <c r="Q1593">
        <f>VLOOKUP(Table1[[#This Row],[Losing Seed]],'Seed History'!$N$4:$O$19,2)</f>
        <v>0.16666666666666666</v>
      </c>
      <c r="R1593" s="1">
        <f>IF(Table1[[#This Row],[Round]]="PI",0,Table1[[#This Row],[Round]]-1)</f>
        <v>0</v>
      </c>
      <c r="S1593">
        <f>Table1[[#This Row],[LAW]]-Table1[[#This Row],[LEW]]</f>
        <v>-0.16666666666666666</v>
      </c>
    </row>
    <row r="1594" spans="1:19" x14ac:dyDescent="0.25">
      <c r="A1594" s="66">
        <v>40255</v>
      </c>
      <c r="B1594" s="51">
        <f>YEAR(Table1[[#This Row],[Date]])</f>
        <v>2010</v>
      </c>
      <c r="C1594" s="1">
        <v>1</v>
      </c>
      <c r="D1594" t="s">
        <v>439</v>
      </c>
      <c r="E1594" s="1">
        <v>1</v>
      </c>
      <c r="F1594" t="s">
        <v>37</v>
      </c>
      <c r="G1594" t="str">
        <f>VLOOKUP(Table1[[#This Row],[Winner]],Ranking!C:D,2,FALSE)</f>
        <v>B12</v>
      </c>
      <c r="H1594" s="1">
        <v>90</v>
      </c>
      <c r="I1594" s="1">
        <v>16</v>
      </c>
      <c r="J1594" t="s">
        <v>248</v>
      </c>
      <c r="K1594" t="str">
        <f>VLOOKUP(Table1[[#This Row],[Loser]],Ranking!C:D,2,FALSE)</f>
        <v>Pat</v>
      </c>
      <c r="L1594" s="1">
        <v>74</v>
      </c>
      <c r="N1594" s="1">
        <f>Table1[[#This Row],[Winning Score]]-Table1[[#This Row],[Losing Score]]</f>
        <v>16</v>
      </c>
      <c r="O1594" s="1">
        <f>Table1[[#This Row],[Losing Seed]]-Table1[[#This Row],[Winning Seed]]</f>
        <v>15</v>
      </c>
      <c r="P1594" s="1" t="str">
        <f>IF(Table1[[#This Row],[SeD]]&lt;-2,Table1[[#This Row],[Winning Seed]]&amp; " over " &amp;Table1[[#This Row],[Losing Seed]],"")</f>
        <v/>
      </c>
      <c r="Q1594">
        <f>VLOOKUP(Table1[[#This Row],[Losing Seed]],'Seed History'!$N$4:$O$19,2)</f>
        <v>6.9444444444444441E-3</v>
      </c>
      <c r="R1594" s="1">
        <f>IF(Table1[[#This Row],[Round]]="PI",0,Table1[[#This Row],[Round]]-1)</f>
        <v>0</v>
      </c>
      <c r="S1594">
        <f>Table1[[#This Row],[LAW]]-Table1[[#This Row],[LEW]]</f>
        <v>-6.9444444444444441E-3</v>
      </c>
    </row>
    <row r="1595" spans="1:19" x14ac:dyDescent="0.25">
      <c r="A1595" s="66">
        <v>40255</v>
      </c>
      <c r="B1595" s="51">
        <f>YEAR(Table1[[#This Row],[Date]])</f>
        <v>2010</v>
      </c>
      <c r="C1595" s="1">
        <v>1</v>
      </c>
      <c r="D1595" t="s">
        <v>439</v>
      </c>
      <c r="E1595" s="1">
        <v>6</v>
      </c>
      <c r="F1595" t="s">
        <v>374</v>
      </c>
      <c r="G1595" t="str">
        <f>VLOOKUP(Table1[[#This Row],[Winner]],Ranking!C:D,2,FALSE)</f>
        <v>SEC</v>
      </c>
      <c r="H1595" s="1">
        <v>62</v>
      </c>
      <c r="I1595" s="1">
        <v>11</v>
      </c>
      <c r="J1595" t="s">
        <v>344</v>
      </c>
      <c r="K1595" t="str">
        <f>VLOOKUP(Table1[[#This Row],[Loser]],Ranking!C:D,2,FALSE)</f>
        <v>MWC</v>
      </c>
      <c r="L1595" s="1">
        <v>59</v>
      </c>
      <c r="N1595" s="1">
        <f>Table1[[#This Row],[Winning Score]]-Table1[[#This Row],[Losing Score]]</f>
        <v>3</v>
      </c>
      <c r="O1595" s="1">
        <f>Table1[[#This Row],[Losing Seed]]-Table1[[#This Row],[Winning Seed]]</f>
        <v>5</v>
      </c>
      <c r="P1595" s="1" t="str">
        <f>IF(Table1[[#This Row],[SeD]]&lt;-2,Table1[[#This Row],[Winning Seed]]&amp; " over " &amp;Table1[[#This Row],[Losing Seed]],"")</f>
        <v/>
      </c>
      <c r="Q1595">
        <f>VLOOKUP(Table1[[#This Row],[Losing Seed]],'Seed History'!$N$4:$O$19,2)</f>
        <v>0.63194444444444442</v>
      </c>
      <c r="R1595" s="1">
        <f>IF(Table1[[#This Row],[Round]]="PI",0,Table1[[#This Row],[Round]]-1)</f>
        <v>0</v>
      </c>
      <c r="S1595">
        <f>Table1[[#This Row],[LAW]]-Table1[[#This Row],[LEW]]</f>
        <v>-0.63194444444444442</v>
      </c>
    </row>
    <row r="1596" spans="1:19" x14ac:dyDescent="0.25">
      <c r="A1596" s="66">
        <v>40255</v>
      </c>
      <c r="B1596" s="51">
        <f>YEAR(Table1[[#This Row],[Date]])</f>
        <v>2010</v>
      </c>
      <c r="C1596" s="1">
        <v>1</v>
      </c>
      <c r="D1596" t="s">
        <v>63</v>
      </c>
      <c r="E1596" s="1">
        <v>2</v>
      </c>
      <c r="F1596" t="s">
        <v>50</v>
      </c>
      <c r="G1596" t="str">
        <f>VLOOKUP(Table1[[#This Row],[Winner]],Ranking!C:D,2,FALSE)</f>
        <v>BE</v>
      </c>
      <c r="H1596" s="1">
        <v>73</v>
      </c>
      <c r="I1596" s="1">
        <v>15</v>
      </c>
      <c r="J1596" t="s">
        <v>333</v>
      </c>
      <c r="K1596" t="str">
        <f>VLOOKUP(Table1[[#This Row],[Loser]],Ranking!C:D,2,FALSE)</f>
        <v>Horz</v>
      </c>
      <c r="L1596" s="1">
        <v>70</v>
      </c>
      <c r="M1596" s="1" t="s">
        <v>462</v>
      </c>
      <c r="N1596" s="1">
        <f>Table1[[#This Row],[Winning Score]]-Table1[[#This Row],[Losing Score]]</f>
        <v>3</v>
      </c>
      <c r="O1596" s="1">
        <f>Table1[[#This Row],[Losing Seed]]-Table1[[#This Row],[Winning Seed]]</f>
        <v>13</v>
      </c>
      <c r="P1596" s="1" t="str">
        <f>IF(Table1[[#This Row],[SeD]]&lt;-2,Table1[[#This Row],[Winning Seed]]&amp; " over " &amp;Table1[[#This Row],[Losing Seed]],"")</f>
        <v/>
      </c>
      <c r="Q1596">
        <f>VLOOKUP(Table1[[#This Row],[Losing Seed]],'Seed History'!$N$4:$O$19,2)</f>
        <v>7.6388888888888895E-2</v>
      </c>
      <c r="R1596" s="1">
        <f>IF(Table1[[#This Row],[Round]]="PI",0,Table1[[#This Row],[Round]]-1)</f>
        <v>0</v>
      </c>
      <c r="S1596">
        <f>Table1[[#This Row],[LAW]]-Table1[[#This Row],[LEW]]</f>
        <v>-7.6388888888888895E-2</v>
      </c>
    </row>
    <row r="1597" spans="1:19" x14ac:dyDescent="0.25">
      <c r="A1597" s="66">
        <v>40255</v>
      </c>
      <c r="B1597" s="51">
        <f>YEAR(Table1[[#This Row],[Date]])</f>
        <v>2010</v>
      </c>
      <c r="C1597" s="1">
        <v>1</v>
      </c>
      <c r="D1597" t="s">
        <v>63</v>
      </c>
      <c r="E1597" s="1">
        <v>3</v>
      </c>
      <c r="F1597" t="s">
        <v>46</v>
      </c>
      <c r="G1597" t="str">
        <f>VLOOKUP(Table1[[#This Row],[Winner]],Ranking!C:D,2,FALSE)</f>
        <v>B12</v>
      </c>
      <c r="H1597" s="1">
        <v>68</v>
      </c>
      <c r="I1597" s="1">
        <v>14</v>
      </c>
      <c r="J1597" t="s">
        <v>341</v>
      </c>
      <c r="K1597" t="str">
        <f>VLOOKUP(Table1[[#This Row],[Loser]],Ranking!C:D,2,FALSE)</f>
        <v>Slnd</v>
      </c>
      <c r="L1597" s="1">
        <v>59</v>
      </c>
      <c r="N1597" s="1">
        <f>Table1[[#This Row],[Winning Score]]-Table1[[#This Row],[Losing Score]]</f>
        <v>9</v>
      </c>
      <c r="O1597" s="1">
        <f>Table1[[#This Row],[Losing Seed]]-Table1[[#This Row],[Winning Seed]]</f>
        <v>11</v>
      </c>
      <c r="P1597" s="1" t="str">
        <f>IF(Table1[[#This Row],[SeD]]&lt;-2,Table1[[#This Row],[Winning Seed]]&amp; " over " &amp;Table1[[#This Row],[Losing Seed]],"")</f>
        <v/>
      </c>
      <c r="Q1597">
        <f>VLOOKUP(Table1[[#This Row],[Losing Seed]],'Seed History'!$N$4:$O$19,2)</f>
        <v>0.16666666666666666</v>
      </c>
      <c r="R1597" s="1">
        <f>IF(Table1[[#This Row],[Round]]="PI",0,Table1[[#This Row],[Round]]-1)</f>
        <v>0</v>
      </c>
      <c r="S1597">
        <f>Table1[[#This Row],[LAW]]-Table1[[#This Row],[LEW]]</f>
        <v>-0.16666666666666666</v>
      </c>
    </row>
    <row r="1598" spans="1:19" x14ac:dyDescent="0.25">
      <c r="A1598" s="66">
        <v>40255</v>
      </c>
      <c r="B1598" s="51">
        <f>YEAR(Table1[[#This Row],[Date]])</f>
        <v>2010</v>
      </c>
      <c r="C1598" s="1">
        <v>1</v>
      </c>
      <c r="D1598" t="s">
        <v>38</v>
      </c>
      <c r="E1598" s="1">
        <v>2</v>
      </c>
      <c r="F1598" t="s">
        <v>243</v>
      </c>
      <c r="G1598" t="str">
        <f>VLOOKUP(Table1[[#This Row],[Winner]],Ranking!C:D,2,FALSE)</f>
        <v>B12</v>
      </c>
      <c r="H1598" s="1">
        <v>82</v>
      </c>
      <c r="I1598" s="1">
        <v>15</v>
      </c>
      <c r="J1598" t="s">
        <v>305</v>
      </c>
      <c r="K1598" t="str">
        <f>VLOOKUP(Table1[[#This Row],[Loser]],Ranking!C:D,2,FALSE)</f>
        <v>CUSA</v>
      </c>
      <c r="L1598" s="1">
        <v>62</v>
      </c>
      <c r="N1598" s="1">
        <f>Table1[[#This Row],[Winning Score]]-Table1[[#This Row],[Losing Score]]</f>
        <v>20</v>
      </c>
      <c r="O1598" s="1">
        <f>Table1[[#This Row],[Losing Seed]]-Table1[[#This Row],[Winning Seed]]</f>
        <v>13</v>
      </c>
      <c r="P1598" s="1" t="str">
        <f>IF(Table1[[#This Row],[SeD]]&lt;-2,Table1[[#This Row],[Winning Seed]]&amp; " over " &amp;Table1[[#This Row],[Losing Seed]],"")</f>
        <v/>
      </c>
      <c r="Q1598">
        <f>VLOOKUP(Table1[[#This Row],[Losing Seed]],'Seed History'!$N$4:$O$19,2)</f>
        <v>7.6388888888888895E-2</v>
      </c>
      <c r="R1598" s="1">
        <f>IF(Table1[[#This Row],[Round]]="PI",0,Table1[[#This Row],[Round]]-1)</f>
        <v>0</v>
      </c>
      <c r="S1598">
        <f>Table1[[#This Row],[LAW]]-Table1[[#This Row],[LEW]]</f>
        <v>-7.6388888888888895E-2</v>
      </c>
    </row>
    <row r="1599" spans="1:19" x14ac:dyDescent="0.25">
      <c r="A1599" s="66">
        <v>40255</v>
      </c>
      <c r="B1599" s="51">
        <f>YEAR(Table1[[#This Row],[Date]])</f>
        <v>2010</v>
      </c>
      <c r="C1599" s="1">
        <v>1</v>
      </c>
      <c r="D1599" t="s">
        <v>38</v>
      </c>
      <c r="E1599" s="1">
        <v>5</v>
      </c>
      <c r="F1599" t="s">
        <v>33</v>
      </c>
      <c r="G1599" t="str">
        <f>VLOOKUP(Table1[[#This Row],[Winner]],Ranking!C:D,2,FALSE)</f>
        <v>BE</v>
      </c>
      <c r="H1599" s="1">
        <v>77</v>
      </c>
      <c r="I1599" s="1">
        <v>12</v>
      </c>
      <c r="J1599" t="s">
        <v>402</v>
      </c>
      <c r="K1599" t="str">
        <f>VLOOKUP(Table1[[#This Row],[Loser]],Ranking!C:D,2,FALSE)</f>
        <v>CUSA</v>
      </c>
      <c r="L1599" s="1">
        <v>59</v>
      </c>
      <c r="N1599" s="1">
        <f>Table1[[#This Row],[Winning Score]]-Table1[[#This Row],[Losing Score]]</f>
        <v>18</v>
      </c>
      <c r="O1599" s="1">
        <f>Table1[[#This Row],[Losing Seed]]-Table1[[#This Row],[Winning Seed]]</f>
        <v>7</v>
      </c>
      <c r="P1599" s="1" t="str">
        <f>IF(Table1[[#This Row],[SeD]]&lt;-2,Table1[[#This Row],[Winning Seed]]&amp; " over " &amp;Table1[[#This Row],[Losing Seed]],"")</f>
        <v/>
      </c>
      <c r="Q1599">
        <f>VLOOKUP(Table1[[#This Row],[Losing Seed]],'Seed History'!$N$4:$O$19,2)</f>
        <v>0.52083333333333337</v>
      </c>
      <c r="R1599" s="1">
        <f>IF(Table1[[#This Row],[Round]]="PI",0,Table1[[#This Row],[Round]]-1)</f>
        <v>0</v>
      </c>
      <c r="S1599">
        <f>Table1[[#This Row],[LAW]]-Table1[[#This Row],[LEW]]</f>
        <v>-0.52083333333333337</v>
      </c>
    </row>
    <row r="1600" spans="1:19" x14ac:dyDescent="0.25">
      <c r="A1600" s="66">
        <v>40255</v>
      </c>
      <c r="B1600" s="51">
        <f>YEAR(Table1[[#This Row],[Date]])</f>
        <v>2010</v>
      </c>
      <c r="C1600" s="1">
        <v>1</v>
      </c>
      <c r="D1600" t="s">
        <v>38</v>
      </c>
      <c r="E1600" s="1">
        <v>7</v>
      </c>
      <c r="F1600" t="s">
        <v>72</v>
      </c>
      <c r="G1600" t="str">
        <f>VLOOKUP(Table1[[#This Row],[Winner]],Ranking!C:D,2,FALSE)</f>
        <v>WCC</v>
      </c>
      <c r="H1600" s="1">
        <v>99</v>
      </c>
      <c r="I1600" s="1">
        <v>10</v>
      </c>
      <c r="J1600" t="s">
        <v>81</v>
      </c>
      <c r="K1600" t="str">
        <f>VLOOKUP(Table1[[#This Row],[Loser]],Ranking!C:D,2,FALSE)</f>
        <v>SEC</v>
      </c>
      <c r="L1600" s="1">
        <v>92</v>
      </c>
      <c r="M1600" s="1" t="s">
        <v>463</v>
      </c>
      <c r="N1600" s="1">
        <f>Table1[[#This Row],[Winning Score]]-Table1[[#This Row],[Losing Score]]</f>
        <v>7</v>
      </c>
      <c r="O1600" s="1">
        <f>Table1[[#This Row],[Losing Seed]]-Table1[[#This Row],[Winning Seed]]</f>
        <v>3</v>
      </c>
      <c r="P1600" s="1" t="str">
        <f>IF(Table1[[#This Row],[SeD]]&lt;-2,Table1[[#This Row],[Winning Seed]]&amp; " over " &amp;Table1[[#This Row],[Losing Seed]],"")</f>
        <v/>
      </c>
      <c r="Q1600">
        <f>VLOOKUP(Table1[[#This Row],[Losing Seed]],'Seed History'!$N$4:$O$19,2)</f>
        <v>0.61805555555555558</v>
      </c>
      <c r="R1600" s="1">
        <f>IF(Table1[[#This Row],[Round]]="PI",0,Table1[[#This Row],[Round]]-1)</f>
        <v>0</v>
      </c>
      <c r="S1600">
        <f>Table1[[#This Row],[LAW]]-Table1[[#This Row],[LEW]]</f>
        <v>-0.61805555555555558</v>
      </c>
    </row>
    <row r="1601" spans="1:19" x14ac:dyDescent="0.25">
      <c r="A1601" s="66">
        <v>40255</v>
      </c>
      <c r="B1601" s="51">
        <f>YEAR(Table1[[#This Row],[Date]])</f>
        <v>2010</v>
      </c>
      <c r="C1601" s="1">
        <v>1</v>
      </c>
      <c r="D1601" t="s">
        <v>49</v>
      </c>
      <c r="E1601" s="1">
        <v>9</v>
      </c>
      <c r="F1601" t="s">
        <v>408</v>
      </c>
      <c r="G1601" t="str">
        <f>VLOOKUP(Table1[[#This Row],[Winner]],Ranking!C:D,2,FALSE)</f>
        <v>ACC</v>
      </c>
      <c r="H1601" s="1">
        <v>81</v>
      </c>
      <c r="I1601" s="1">
        <v>8</v>
      </c>
      <c r="J1601" t="s">
        <v>34</v>
      </c>
      <c r="K1601" t="str">
        <f>VLOOKUP(Table1[[#This Row],[Loser]],Ranking!C:D,2,FALSE)</f>
        <v>B12</v>
      </c>
      <c r="L1601" s="1">
        <v>80</v>
      </c>
      <c r="M1601" s="1" t="s">
        <v>462</v>
      </c>
      <c r="N1601" s="1">
        <f>Table1[[#This Row],[Winning Score]]-Table1[[#This Row],[Losing Score]]</f>
        <v>1</v>
      </c>
      <c r="O1601" s="1">
        <f>Table1[[#This Row],[Losing Seed]]-Table1[[#This Row],[Winning Seed]]</f>
        <v>-1</v>
      </c>
      <c r="P1601" s="1" t="str">
        <f>IF(Table1[[#This Row],[SeD]]&lt;-2,Table1[[#This Row],[Winning Seed]]&amp; " over " &amp;Table1[[#This Row],[Losing Seed]],"")</f>
        <v/>
      </c>
      <c r="Q1601">
        <f>VLOOKUP(Table1[[#This Row],[Losing Seed]],'Seed History'!$N$4:$O$19,2)</f>
        <v>0.70833333333333337</v>
      </c>
      <c r="R1601" s="1">
        <f>IF(Table1[[#This Row],[Round]]="PI",0,Table1[[#This Row],[Round]]-1)</f>
        <v>0</v>
      </c>
      <c r="S1601">
        <f>Table1[[#This Row],[LAW]]-Table1[[#This Row],[LEW]]</f>
        <v>-0.70833333333333337</v>
      </c>
    </row>
    <row r="1602" spans="1:19" x14ac:dyDescent="0.25">
      <c r="A1602" s="66">
        <v>40255</v>
      </c>
      <c r="B1602" s="51">
        <f>YEAR(Table1[[#This Row],[Date]])</f>
        <v>2010</v>
      </c>
      <c r="C1602" s="1">
        <v>1</v>
      </c>
      <c r="D1602" t="s">
        <v>439</v>
      </c>
      <c r="E1602" s="1">
        <v>9</v>
      </c>
      <c r="F1602" t="s">
        <v>310</v>
      </c>
      <c r="G1602" t="str">
        <f>VLOOKUP(Table1[[#This Row],[Winner]],Ranking!C:D,2,FALSE)</f>
        <v>MVC</v>
      </c>
      <c r="H1602" s="1">
        <v>69</v>
      </c>
      <c r="I1602" s="1">
        <v>8</v>
      </c>
      <c r="J1602" t="s">
        <v>396</v>
      </c>
      <c r="K1602" t="str">
        <f>VLOOKUP(Table1[[#This Row],[Loser]],Ranking!C:D,2,FALSE)</f>
        <v>MWC</v>
      </c>
      <c r="L1602" s="1">
        <v>66</v>
      </c>
      <c r="N1602" s="1">
        <f>Table1[[#This Row],[Winning Score]]-Table1[[#This Row],[Losing Score]]</f>
        <v>3</v>
      </c>
      <c r="O1602" s="1">
        <f>Table1[[#This Row],[Losing Seed]]-Table1[[#This Row],[Winning Seed]]</f>
        <v>-1</v>
      </c>
      <c r="P1602" s="1" t="str">
        <f>IF(Table1[[#This Row],[SeD]]&lt;-2,Table1[[#This Row],[Winning Seed]]&amp; " over " &amp;Table1[[#This Row],[Losing Seed]],"")</f>
        <v/>
      </c>
      <c r="Q1602">
        <f>VLOOKUP(Table1[[#This Row],[Losing Seed]],'Seed History'!$N$4:$O$19,2)</f>
        <v>0.70833333333333337</v>
      </c>
      <c r="R1602" s="1">
        <f>IF(Table1[[#This Row],[Round]]="PI",0,Table1[[#This Row],[Round]]-1)</f>
        <v>0</v>
      </c>
      <c r="S1602">
        <f>Table1[[#This Row],[LAW]]-Table1[[#This Row],[LEW]]</f>
        <v>-0.70833333333333337</v>
      </c>
    </row>
    <row r="1603" spans="1:19" x14ac:dyDescent="0.25">
      <c r="A1603" s="66">
        <v>40256</v>
      </c>
      <c r="B1603" s="51">
        <f>YEAR(Table1[[#This Row],[Date]])</f>
        <v>2010</v>
      </c>
      <c r="C1603" s="1">
        <v>1</v>
      </c>
      <c r="D1603" t="s">
        <v>49</v>
      </c>
      <c r="E1603" s="1">
        <v>12</v>
      </c>
      <c r="F1603" t="s">
        <v>179</v>
      </c>
      <c r="G1603" t="str">
        <f>VLOOKUP(Table1[[#This Row],[Winner]],Ranking!C:D,2,FALSE)</f>
        <v>Ivy</v>
      </c>
      <c r="H1603" s="1">
        <v>78</v>
      </c>
      <c r="I1603" s="1">
        <v>5</v>
      </c>
      <c r="J1603" t="s">
        <v>373</v>
      </c>
      <c r="K1603" t="str">
        <f>VLOOKUP(Table1[[#This Row],[Loser]],Ranking!C:D,2,FALSE)</f>
        <v>Amer</v>
      </c>
      <c r="L1603" s="1">
        <v>65</v>
      </c>
      <c r="N1603" s="1">
        <f>Table1[[#This Row],[Winning Score]]-Table1[[#This Row],[Losing Score]]</f>
        <v>13</v>
      </c>
      <c r="O1603" s="1">
        <f>Table1[[#This Row],[Losing Seed]]-Table1[[#This Row],[Winning Seed]]</f>
        <v>-7</v>
      </c>
      <c r="P1603" s="1" t="str">
        <f>IF(Table1[[#This Row],[SeD]]&lt;-2,Table1[[#This Row],[Winning Seed]]&amp; " over " &amp;Table1[[#This Row],[Losing Seed]],"")</f>
        <v>12 over 5</v>
      </c>
      <c r="Q1603">
        <f>VLOOKUP(Table1[[#This Row],[Losing Seed]],'Seed History'!$N$4:$O$19,2)</f>
        <v>1.1180555555555556</v>
      </c>
      <c r="R1603" s="1">
        <f>IF(Table1[[#This Row],[Round]]="PI",0,Table1[[#This Row],[Round]]-1)</f>
        <v>0</v>
      </c>
      <c r="S1603">
        <f>Table1[[#This Row],[LAW]]-Table1[[#This Row],[LEW]]</f>
        <v>-1.1180555555555556</v>
      </c>
    </row>
    <row r="1604" spans="1:19" x14ac:dyDescent="0.25">
      <c r="A1604" s="66">
        <v>40256</v>
      </c>
      <c r="B1604" s="51">
        <f>YEAR(Table1[[#This Row],[Date]])</f>
        <v>2010</v>
      </c>
      <c r="C1604" s="1">
        <v>1</v>
      </c>
      <c r="D1604" t="s">
        <v>49</v>
      </c>
      <c r="E1604" s="1">
        <v>10</v>
      </c>
      <c r="F1604" t="s">
        <v>277</v>
      </c>
      <c r="G1604" t="str">
        <f>VLOOKUP(Table1[[#This Row],[Winner]],Ranking!C:D,2,FALSE)</f>
        <v>SEC</v>
      </c>
      <c r="H1604" s="1">
        <v>86</v>
      </c>
      <c r="I1604" s="1">
        <v>7</v>
      </c>
      <c r="J1604" t="s">
        <v>89</v>
      </c>
      <c r="K1604" t="str">
        <f>VLOOKUP(Table1[[#This Row],[Loser]],Ranking!C:D,2,FALSE)</f>
        <v>ACC</v>
      </c>
      <c r="L1604" s="1">
        <v>78</v>
      </c>
      <c r="N1604" s="1">
        <f>Table1[[#This Row],[Winning Score]]-Table1[[#This Row],[Losing Score]]</f>
        <v>8</v>
      </c>
      <c r="O1604" s="1">
        <f>Table1[[#This Row],[Losing Seed]]-Table1[[#This Row],[Winning Seed]]</f>
        <v>-3</v>
      </c>
      <c r="P1604" s="1" t="str">
        <f>IF(Table1[[#This Row],[SeD]]&lt;-2,Table1[[#This Row],[Winning Seed]]&amp; " over " &amp;Table1[[#This Row],[Losing Seed]],"")</f>
        <v>10 over 7</v>
      </c>
      <c r="Q1604">
        <f>VLOOKUP(Table1[[#This Row],[Losing Seed]],'Seed History'!$N$4:$O$19,2)</f>
        <v>0.90277777777777779</v>
      </c>
      <c r="R1604" s="1">
        <f>IF(Table1[[#This Row],[Round]]="PI",0,Table1[[#This Row],[Round]]-1)</f>
        <v>0</v>
      </c>
      <c r="S1604">
        <f>Table1[[#This Row],[LAW]]-Table1[[#This Row],[LEW]]</f>
        <v>-0.90277777777777779</v>
      </c>
    </row>
    <row r="1605" spans="1:19" x14ac:dyDescent="0.25">
      <c r="A1605" s="66">
        <v>40256</v>
      </c>
      <c r="B1605" s="51">
        <f>YEAR(Table1[[#This Row],[Date]])</f>
        <v>2010</v>
      </c>
      <c r="C1605" s="1">
        <v>1</v>
      </c>
      <c r="D1605" t="s">
        <v>439</v>
      </c>
      <c r="E1605" s="1">
        <v>10</v>
      </c>
      <c r="F1605" t="s">
        <v>216</v>
      </c>
      <c r="G1605" t="str">
        <f>VLOOKUP(Table1[[#This Row],[Winner]],Ranking!C:D,2,FALSE)</f>
        <v>ACC</v>
      </c>
      <c r="H1605" s="1">
        <v>64</v>
      </c>
      <c r="I1605" s="1">
        <v>7</v>
      </c>
      <c r="J1605" t="s">
        <v>316</v>
      </c>
      <c r="K1605" t="str">
        <f>VLOOKUP(Table1[[#This Row],[Loser]],Ranking!C:D,2,FALSE)</f>
        <v>B12</v>
      </c>
      <c r="L1605" s="1">
        <v>59</v>
      </c>
      <c r="N1605" s="1">
        <f>Table1[[#This Row],[Winning Score]]-Table1[[#This Row],[Losing Score]]</f>
        <v>5</v>
      </c>
      <c r="O1605" s="1">
        <f>Table1[[#This Row],[Losing Seed]]-Table1[[#This Row],[Winning Seed]]</f>
        <v>-3</v>
      </c>
      <c r="P1605" s="1" t="str">
        <f>IF(Table1[[#This Row],[SeD]]&lt;-2,Table1[[#This Row],[Winning Seed]]&amp; " over " &amp;Table1[[#This Row],[Losing Seed]],"")</f>
        <v>10 over 7</v>
      </c>
      <c r="Q1605">
        <f>VLOOKUP(Table1[[#This Row],[Losing Seed]],'Seed History'!$N$4:$O$19,2)</f>
        <v>0.90277777777777779</v>
      </c>
      <c r="R1605" s="1">
        <f>IF(Table1[[#This Row],[Round]]="PI",0,Table1[[#This Row],[Round]]-1)</f>
        <v>0</v>
      </c>
      <c r="S1605">
        <f>Table1[[#This Row],[LAW]]-Table1[[#This Row],[LEW]]</f>
        <v>-0.90277777777777779</v>
      </c>
    </row>
    <row r="1606" spans="1:19" x14ac:dyDescent="0.25">
      <c r="A1606" s="66">
        <v>40256</v>
      </c>
      <c r="B1606" s="51">
        <f>YEAR(Table1[[#This Row],[Date]])</f>
        <v>2010</v>
      </c>
      <c r="C1606" s="1">
        <v>1</v>
      </c>
      <c r="D1606" t="s">
        <v>49</v>
      </c>
      <c r="E1606" s="1">
        <v>2</v>
      </c>
      <c r="F1606" t="s">
        <v>412</v>
      </c>
      <c r="G1606" t="str">
        <f>VLOOKUP(Table1[[#This Row],[Winner]],Ranking!C:D,2,FALSE)</f>
        <v>B12</v>
      </c>
      <c r="H1606" s="1">
        <v>77</v>
      </c>
      <c r="I1606" s="1">
        <v>15</v>
      </c>
      <c r="J1606" t="s">
        <v>283</v>
      </c>
      <c r="K1606" t="str">
        <f>VLOOKUP(Table1[[#This Row],[Loser]],Ranking!C:D,2,FALSE)</f>
        <v>MEAC</v>
      </c>
      <c r="L1606" s="1">
        <v>50</v>
      </c>
      <c r="N1606" s="1">
        <f>Table1[[#This Row],[Winning Score]]-Table1[[#This Row],[Losing Score]]</f>
        <v>27</v>
      </c>
      <c r="O1606" s="1">
        <f>Table1[[#This Row],[Losing Seed]]-Table1[[#This Row],[Winning Seed]]</f>
        <v>13</v>
      </c>
      <c r="P1606" s="1" t="str">
        <f>IF(Table1[[#This Row],[SeD]]&lt;-2,Table1[[#This Row],[Winning Seed]]&amp; " over " &amp;Table1[[#This Row],[Losing Seed]],"")</f>
        <v/>
      </c>
      <c r="Q1606">
        <f>VLOOKUP(Table1[[#This Row],[Losing Seed]],'Seed History'!$N$4:$O$19,2)</f>
        <v>7.6388888888888895E-2</v>
      </c>
      <c r="R1606" s="1">
        <f>IF(Table1[[#This Row],[Round]]="PI",0,Table1[[#This Row],[Round]]-1)</f>
        <v>0</v>
      </c>
      <c r="S1606">
        <f>Table1[[#This Row],[LAW]]-Table1[[#This Row],[LEW]]</f>
        <v>-7.6388888888888895E-2</v>
      </c>
    </row>
    <row r="1607" spans="1:19" x14ac:dyDescent="0.25">
      <c r="A1607" s="66">
        <v>40256</v>
      </c>
      <c r="B1607" s="51">
        <f>YEAR(Table1[[#This Row],[Date]])</f>
        <v>2010</v>
      </c>
      <c r="C1607" s="1">
        <v>1</v>
      </c>
      <c r="D1607" t="s">
        <v>49</v>
      </c>
      <c r="E1607" s="1">
        <v>4</v>
      </c>
      <c r="F1607" t="s">
        <v>39</v>
      </c>
      <c r="G1607" t="str">
        <f>VLOOKUP(Table1[[#This Row],[Winner]],Ranking!C:D,2,FALSE)</f>
        <v>B10</v>
      </c>
      <c r="H1607" s="1">
        <v>53</v>
      </c>
      <c r="I1607" s="1">
        <v>13</v>
      </c>
      <c r="J1607" t="s">
        <v>42</v>
      </c>
      <c r="K1607" t="str">
        <f>VLOOKUP(Table1[[#This Row],[Loser]],Ranking!C:D,2,FALSE)</f>
        <v>SC</v>
      </c>
      <c r="L1607" s="1">
        <v>49</v>
      </c>
      <c r="N1607" s="1">
        <f>Table1[[#This Row],[Winning Score]]-Table1[[#This Row],[Losing Score]]</f>
        <v>4</v>
      </c>
      <c r="O1607" s="1">
        <f>Table1[[#This Row],[Losing Seed]]-Table1[[#This Row],[Winning Seed]]</f>
        <v>9</v>
      </c>
      <c r="P1607" s="1" t="str">
        <f>IF(Table1[[#This Row],[SeD]]&lt;-2,Table1[[#This Row],[Winning Seed]]&amp; " over " &amp;Table1[[#This Row],[Losing Seed]],"")</f>
        <v/>
      </c>
      <c r="Q1607">
        <f>VLOOKUP(Table1[[#This Row],[Losing Seed]],'Seed History'!$N$4:$O$19,2)</f>
        <v>0.25694444444444442</v>
      </c>
      <c r="R1607" s="1">
        <f>IF(Table1[[#This Row],[Round]]="PI",0,Table1[[#This Row],[Round]]-1)</f>
        <v>0</v>
      </c>
      <c r="S1607">
        <f>Table1[[#This Row],[LAW]]-Table1[[#This Row],[LEW]]</f>
        <v>-0.25694444444444442</v>
      </c>
    </row>
    <row r="1608" spans="1:19" x14ac:dyDescent="0.25">
      <c r="A1608" s="66">
        <v>40256</v>
      </c>
      <c r="B1608" s="51">
        <f>YEAR(Table1[[#This Row],[Date]])</f>
        <v>2010</v>
      </c>
      <c r="C1608" s="1">
        <v>1</v>
      </c>
      <c r="D1608" t="s">
        <v>439</v>
      </c>
      <c r="E1608" s="1">
        <v>2</v>
      </c>
      <c r="F1608" t="s">
        <v>315</v>
      </c>
      <c r="G1608" t="str">
        <f>VLOOKUP(Table1[[#This Row],[Winner]],Ranking!C:D,2,FALSE)</f>
        <v>B10</v>
      </c>
      <c r="H1608" s="1">
        <v>68</v>
      </c>
      <c r="I1608" s="1">
        <v>15</v>
      </c>
      <c r="J1608" t="s">
        <v>388</v>
      </c>
      <c r="K1608" t="str">
        <f>VLOOKUP(Table1[[#This Row],[Loser]],Ranking!C:D,2,FALSE)</f>
        <v>BW</v>
      </c>
      <c r="L1608" s="1">
        <v>51</v>
      </c>
      <c r="N1608" s="1">
        <f>Table1[[#This Row],[Winning Score]]-Table1[[#This Row],[Losing Score]]</f>
        <v>17</v>
      </c>
      <c r="O1608" s="1">
        <f>Table1[[#This Row],[Losing Seed]]-Table1[[#This Row],[Winning Seed]]</f>
        <v>13</v>
      </c>
      <c r="P1608" s="1" t="str">
        <f>IF(Table1[[#This Row],[SeD]]&lt;-2,Table1[[#This Row],[Winning Seed]]&amp; " over " &amp;Table1[[#This Row],[Losing Seed]],"")</f>
        <v/>
      </c>
      <c r="Q1608">
        <f>VLOOKUP(Table1[[#This Row],[Losing Seed]],'Seed History'!$N$4:$O$19,2)</f>
        <v>7.6388888888888895E-2</v>
      </c>
      <c r="R1608" s="1">
        <f>IF(Table1[[#This Row],[Round]]="PI",0,Table1[[#This Row],[Round]]-1)</f>
        <v>0</v>
      </c>
      <c r="S1608">
        <f>Table1[[#This Row],[LAW]]-Table1[[#This Row],[LEW]]</f>
        <v>-7.6388888888888895E-2</v>
      </c>
    </row>
    <row r="1609" spans="1:19" x14ac:dyDescent="0.25">
      <c r="A1609" s="66">
        <v>40256</v>
      </c>
      <c r="B1609" s="51">
        <f>YEAR(Table1[[#This Row],[Date]])</f>
        <v>2010</v>
      </c>
      <c r="C1609" s="1">
        <v>1</v>
      </c>
      <c r="D1609" t="s">
        <v>439</v>
      </c>
      <c r="E1609" s="1">
        <v>4</v>
      </c>
      <c r="F1609" t="s">
        <v>31</v>
      </c>
      <c r="G1609" t="str">
        <f>VLOOKUP(Table1[[#This Row],[Winner]],Ranking!C:D,2,FALSE)</f>
        <v>B10</v>
      </c>
      <c r="H1609" s="1">
        <v>89</v>
      </c>
      <c r="I1609" s="1">
        <v>13</v>
      </c>
      <c r="J1609" t="s">
        <v>225</v>
      </c>
      <c r="K1609" t="str">
        <f>VLOOKUP(Table1[[#This Row],[Loser]],Ranking!C:D,2,FALSE)</f>
        <v>Amer</v>
      </c>
      <c r="L1609" s="1">
        <v>77</v>
      </c>
      <c r="N1609" s="1">
        <f>Table1[[#This Row],[Winning Score]]-Table1[[#This Row],[Losing Score]]</f>
        <v>12</v>
      </c>
      <c r="O1609" s="1">
        <f>Table1[[#This Row],[Losing Seed]]-Table1[[#This Row],[Winning Seed]]</f>
        <v>9</v>
      </c>
      <c r="P1609" s="1" t="str">
        <f>IF(Table1[[#This Row],[SeD]]&lt;-2,Table1[[#This Row],[Winning Seed]]&amp; " over " &amp;Table1[[#This Row],[Losing Seed]],"")</f>
        <v/>
      </c>
      <c r="Q1609">
        <f>VLOOKUP(Table1[[#This Row],[Losing Seed]],'Seed History'!$N$4:$O$19,2)</f>
        <v>0.25694444444444442</v>
      </c>
      <c r="R1609" s="1">
        <f>IF(Table1[[#This Row],[Round]]="PI",0,Table1[[#This Row],[Round]]-1)</f>
        <v>0</v>
      </c>
      <c r="S1609">
        <f>Table1[[#This Row],[LAW]]-Table1[[#This Row],[LEW]]</f>
        <v>-0.25694444444444442</v>
      </c>
    </row>
    <row r="1610" spans="1:19" x14ac:dyDescent="0.25">
      <c r="A1610" s="66">
        <v>40256</v>
      </c>
      <c r="B1610" s="51">
        <f>YEAR(Table1[[#This Row],[Date]])</f>
        <v>2010</v>
      </c>
      <c r="C1610" s="1">
        <v>1</v>
      </c>
      <c r="D1610" t="s">
        <v>439</v>
      </c>
      <c r="E1610" s="1">
        <v>5</v>
      </c>
      <c r="F1610" t="s">
        <v>271</v>
      </c>
      <c r="G1610" t="str">
        <f>VLOOKUP(Table1[[#This Row],[Winner]],Ranking!C:D,2,FALSE)</f>
        <v>B10</v>
      </c>
      <c r="H1610" s="1">
        <v>70</v>
      </c>
      <c r="I1610" s="1">
        <v>12</v>
      </c>
      <c r="J1610" t="s">
        <v>292</v>
      </c>
      <c r="K1610" t="str">
        <f>VLOOKUP(Table1[[#This Row],[Loser]],Ranking!C:D,2,FALSE)</f>
        <v>WAC</v>
      </c>
      <c r="L1610" s="1">
        <v>67</v>
      </c>
      <c r="N1610" s="1">
        <f>Table1[[#This Row],[Winning Score]]-Table1[[#This Row],[Losing Score]]</f>
        <v>3</v>
      </c>
      <c r="O1610" s="1">
        <f>Table1[[#This Row],[Losing Seed]]-Table1[[#This Row],[Winning Seed]]</f>
        <v>7</v>
      </c>
      <c r="P1610" s="1" t="str">
        <f>IF(Table1[[#This Row],[SeD]]&lt;-2,Table1[[#This Row],[Winning Seed]]&amp; " over " &amp;Table1[[#This Row],[Losing Seed]],"")</f>
        <v/>
      </c>
      <c r="Q1610">
        <f>VLOOKUP(Table1[[#This Row],[Losing Seed]],'Seed History'!$N$4:$O$19,2)</f>
        <v>0.52083333333333337</v>
      </c>
      <c r="R1610" s="1">
        <f>IF(Table1[[#This Row],[Round]]="PI",0,Table1[[#This Row],[Round]]-1)</f>
        <v>0</v>
      </c>
      <c r="S1610">
        <f>Table1[[#This Row],[LAW]]-Table1[[#This Row],[LEW]]</f>
        <v>-0.52083333333333337</v>
      </c>
    </row>
    <row r="1611" spans="1:19" x14ac:dyDescent="0.25">
      <c r="A1611" s="66">
        <v>40256</v>
      </c>
      <c r="B1611" s="51">
        <f>YEAR(Table1[[#This Row],[Date]])</f>
        <v>2010</v>
      </c>
      <c r="C1611" s="1">
        <v>1</v>
      </c>
      <c r="D1611" t="s">
        <v>63</v>
      </c>
      <c r="E1611" s="1">
        <v>1</v>
      </c>
      <c r="F1611" t="s">
        <v>64</v>
      </c>
      <c r="G1611" t="str">
        <f>VLOOKUP(Table1[[#This Row],[Winner]],Ranking!C:D,2,FALSE)</f>
        <v>ACC</v>
      </c>
      <c r="H1611" s="1">
        <v>73</v>
      </c>
      <c r="I1611" s="1">
        <v>16</v>
      </c>
      <c r="J1611" t="s">
        <v>126</v>
      </c>
      <c r="K1611" t="str">
        <f>VLOOKUP(Table1[[#This Row],[Loser]],Ranking!C:D,2,FALSE)</f>
        <v>SWAC</v>
      </c>
      <c r="L1611" s="1">
        <v>44</v>
      </c>
      <c r="N1611" s="1">
        <f>Table1[[#This Row],[Winning Score]]-Table1[[#This Row],[Losing Score]]</f>
        <v>29</v>
      </c>
      <c r="O1611" s="1">
        <f>Table1[[#This Row],[Losing Seed]]-Table1[[#This Row],[Winning Seed]]</f>
        <v>15</v>
      </c>
      <c r="P1611" s="1" t="str">
        <f>IF(Table1[[#This Row],[SeD]]&lt;-2,Table1[[#This Row],[Winning Seed]]&amp; " over " &amp;Table1[[#This Row],[Losing Seed]],"")</f>
        <v/>
      </c>
      <c r="Q1611">
        <f>VLOOKUP(Table1[[#This Row],[Losing Seed]],'Seed History'!$N$4:$O$19,2)</f>
        <v>6.9444444444444441E-3</v>
      </c>
      <c r="R1611" s="1">
        <f>IF(Table1[[#This Row],[Round]]="PI",0,Table1[[#This Row],[Round]]-1)</f>
        <v>0</v>
      </c>
      <c r="S1611">
        <f>Table1[[#This Row],[LAW]]-Table1[[#This Row],[LEW]]</f>
        <v>-6.9444444444444441E-3</v>
      </c>
    </row>
    <row r="1612" spans="1:19" x14ac:dyDescent="0.25">
      <c r="A1612" s="66">
        <v>40256</v>
      </c>
      <c r="B1612" s="51">
        <f>YEAR(Table1[[#This Row],[Date]])</f>
        <v>2010</v>
      </c>
      <c r="C1612" s="1">
        <v>1</v>
      </c>
      <c r="D1612" t="s">
        <v>63</v>
      </c>
      <c r="E1612" s="1">
        <v>4</v>
      </c>
      <c r="F1612" t="s">
        <v>29</v>
      </c>
      <c r="G1612" t="str">
        <f>VLOOKUP(Table1[[#This Row],[Winner]],Ranking!C:D,2,FALSE)</f>
        <v>B10</v>
      </c>
      <c r="H1612" s="1">
        <v>72</v>
      </c>
      <c r="I1612" s="1">
        <v>13</v>
      </c>
      <c r="J1612" t="s">
        <v>350</v>
      </c>
      <c r="K1612" t="str">
        <f>VLOOKUP(Table1[[#This Row],[Loser]],Ranking!C:D,2,FALSE)</f>
        <v>MAAC</v>
      </c>
      <c r="L1612" s="1">
        <v>64</v>
      </c>
      <c r="N1612" s="1">
        <f>Table1[[#This Row],[Winning Score]]-Table1[[#This Row],[Losing Score]]</f>
        <v>8</v>
      </c>
      <c r="O1612" s="1">
        <f>Table1[[#This Row],[Losing Seed]]-Table1[[#This Row],[Winning Seed]]</f>
        <v>9</v>
      </c>
      <c r="P1612" s="1" t="str">
        <f>IF(Table1[[#This Row],[SeD]]&lt;-2,Table1[[#This Row],[Winning Seed]]&amp; " over " &amp;Table1[[#This Row],[Losing Seed]],"")</f>
        <v/>
      </c>
      <c r="Q1612">
        <f>VLOOKUP(Table1[[#This Row],[Losing Seed]],'Seed History'!$N$4:$O$19,2)</f>
        <v>0.25694444444444442</v>
      </c>
      <c r="R1612" s="1">
        <f>IF(Table1[[#This Row],[Round]]="PI",0,Table1[[#This Row],[Round]]-1)</f>
        <v>0</v>
      </c>
      <c r="S1612">
        <f>Table1[[#This Row],[LAW]]-Table1[[#This Row],[LEW]]</f>
        <v>-0.25694444444444442</v>
      </c>
    </row>
    <row r="1613" spans="1:19" x14ac:dyDescent="0.25">
      <c r="A1613" s="66">
        <v>40256</v>
      </c>
      <c r="B1613" s="51">
        <f>YEAR(Table1[[#This Row],[Date]])</f>
        <v>2010</v>
      </c>
      <c r="C1613" s="1">
        <v>1</v>
      </c>
      <c r="D1613" t="s">
        <v>63</v>
      </c>
      <c r="E1613" s="1">
        <v>5</v>
      </c>
      <c r="F1613" t="s">
        <v>79</v>
      </c>
      <c r="G1613" t="str">
        <f>VLOOKUP(Table1[[#This Row],[Winner]],Ranking!C:D,2,FALSE)</f>
        <v>SEC</v>
      </c>
      <c r="H1613" s="1">
        <v>69</v>
      </c>
      <c r="I1613" s="1">
        <v>12</v>
      </c>
      <c r="J1613" t="s">
        <v>400</v>
      </c>
      <c r="K1613" t="str">
        <f>VLOOKUP(Table1[[#This Row],[Loser]],Ranking!C:D,2,FALSE)</f>
        <v>MWC</v>
      </c>
      <c r="L1613" s="1">
        <v>53</v>
      </c>
      <c r="N1613" s="1">
        <f>Table1[[#This Row],[Winning Score]]-Table1[[#This Row],[Losing Score]]</f>
        <v>16</v>
      </c>
      <c r="O1613" s="1">
        <f>Table1[[#This Row],[Losing Seed]]-Table1[[#This Row],[Winning Seed]]</f>
        <v>7</v>
      </c>
      <c r="P1613" s="1" t="str">
        <f>IF(Table1[[#This Row],[SeD]]&lt;-2,Table1[[#This Row],[Winning Seed]]&amp; " over " &amp;Table1[[#This Row],[Losing Seed]],"")</f>
        <v/>
      </c>
      <c r="Q1613">
        <f>VLOOKUP(Table1[[#This Row],[Losing Seed]],'Seed History'!$N$4:$O$19,2)</f>
        <v>0.52083333333333337</v>
      </c>
      <c r="R1613" s="1">
        <f>IF(Table1[[#This Row],[Round]]="PI",0,Table1[[#This Row],[Round]]-1)</f>
        <v>0</v>
      </c>
      <c r="S1613">
        <f>Table1[[#This Row],[LAW]]-Table1[[#This Row],[LEW]]</f>
        <v>-0.52083333333333337</v>
      </c>
    </row>
    <row r="1614" spans="1:19" x14ac:dyDescent="0.25">
      <c r="A1614" s="66">
        <v>40256</v>
      </c>
      <c r="B1614" s="51">
        <f>YEAR(Table1[[#This Row],[Date]])</f>
        <v>2010</v>
      </c>
      <c r="C1614" s="1">
        <v>1</v>
      </c>
      <c r="D1614" t="s">
        <v>63</v>
      </c>
      <c r="E1614" s="1">
        <v>8</v>
      </c>
      <c r="F1614" t="s">
        <v>84</v>
      </c>
      <c r="G1614" t="str">
        <f>VLOOKUP(Table1[[#This Row],[Winner]],Ranking!C:D,2,FALSE)</f>
        <v>P12</v>
      </c>
      <c r="H1614" s="1">
        <v>77</v>
      </c>
      <c r="I1614" s="1">
        <v>9</v>
      </c>
      <c r="J1614" t="s">
        <v>54</v>
      </c>
      <c r="K1614" t="str">
        <f>VLOOKUP(Table1[[#This Row],[Loser]],Ranking!C:D,2,FALSE)</f>
        <v>ACC</v>
      </c>
      <c r="L1614" s="1">
        <v>62</v>
      </c>
      <c r="N1614" s="1">
        <f>Table1[[#This Row],[Winning Score]]-Table1[[#This Row],[Losing Score]]</f>
        <v>15</v>
      </c>
      <c r="O1614" s="1">
        <f>Table1[[#This Row],[Losing Seed]]-Table1[[#This Row],[Winning Seed]]</f>
        <v>1</v>
      </c>
      <c r="P1614" s="1" t="str">
        <f>IF(Table1[[#This Row],[SeD]]&lt;-2,Table1[[#This Row],[Winning Seed]]&amp; " over " &amp;Table1[[#This Row],[Losing Seed]],"")</f>
        <v/>
      </c>
      <c r="Q1614">
        <f>VLOOKUP(Table1[[#This Row],[Losing Seed]],'Seed History'!$N$4:$O$19,2)</f>
        <v>0.59027777777777779</v>
      </c>
      <c r="R1614" s="1">
        <f>IF(Table1[[#This Row],[Round]]="PI",0,Table1[[#This Row],[Round]]-1)</f>
        <v>0</v>
      </c>
      <c r="S1614">
        <f>Table1[[#This Row],[LAW]]-Table1[[#This Row],[LEW]]</f>
        <v>-0.59027777777777779</v>
      </c>
    </row>
    <row r="1615" spans="1:19" x14ac:dyDescent="0.25">
      <c r="A1615" s="66">
        <v>40256</v>
      </c>
      <c r="B1615" s="51">
        <f>YEAR(Table1[[#This Row],[Date]])</f>
        <v>2010</v>
      </c>
      <c r="C1615" s="1">
        <v>1</v>
      </c>
      <c r="D1615" t="s">
        <v>38</v>
      </c>
      <c r="E1615" s="1">
        <v>1</v>
      </c>
      <c r="F1615" t="s">
        <v>86</v>
      </c>
      <c r="G1615" t="str">
        <f>VLOOKUP(Table1[[#This Row],[Winner]],Ranking!C:D,2,FALSE)</f>
        <v>ACC</v>
      </c>
      <c r="H1615" s="1">
        <v>79</v>
      </c>
      <c r="I1615" s="1">
        <v>16</v>
      </c>
      <c r="J1615" t="s">
        <v>404</v>
      </c>
      <c r="K1615" t="str">
        <f>VLOOKUP(Table1[[#This Row],[Loser]],Ranking!C:D,2,FALSE)</f>
        <v>AE</v>
      </c>
      <c r="L1615" s="1">
        <v>56</v>
      </c>
      <c r="N1615" s="1">
        <f>Table1[[#This Row],[Winning Score]]-Table1[[#This Row],[Losing Score]]</f>
        <v>23</v>
      </c>
      <c r="O1615" s="1">
        <f>Table1[[#This Row],[Losing Seed]]-Table1[[#This Row],[Winning Seed]]</f>
        <v>15</v>
      </c>
      <c r="P1615" s="1" t="str">
        <f>IF(Table1[[#This Row],[SeD]]&lt;-2,Table1[[#This Row],[Winning Seed]]&amp; " over " &amp;Table1[[#This Row],[Losing Seed]],"")</f>
        <v/>
      </c>
      <c r="Q1615">
        <f>VLOOKUP(Table1[[#This Row],[Losing Seed]],'Seed History'!$N$4:$O$19,2)</f>
        <v>6.9444444444444441E-3</v>
      </c>
      <c r="R1615" s="1">
        <f>IF(Table1[[#This Row],[Round]]="PI",0,Table1[[#This Row],[Round]]-1)</f>
        <v>0</v>
      </c>
      <c r="S1615">
        <f>Table1[[#This Row],[LAW]]-Table1[[#This Row],[LEW]]</f>
        <v>-6.9444444444444441E-3</v>
      </c>
    </row>
    <row r="1616" spans="1:19" x14ac:dyDescent="0.25">
      <c r="A1616" s="66">
        <v>40256</v>
      </c>
      <c r="B1616" s="51">
        <f>YEAR(Table1[[#This Row],[Date]])</f>
        <v>2010</v>
      </c>
      <c r="C1616" s="1">
        <v>1</v>
      </c>
      <c r="D1616" t="s">
        <v>38</v>
      </c>
      <c r="E1616" s="1">
        <v>3</v>
      </c>
      <c r="F1616" t="s">
        <v>83</v>
      </c>
      <c r="G1616" t="str">
        <f>VLOOKUP(Table1[[#This Row],[Winner]],Ranking!C:D,2,FALSE)</f>
        <v>ACC</v>
      </c>
      <c r="H1616" s="1">
        <v>89</v>
      </c>
      <c r="I1616" s="1">
        <v>14</v>
      </c>
      <c r="J1616" t="s">
        <v>313</v>
      </c>
      <c r="K1616" t="str">
        <f>VLOOKUP(Table1[[#This Row],[Loser]],Ranking!C:D,2,FALSE)</f>
        <v>Horz</v>
      </c>
      <c r="L1616" s="1">
        <v>66</v>
      </c>
      <c r="N1616" s="1">
        <f>Table1[[#This Row],[Winning Score]]-Table1[[#This Row],[Losing Score]]</f>
        <v>23</v>
      </c>
      <c r="O1616" s="1">
        <f>Table1[[#This Row],[Losing Seed]]-Table1[[#This Row],[Winning Seed]]</f>
        <v>11</v>
      </c>
      <c r="P1616" s="1" t="str">
        <f>IF(Table1[[#This Row],[SeD]]&lt;-2,Table1[[#This Row],[Winning Seed]]&amp; " over " &amp;Table1[[#This Row],[Losing Seed]],"")</f>
        <v/>
      </c>
      <c r="Q1616">
        <f>VLOOKUP(Table1[[#This Row],[Losing Seed]],'Seed History'!$N$4:$O$19,2)</f>
        <v>0.16666666666666666</v>
      </c>
      <c r="R1616" s="1">
        <f>IF(Table1[[#This Row],[Round]]="PI",0,Table1[[#This Row],[Round]]-1)</f>
        <v>0</v>
      </c>
      <c r="S1616">
        <f>Table1[[#This Row],[LAW]]-Table1[[#This Row],[LEW]]</f>
        <v>-0.16666666666666666</v>
      </c>
    </row>
    <row r="1617" spans="1:19" x14ac:dyDescent="0.25">
      <c r="A1617" s="66">
        <v>40256</v>
      </c>
      <c r="B1617" s="51">
        <f>YEAR(Table1[[#This Row],[Date]])</f>
        <v>2010</v>
      </c>
      <c r="C1617" s="1">
        <v>1</v>
      </c>
      <c r="D1617" t="s">
        <v>38</v>
      </c>
      <c r="E1617" s="1">
        <v>6</v>
      </c>
      <c r="F1617" t="s">
        <v>44</v>
      </c>
      <c r="G1617" t="str">
        <f>VLOOKUP(Table1[[#This Row],[Winner]],Ranking!C:D,2,FALSE)</f>
        <v>BE</v>
      </c>
      <c r="H1617" s="1">
        <v>65</v>
      </c>
      <c r="I1617" s="1">
        <v>11</v>
      </c>
      <c r="J1617" t="s">
        <v>274</v>
      </c>
      <c r="K1617" t="str">
        <f>VLOOKUP(Table1[[#This Row],[Loser]],Ranking!C:D,2,FALSE)</f>
        <v>B10</v>
      </c>
      <c r="L1617" s="1">
        <v>54</v>
      </c>
      <c r="N1617" s="1">
        <f>Table1[[#This Row],[Winning Score]]-Table1[[#This Row],[Losing Score]]</f>
        <v>11</v>
      </c>
      <c r="O1617" s="1">
        <f>Table1[[#This Row],[Losing Seed]]-Table1[[#This Row],[Winning Seed]]</f>
        <v>5</v>
      </c>
      <c r="P1617" s="1" t="str">
        <f>IF(Table1[[#This Row],[SeD]]&lt;-2,Table1[[#This Row],[Winning Seed]]&amp; " over " &amp;Table1[[#This Row],[Losing Seed]],"")</f>
        <v/>
      </c>
      <c r="Q1617">
        <f>VLOOKUP(Table1[[#This Row],[Losing Seed]],'Seed History'!$N$4:$O$19,2)</f>
        <v>0.63194444444444442</v>
      </c>
      <c r="R1617" s="1">
        <f>IF(Table1[[#This Row],[Round]]="PI",0,Table1[[#This Row],[Round]]-1)</f>
        <v>0</v>
      </c>
      <c r="S1617">
        <f>Table1[[#This Row],[LAW]]-Table1[[#This Row],[LEW]]</f>
        <v>-0.63194444444444442</v>
      </c>
    </row>
    <row r="1618" spans="1:19" x14ac:dyDescent="0.25">
      <c r="A1618" s="66">
        <v>40256</v>
      </c>
      <c r="B1618" s="51">
        <f>YEAR(Table1[[#This Row],[Date]])</f>
        <v>2010</v>
      </c>
      <c r="C1618" s="1">
        <v>1</v>
      </c>
      <c r="D1618" t="s">
        <v>38</v>
      </c>
      <c r="E1618" s="1">
        <v>8</v>
      </c>
      <c r="F1618" t="s">
        <v>71</v>
      </c>
      <c r="G1618" t="str">
        <f>VLOOKUP(Table1[[#This Row],[Winner]],Ranking!C:D,2,FALSE)</f>
        <v>WCC</v>
      </c>
      <c r="H1618" s="1">
        <v>67</v>
      </c>
      <c r="I1618" s="1">
        <v>9</v>
      </c>
      <c r="J1618" t="s">
        <v>207</v>
      </c>
      <c r="K1618" t="str">
        <f>VLOOKUP(Table1[[#This Row],[Loser]],Ranking!C:D,2,FALSE)</f>
        <v>ACC</v>
      </c>
      <c r="L1618" s="1">
        <v>60</v>
      </c>
      <c r="N1618" s="1">
        <f>Table1[[#This Row],[Winning Score]]-Table1[[#This Row],[Losing Score]]</f>
        <v>7</v>
      </c>
      <c r="O1618" s="1">
        <f>Table1[[#This Row],[Losing Seed]]-Table1[[#This Row],[Winning Seed]]</f>
        <v>1</v>
      </c>
      <c r="P1618" s="1" t="str">
        <f>IF(Table1[[#This Row],[SeD]]&lt;-2,Table1[[#This Row],[Winning Seed]]&amp; " over " &amp;Table1[[#This Row],[Losing Seed]],"")</f>
        <v/>
      </c>
      <c r="Q1618">
        <f>VLOOKUP(Table1[[#This Row],[Losing Seed]],'Seed History'!$N$4:$O$19,2)</f>
        <v>0.59027777777777779</v>
      </c>
      <c r="R1618" s="1">
        <f>IF(Table1[[#This Row],[Round]]="PI",0,Table1[[#This Row],[Round]]-1)</f>
        <v>0</v>
      </c>
      <c r="S1618">
        <f>Table1[[#This Row],[LAW]]-Table1[[#This Row],[LEW]]</f>
        <v>-0.59027777777777779</v>
      </c>
    </row>
    <row r="1619" spans="1:19" x14ac:dyDescent="0.25">
      <c r="A1619" s="66">
        <v>40257</v>
      </c>
      <c r="B1619" s="51">
        <f>YEAR(Table1[[#This Row],[Date]])</f>
        <v>2010</v>
      </c>
      <c r="C1619" s="1">
        <v>2</v>
      </c>
      <c r="D1619" t="s">
        <v>49</v>
      </c>
      <c r="E1619" s="1">
        <v>11</v>
      </c>
      <c r="F1619" t="s">
        <v>409</v>
      </c>
      <c r="G1619" t="str">
        <f>VLOOKUP(Table1[[#This Row],[Winner]],Ranking!C:D,2,FALSE)</f>
        <v>P12</v>
      </c>
      <c r="H1619" s="1">
        <v>82</v>
      </c>
      <c r="I1619" s="1">
        <v>3</v>
      </c>
      <c r="J1619" t="s">
        <v>291</v>
      </c>
      <c r="K1619" t="str">
        <f>VLOOKUP(Table1[[#This Row],[Loser]],Ranking!C:D,2,FALSE)</f>
        <v>MWC</v>
      </c>
      <c r="L1619" s="1">
        <v>64</v>
      </c>
      <c r="N1619" s="1">
        <f>Table1[[#This Row],[Winning Score]]-Table1[[#This Row],[Losing Score]]</f>
        <v>18</v>
      </c>
      <c r="O1619" s="1">
        <f>Table1[[#This Row],[Losing Seed]]-Table1[[#This Row],[Winning Seed]]</f>
        <v>-8</v>
      </c>
      <c r="P1619" s="1" t="str">
        <f>IF(Table1[[#This Row],[SeD]]&lt;-2,Table1[[#This Row],[Winning Seed]]&amp; " over " &amp;Table1[[#This Row],[Losing Seed]],"")</f>
        <v>11 over 3</v>
      </c>
      <c r="Q1619">
        <f>VLOOKUP(Table1[[#This Row],[Losing Seed]],'Seed History'!$N$4:$O$19,2)</f>
        <v>1.8472222222222223</v>
      </c>
      <c r="R1619" s="1">
        <f>IF(Table1[[#This Row],[Round]]="PI",0,Table1[[#This Row],[Round]]-1)</f>
        <v>1</v>
      </c>
      <c r="S1619">
        <f>Table1[[#This Row],[LAW]]-Table1[[#This Row],[LEW]]</f>
        <v>-0.84722222222222232</v>
      </c>
    </row>
    <row r="1620" spans="1:19" x14ac:dyDescent="0.25">
      <c r="A1620" s="66">
        <v>40257</v>
      </c>
      <c r="B1620" s="51">
        <f>YEAR(Table1[[#This Row],[Date]])</f>
        <v>2010</v>
      </c>
      <c r="C1620" s="1">
        <v>2</v>
      </c>
      <c r="D1620" t="s">
        <v>439</v>
      </c>
      <c r="E1620" s="1">
        <v>9</v>
      </c>
      <c r="F1620" t="s">
        <v>310</v>
      </c>
      <c r="G1620" t="str">
        <f>VLOOKUP(Table1[[#This Row],[Winner]],Ranking!C:D,2,FALSE)</f>
        <v>MVC</v>
      </c>
      <c r="H1620" s="1">
        <v>69</v>
      </c>
      <c r="I1620" s="1">
        <v>1</v>
      </c>
      <c r="J1620" t="s">
        <v>37</v>
      </c>
      <c r="K1620" t="str">
        <f>VLOOKUP(Table1[[#This Row],[Loser]],Ranking!C:D,2,FALSE)</f>
        <v>B12</v>
      </c>
      <c r="L1620" s="1">
        <v>67</v>
      </c>
      <c r="N1620" s="1">
        <f>Table1[[#This Row],[Winning Score]]-Table1[[#This Row],[Losing Score]]</f>
        <v>2</v>
      </c>
      <c r="O1620" s="1">
        <f>Table1[[#This Row],[Losing Seed]]-Table1[[#This Row],[Winning Seed]]</f>
        <v>-8</v>
      </c>
      <c r="P1620" s="1" t="str">
        <f>IF(Table1[[#This Row],[SeD]]&lt;-2,Table1[[#This Row],[Winning Seed]]&amp; " over " &amp;Table1[[#This Row],[Losing Seed]],"")</f>
        <v>9 over 1</v>
      </c>
      <c r="Q1620">
        <f>VLOOKUP(Table1[[#This Row],[Losing Seed]],'Seed History'!$N$4:$O$19,2)</f>
        <v>3.3263888888888888</v>
      </c>
      <c r="R1620" s="1">
        <f>IF(Table1[[#This Row],[Round]]="PI",0,Table1[[#This Row],[Round]]-1)</f>
        <v>1</v>
      </c>
      <c r="S1620">
        <f>Table1[[#This Row],[LAW]]-Table1[[#This Row],[LEW]]</f>
        <v>-2.3263888888888888</v>
      </c>
    </row>
    <row r="1621" spans="1:19" x14ac:dyDescent="0.25">
      <c r="A1621" s="66">
        <v>40257</v>
      </c>
      <c r="B1621" s="51">
        <f>YEAR(Table1[[#This Row],[Date]])</f>
        <v>2010</v>
      </c>
      <c r="C1621" s="1">
        <v>2</v>
      </c>
      <c r="D1621" t="s">
        <v>63</v>
      </c>
      <c r="E1621" s="1">
        <v>10</v>
      </c>
      <c r="F1621" t="s">
        <v>339</v>
      </c>
      <c r="G1621" t="str">
        <f>VLOOKUP(Table1[[#This Row],[Winner]],Ranking!C:D,2,FALSE)</f>
        <v>WCC</v>
      </c>
      <c r="H1621" s="1">
        <v>75</v>
      </c>
      <c r="I1621" s="1">
        <v>2</v>
      </c>
      <c r="J1621" t="s">
        <v>50</v>
      </c>
      <c r="K1621" t="str">
        <f>VLOOKUP(Table1[[#This Row],[Loser]],Ranking!C:D,2,FALSE)</f>
        <v>BE</v>
      </c>
      <c r="L1621" s="1">
        <v>68</v>
      </c>
      <c r="N1621" s="1">
        <f>Table1[[#This Row],[Winning Score]]-Table1[[#This Row],[Losing Score]]</f>
        <v>7</v>
      </c>
      <c r="O1621" s="1">
        <f>Table1[[#This Row],[Losing Seed]]-Table1[[#This Row],[Winning Seed]]</f>
        <v>-8</v>
      </c>
      <c r="P1621" s="1" t="str">
        <f>IF(Table1[[#This Row],[SeD]]&lt;-2,Table1[[#This Row],[Winning Seed]]&amp; " over " &amp;Table1[[#This Row],[Losing Seed]],"")</f>
        <v>10 over 2</v>
      </c>
      <c r="Q1621">
        <f>VLOOKUP(Table1[[#This Row],[Losing Seed]],'Seed History'!$N$4:$O$19,2)</f>
        <v>2.3472222222222223</v>
      </c>
      <c r="R1621" s="1">
        <f>IF(Table1[[#This Row],[Round]]="PI",0,Table1[[#This Row],[Round]]-1)</f>
        <v>1</v>
      </c>
      <c r="S1621">
        <f>Table1[[#This Row],[LAW]]-Table1[[#This Row],[LEW]]</f>
        <v>-1.3472222222222223</v>
      </c>
    </row>
    <row r="1622" spans="1:19" x14ac:dyDescent="0.25">
      <c r="A1622" s="66">
        <v>40257</v>
      </c>
      <c r="B1622" s="51">
        <f>YEAR(Table1[[#This Row],[Date]])</f>
        <v>2010</v>
      </c>
      <c r="C1622" s="1">
        <v>2</v>
      </c>
      <c r="D1622" t="s">
        <v>49</v>
      </c>
      <c r="E1622" s="1">
        <v>1</v>
      </c>
      <c r="F1622" t="s">
        <v>26</v>
      </c>
      <c r="G1622" t="str">
        <f>VLOOKUP(Table1[[#This Row],[Winner]],Ranking!C:D,2,FALSE)</f>
        <v>SEC</v>
      </c>
      <c r="H1622" s="1">
        <v>90</v>
      </c>
      <c r="I1622" s="1">
        <v>9</v>
      </c>
      <c r="J1622" t="s">
        <v>408</v>
      </c>
      <c r="K1622" t="str">
        <f>VLOOKUP(Table1[[#This Row],[Loser]],Ranking!C:D,2,FALSE)</f>
        <v>ACC</v>
      </c>
      <c r="L1622" s="1">
        <v>60</v>
      </c>
      <c r="N1622" s="1">
        <f>Table1[[#This Row],[Winning Score]]-Table1[[#This Row],[Losing Score]]</f>
        <v>30</v>
      </c>
      <c r="O1622" s="1">
        <f>Table1[[#This Row],[Losing Seed]]-Table1[[#This Row],[Winning Seed]]</f>
        <v>8</v>
      </c>
      <c r="P1622" s="1" t="str">
        <f>IF(Table1[[#This Row],[SeD]]&lt;-2,Table1[[#This Row],[Winning Seed]]&amp; " over " &amp;Table1[[#This Row],[Losing Seed]],"")</f>
        <v/>
      </c>
      <c r="Q1622">
        <f>VLOOKUP(Table1[[#This Row],[Losing Seed]],'Seed History'!$N$4:$O$19,2)</f>
        <v>0.59027777777777779</v>
      </c>
      <c r="R1622" s="1">
        <f>IF(Table1[[#This Row],[Round]]="PI",0,Table1[[#This Row],[Round]]-1)</f>
        <v>1</v>
      </c>
      <c r="S1622">
        <f>Table1[[#This Row],[LAW]]-Table1[[#This Row],[LEW]]</f>
        <v>0.40972222222222221</v>
      </c>
    </row>
    <row r="1623" spans="1:19" x14ac:dyDescent="0.25">
      <c r="A1623" s="66">
        <v>40257</v>
      </c>
      <c r="B1623" s="51">
        <f>YEAR(Table1[[#This Row],[Date]])</f>
        <v>2010</v>
      </c>
      <c r="C1623" s="1">
        <v>2</v>
      </c>
      <c r="D1623" t="s">
        <v>439</v>
      </c>
      <c r="E1623" s="1">
        <v>6</v>
      </c>
      <c r="F1623" t="s">
        <v>374</v>
      </c>
      <c r="G1623" t="str">
        <f>VLOOKUP(Table1[[#This Row],[Winner]],Ranking!C:D,2,FALSE)</f>
        <v>SEC</v>
      </c>
      <c r="H1623" s="1">
        <v>83</v>
      </c>
      <c r="I1623" s="1">
        <v>14</v>
      </c>
      <c r="J1623" t="s">
        <v>314</v>
      </c>
      <c r="K1623" t="str">
        <f>VLOOKUP(Table1[[#This Row],[Loser]],Ranking!C:D,2,FALSE)</f>
        <v>MAC</v>
      </c>
      <c r="L1623" s="1">
        <v>68</v>
      </c>
      <c r="N1623" s="1">
        <f>Table1[[#This Row],[Winning Score]]-Table1[[#This Row],[Losing Score]]</f>
        <v>15</v>
      </c>
      <c r="O1623" s="1">
        <f>Table1[[#This Row],[Losing Seed]]-Table1[[#This Row],[Winning Seed]]</f>
        <v>8</v>
      </c>
      <c r="P1623" s="1" t="str">
        <f>IF(Table1[[#This Row],[SeD]]&lt;-2,Table1[[#This Row],[Winning Seed]]&amp; " over " &amp;Table1[[#This Row],[Losing Seed]],"")</f>
        <v/>
      </c>
      <c r="Q1623">
        <f>VLOOKUP(Table1[[#This Row],[Losing Seed]],'Seed History'!$N$4:$O$19,2)</f>
        <v>0.16666666666666666</v>
      </c>
      <c r="R1623" s="1">
        <f>IF(Table1[[#This Row],[Round]]="PI",0,Table1[[#This Row],[Round]]-1)</f>
        <v>1</v>
      </c>
      <c r="S1623">
        <f>Table1[[#This Row],[LAW]]-Table1[[#This Row],[LEW]]</f>
        <v>0.83333333333333337</v>
      </c>
    </row>
    <row r="1624" spans="1:19" x14ac:dyDescent="0.25">
      <c r="A1624" s="66">
        <v>40257</v>
      </c>
      <c r="B1624" s="51">
        <f>YEAR(Table1[[#This Row],[Date]])</f>
        <v>2010</v>
      </c>
      <c r="C1624" s="1">
        <v>2</v>
      </c>
      <c r="D1624" t="s">
        <v>63</v>
      </c>
      <c r="E1624" s="1">
        <v>3</v>
      </c>
      <c r="F1624" t="s">
        <v>46</v>
      </c>
      <c r="G1624" t="str">
        <f>VLOOKUP(Table1[[#This Row],[Winner]],Ranking!C:D,2,FALSE)</f>
        <v>B12</v>
      </c>
      <c r="H1624" s="1">
        <v>76</v>
      </c>
      <c r="I1624" s="1">
        <v>11</v>
      </c>
      <c r="J1624" t="s">
        <v>317</v>
      </c>
      <c r="K1624" t="str">
        <f>VLOOKUP(Table1[[#This Row],[Loser]],Ranking!C:D,2,FALSE)</f>
        <v>CUSA</v>
      </c>
      <c r="L1624" s="1">
        <v>68</v>
      </c>
      <c r="N1624" s="1">
        <f>Table1[[#This Row],[Winning Score]]-Table1[[#This Row],[Losing Score]]</f>
        <v>8</v>
      </c>
      <c r="O1624" s="1">
        <f>Table1[[#This Row],[Losing Seed]]-Table1[[#This Row],[Winning Seed]]</f>
        <v>8</v>
      </c>
      <c r="P1624" s="1" t="str">
        <f>IF(Table1[[#This Row],[SeD]]&lt;-2,Table1[[#This Row],[Winning Seed]]&amp; " over " &amp;Table1[[#This Row],[Losing Seed]],"")</f>
        <v/>
      </c>
      <c r="Q1624">
        <f>VLOOKUP(Table1[[#This Row],[Losing Seed]],'Seed History'!$N$4:$O$19,2)</f>
        <v>0.63194444444444442</v>
      </c>
      <c r="R1624" s="1">
        <f>IF(Table1[[#This Row],[Round]]="PI",0,Table1[[#This Row],[Round]]-1)</f>
        <v>1</v>
      </c>
      <c r="S1624">
        <f>Table1[[#This Row],[LAW]]-Table1[[#This Row],[LEW]]</f>
        <v>0.36805555555555558</v>
      </c>
    </row>
    <row r="1625" spans="1:19" x14ac:dyDescent="0.25">
      <c r="A1625" s="66">
        <v>40257</v>
      </c>
      <c r="B1625" s="51">
        <f>YEAR(Table1[[#This Row],[Date]])</f>
        <v>2010</v>
      </c>
      <c r="C1625" s="1">
        <v>2</v>
      </c>
      <c r="D1625" t="s">
        <v>38</v>
      </c>
      <c r="E1625" s="1">
        <v>2</v>
      </c>
      <c r="F1625" t="s">
        <v>243</v>
      </c>
      <c r="G1625" t="str">
        <f>VLOOKUP(Table1[[#This Row],[Winner]],Ranking!C:D,2,FALSE)</f>
        <v>B12</v>
      </c>
      <c r="H1625" s="1">
        <v>84</v>
      </c>
      <c r="I1625" s="1">
        <v>7</v>
      </c>
      <c r="J1625" t="s">
        <v>72</v>
      </c>
      <c r="K1625" t="str">
        <f>VLOOKUP(Table1[[#This Row],[Loser]],Ranking!C:D,2,FALSE)</f>
        <v>WCC</v>
      </c>
      <c r="L1625" s="1">
        <v>72</v>
      </c>
      <c r="N1625" s="1">
        <f>Table1[[#This Row],[Winning Score]]-Table1[[#This Row],[Losing Score]]</f>
        <v>12</v>
      </c>
      <c r="O1625" s="1">
        <f>Table1[[#This Row],[Losing Seed]]-Table1[[#This Row],[Winning Seed]]</f>
        <v>5</v>
      </c>
      <c r="P1625" s="1" t="str">
        <f>IF(Table1[[#This Row],[SeD]]&lt;-2,Table1[[#This Row],[Winning Seed]]&amp; " over " &amp;Table1[[#This Row],[Losing Seed]],"")</f>
        <v/>
      </c>
      <c r="Q1625">
        <f>VLOOKUP(Table1[[#This Row],[Losing Seed]],'Seed History'!$N$4:$O$19,2)</f>
        <v>0.90277777777777779</v>
      </c>
      <c r="R1625" s="1">
        <f>IF(Table1[[#This Row],[Round]]="PI",0,Table1[[#This Row],[Round]]-1)</f>
        <v>1</v>
      </c>
      <c r="S1625">
        <f>Table1[[#This Row],[LAW]]-Table1[[#This Row],[LEW]]</f>
        <v>9.722222222222221E-2</v>
      </c>
    </row>
    <row r="1626" spans="1:19" x14ac:dyDescent="0.25">
      <c r="A1626" s="66">
        <v>40257</v>
      </c>
      <c r="B1626" s="51">
        <f>YEAR(Table1[[#This Row],[Date]])</f>
        <v>2010</v>
      </c>
      <c r="C1626" s="1">
        <v>2</v>
      </c>
      <c r="D1626" t="s">
        <v>38</v>
      </c>
      <c r="E1626" s="1">
        <v>5</v>
      </c>
      <c r="F1626" t="s">
        <v>33</v>
      </c>
      <c r="G1626" t="str">
        <f>VLOOKUP(Table1[[#This Row],[Winner]],Ranking!C:D,2,FALSE)</f>
        <v>BE</v>
      </c>
      <c r="H1626" s="1">
        <v>54</v>
      </c>
      <c r="I1626" s="1">
        <v>13</v>
      </c>
      <c r="J1626" t="s">
        <v>285</v>
      </c>
      <c r="K1626" t="str">
        <f>VLOOKUP(Table1[[#This Row],[Loser]],Ranking!C:D,2,FALSE)</f>
        <v>OVC</v>
      </c>
      <c r="L1626" s="1">
        <v>52</v>
      </c>
      <c r="N1626" s="1">
        <f>Table1[[#This Row],[Winning Score]]-Table1[[#This Row],[Losing Score]]</f>
        <v>2</v>
      </c>
      <c r="O1626" s="1">
        <f>Table1[[#This Row],[Losing Seed]]-Table1[[#This Row],[Winning Seed]]</f>
        <v>8</v>
      </c>
      <c r="P1626" s="1" t="str">
        <f>IF(Table1[[#This Row],[SeD]]&lt;-2,Table1[[#This Row],[Winning Seed]]&amp; " over " &amp;Table1[[#This Row],[Losing Seed]],"")</f>
        <v/>
      </c>
      <c r="Q1626">
        <f>VLOOKUP(Table1[[#This Row],[Losing Seed]],'Seed History'!$N$4:$O$19,2)</f>
        <v>0.25694444444444442</v>
      </c>
      <c r="R1626" s="1">
        <f>IF(Table1[[#This Row],[Round]]="PI",0,Table1[[#This Row],[Round]]-1)</f>
        <v>1</v>
      </c>
      <c r="S1626">
        <f>Table1[[#This Row],[LAW]]-Table1[[#This Row],[LEW]]</f>
        <v>0.74305555555555558</v>
      </c>
    </row>
    <row r="1627" spans="1:19" x14ac:dyDescent="0.25">
      <c r="A1627" s="66">
        <v>40258</v>
      </c>
      <c r="B1627" s="51">
        <f>YEAR(Table1[[#This Row],[Date]])</f>
        <v>2010</v>
      </c>
      <c r="C1627" s="1">
        <v>2</v>
      </c>
      <c r="D1627" t="s">
        <v>49</v>
      </c>
      <c r="E1627" s="1">
        <v>12</v>
      </c>
      <c r="F1627" t="s">
        <v>179</v>
      </c>
      <c r="G1627" t="str">
        <f>VLOOKUP(Table1[[#This Row],[Winner]],Ranking!C:D,2,FALSE)</f>
        <v>Ivy</v>
      </c>
      <c r="H1627" s="1">
        <v>87</v>
      </c>
      <c r="I1627" s="1">
        <v>4</v>
      </c>
      <c r="J1627" t="s">
        <v>39</v>
      </c>
      <c r="K1627" t="str">
        <f>VLOOKUP(Table1[[#This Row],[Loser]],Ranking!C:D,2,FALSE)</f>
        <v>B10</v>
      </c>
      <c r="L1627" s="1">
        <v>69</v>
      </c>
      <c r="N1627" s="1">
        <f>Table1[[#This Row],[Winning Score]]-Table1[[#This Row],[Losing Score]]</f>
        <v>18</v>
      </c>
      <c r="O1627" s="1">
        <f>Table1[[#This Row],[Losing Seed]]-Table1[[#This Row],[Winning Seed]]</f>
        <v>-8</v>
      </c>
      <c r="P1627" s="1" t="str">
        <f>IF(Table1[[#This Row],[SeD]]&lt;-2,Table1[[#This Row],[Winning Seed]]&amp; " over " &amp;Table1[[#This Row],[Losing Seed]],"")</f>
        <v>12 over 4</v>
      </c>
      <c r="Q1627">
        <f>VLOOKUP(Table1[[#This Row],[Losing Seed]],'Seed History'!$N$4:$O$19,2)</f>
        <v>1.5208333333333333</v>
      </c>
      <c r="R1627" s="1">
        <f>IF(Table1[[#This Row],[Round]]="PI",0,Table1[[#This Row],[Round]]-1)</f>
        <v>1</v>
      </c>
      <c r="S1627">
        <f>Table1[[#This Row],[LAW]]-Table1[[#This Row],[LEW]]</f>
        <v>-0.52083333333333326</v>
      </c>
    </row>
    <row r="1628" spans="1:19" x14ac:dyDescent="0.25">
      <c r="A1628" s="66">
        <v>40258</v>
      </c>
      <c r="B1628" s="51">
        <f>YEAR(Table1[[#This Row],[Date]])</f>
        <v>2010</v>
      </c>
      <c r="C1628" s="1">
        <v>2</v>
      </c>
      <c r="D1628" t="s">
        <v>38</v>
      </c>
      <c r="E1628" s="1">
        <v>6</v>
      </c>
      <c r="F1628" t="s">
        <v>44</v>
      </c>
      <c r="G1628" t="str">
        <f>VLOOKUP(Table1[[#This Row],[Winner]],Ranking!C:D,2,FALSE)</f>
        <v>BE</v>
      </c>
      <c r="H1628" s="1">
        <v>71</v>
      </c>
      <c r="I1628" s="1">
        <v>3</v>
      </c>
      <c r="J1628" t="s">
        <v>83</v>
      </c>
      <c r="K1628" t="str">
        <f>VLOOKUP(Table1[[#This Row],[Loser]],Ranking!C:D,2,FALSE)</f>
        <v>ACC</v>
      </c>
      <c r="L1628" s="1">
        <v>68</v>
      </c>
      <c r="N1628" s="1">
        <f>Table1[[#This Row],[Winning Score]]-Table1[[#This Row],[Losing Score]]</f>
        <v>3</v>
      </c>
      <c r="O1628" s="1">
        <f>Table1[[#This Row],[Losing Seed]]-Table1[[#This Row],[Winning Seed]]</f>
        <v>-3</v>
      </c>
      <c r="P1628" s="1" t="str">
        <f>IF(Table1[[#This Row],[SeD]]&lt;-2,Table1[[#This Row],[Winning Seed]]&amp; " over " &amp;Table1[[#This Row],[Losing Seed]],"")</f>
        <v>6 over 3</v>
      </c>
      <c r="Q1628">
        <f>VLOOKUP(Table1[[#This Row],[Losing Seed]],'Seed History'!$N$4:$O$19,2)</f>
        <v>1.8472222222222223</v>
      </c>
      <c r="R1628" s="1">
        <f>IF(Table1[[#This Row],[Round]]="PI",0,Table1[[#This Row],[Round]]-1)</f>
        <v>1</v>
      </c>
      <c r="S1628">
        <f>Table1[[#This Row],[LAW]]-Table1[[#This Row],[LEW]]</f>
        <v>-0.84722222222222232</v>
      </c>
    </row>
    <row r="1629" spans="1:19" x14ac:dyDescent="0.25">
      <c r="A1629" s="66">
        <v>40258</v>
      </c>
      <c r="B1629" s="51">
        <f>YEAR(Table1[[#This Row],[Date]])</f>
        <v>2010</v>
      </c>
      <c r="C1629" s="1">
        <v>2</v>
      </c>
      <c r="D1629" t="s">
        <v>49</v>
      </c>
      <c r="E1629" s="1">
        <v>2</v>
      </c>
      <c r="F1629" t="s">
        <v>412</v>
      </c>
      <c r="G1629" t="str">
        <f>VLOOKUP(Table1[[#This Row],[Winner]],Ranking!C:D,2,FALSE)</f>
        <v>B12</v>
      </c>
      <c r="H1629" s="1">
        <v>68</v>
      </c>
      <c r="I1629" s="1">
        <v>10</v>
      </c>
      <c r="J1629" t="s">
        <v>277</v>
      </c>
      <c r="K1629" t="str">
        <f>VLOOKUP(Table1[[#This Row],[Loser]],Ranking!C:D,2,FALSE)</f>
        <v>SEC</v>
      </c>
      <c r="L1629" s="1">
        <v>59</v>
      </c>
      <c r="N1629" s="1">
        <f>Table1[[#This Row],[Winning Score]]-Table1[[#This Row],[Losing Score]]</f>
        <v>9</v>
      </c>
      <c r="O1629" s="1">
        <f>Table1[[#This Row],[Losing Seed]]-Table1[[#This Row],[Winning Seed]]</f>
        <v>8</v>
      </c>
      <c r="P1629" s="1" t="str">
        <f>IF(Table1[[#This Row],[SeD]]&lt;-2,Table1[[#This Row],[Winning Seed]]&amp; " over " &amp;Table1[[#This Row],[Losing Seed]],"")</f>
        <v/>
      </c>
      <c r="Q1629">
        <f>VLOOKUP(Table1[[#This Row],[Losing Seed]],'Seed History'!$N$4:$O$19,2)</f>
        <v>0.61805555555555558</v>
      </c>
      <c r="R1629" s="1">
        <f>IF(Table1[[#This Row],[Round]]="PI",0,Table1[[#This Row],[Round]]-1)</f>
        <v>1</v>
      </c>
      <c r="S1629">
        <f>Table1[[#This Row],[LAW]]-Table1[[#This Row],[LEW]]</f>
        <v>0.38194444444444442</v>
      </c>
    </row>
    <row r="1630" spans="1:19" x14ac:dyDescent="0.25">
      <c r="A1630" s="66">
        <v>40258</v>
      </c>
      <c r="B1630" s="51">
        <f>YEAR(Table1[[#This Row],[Date]])</f>
        <v>2010</v>
      </c>
      <c r="C1630" s="1">
        <v>2</v>
      </c>
      <c r="D1630" t="s">
        <v>439</v>
      </c>
      <c r="E1630" s="1">
        <v>2</v>
      </c>
      <c r="F1630" t="s">
        <v>315</v>
      </c>
      <c r="G1630" t="str">
        <f>VLOOKUP(Table1[[#This Row],[Winner]],Ranking!C:D,2,FALSE)</f>
        <v>B10</v>
      </c>
      <c r="H1630" s="1">
        <v>75</v>
      </c>
      <c r="I1630" s="1">
        <v>10</v>
      </c>
      <c r="J1630" t="s">
        <v>216</v>
      </c>
      <c r="K1630" t="str">
        <f>VLOOKUP(Table1[[#This Row],[Loser]],Ranking!C:D,2,FALSE)</f>
        <v>ACC</v>
      </c>
      <c r="L1630" s="1">
        <v>66</v>
      </c>
      <c r="N1630" s="1">
        <f>Table1[[#This Row],[Winning Score]]-Table1[[#This Row],[Losing Score]]</f>
        <v>9</v>
      </c>
      <c r="O1630" s="1">
        <f>Table1[[#This Row],[Losing Seed]]-Table1[[#This Row],[Winning Seed]]</f>
        <v>8</v>
      </c>
      <c r="P1630" s="1" t="str">
        <f>IF(Table1[[#This Row],[SeD]]&lt;-2,Table1[[#This Row],[Winning Seed]]&amp; " over " &amp;Table1[[#This Row],[Losing Seed]],"")</f>
        <v/>
      </c>
      <c r="Q1630">
        <f>VLOOKUP(Table1[[#This Row],[Losing Seed]],'Seed History'!$N$4:$O$19,2)</f>
        <v>0.61805555555555558</v>
      </c>
      <c r="R1630" s="1">
        <f>IF(Table1[[#This Row],[Round]]="PI",0,Table1[[#This Row],[Round]]-1)</f>
        <v>1</v>
      </c>
      <c r="S1630">
        <f>Table1[[#This Row],[LAW]]-Table1[[#This Row],[LEW]]</f>
        <v>0.38194444444444442</v>
      </c>
    </row>
    <row r="1631" spans="1:19" x14ac:dyDescent="0.25">
      <c r="A1631" s="66">
        <v>40258</v>
      </c>
      <c r="B1631" s="51">
        <f>YEAR(Table1[[#This Row],[Date]])</f>
        <v>2010</v>
      </c>
      <c r="C1631" s="1">
        <v>2</v>
      </c>
      <c r="D1631" t="s">
        <v>63</v>
      </c>
      <c r="E1631" s="1">
        <v>1</v>
      </c>
      <c r="F1631" t="s">
        <v>64</v>
      </c>
      <c r="G1631" t="str">
        <f>VLOOKUP(Table1[[#This Row],[Winner]],Ranking!C:D,2,FALSE)</f>
        <v>ACC</v>
      </c>
      <c r="H1631" s="1">
        <v>68</v>
      </c>
      <c r="I1631" s="1">
        <v>8</v>
      </c>
      <c r="J1631" t="s">
        <v>84</v>
      </c>
      <c r="K1631" t="str">
        <f>VLOOKUP(Table1[[#This Row],[Loser]],Ranking!C:D,2,FALSE)</f>
        <v>P12</v>
      </c>
      <c r="L1631" s="1">
        <v>53</v>
      </c>
      <c r="N1631" s="1">
        <f>Table1[[#This Row],[Winning Score]]-Table1[[#This Row],[Losing Score]]</f>
        <v>15</v>
      </c>
      <c r="O1631" s="1">
        <f>Table1[[#This Row],[Losing Seed]]-Table1[[#This Row],[Winning Seed]]</f>
        <v>7</v>
      </c>
      <c r="P1631" s="1" t="str">
        <f>IF(Table1[[#This Row],[SeD]]&lt;-2,Table1[[#This Row],[Winning Seed]]&amp; " over " &amp;Table1[[#This Row],[Losing Seed]],"")</f>
        <v/>
      </c>
      <c r="Q1631">
        <f>VLOOKUP(Table1[[#This Row],[Losing Seed]],'Seed History'!$N$4:$O$19,2)</f>
        <v>0.70833333333333337</v>
      </c>
      <c r="R1631" s="1">
        <f>IF(Table1[[#This Row],[Round]]="PI",0,Table1[[#This Row],[Round]]-1)</f>
        <v>1</v>
      </c>
      <c r="S1631">
        <f>Table1[[#This Row],[LAW]]-Table1[[#This Row],[LEW]]</f>
        <v>0.29166666666666663</v>
      </c>
    </row>
    <row r="1632" spans="1:19" x14ac:dyDescent="0.25">
      <c r="A1632" s="66">
        <v>40258</v>
      </c>
      <c r="B1632" s="51">
        <f>YEAR(Table1[[#This Row],[Date]])</f>
        <v>2010</v>
      </c>
      <c r="C1632" s="1">
        <v>2</v>
      </c>
      <c r="D1632" t="s">
        <v>63</v>
      </c>
      <c r="E1632" s="1">
        <v>4</v>
      </c>
      <c r="F1632" t="s">
        <v>29</v>
      </c>
      <c r="G1632" t="str">
        <f>VLOOKUP(Table1[[#This Row],[Winner]],Ranking!C:D,2,FALSE)</f>
        <v>B10</v>
      </c>
      <c r="H1632" s="1">
        <v>63</v>
      </c>
      <c r="I1632" s="1">
        <v>5</v>
      </c>
      <c r="J1632" t="s">
        <v>79</v>
      </c>
      <c r="K1632" t="str">
        <f>VLOOKUP(Table1[[#This Row],[Loser]],Ranking!C:D,2,FALSE)</f>
        <v>SEC</v>
      </c>
      <c r="L1632" s="1">
        <v>61</v>
      </c>
      <c r="M1632" s="1" t="s">
        <v>462</v>
      </c>
      <c r="N1632" s="1">
        <f>Table1[[#This Row],[Winning Score]]-Table1[[#This Row],[Losing Score]]</f>
        <v>2</v>
      </c>
      <c r="O1632" s="1">
        <f>Table1[[#This Row],[Losing Seed]]-Table1[[#This Row],[Winning Seed]]</f>
        <v>1</v>
      </c>
      <c r="P1632" s="1" t="str">
        <f>IF(Table1[[#This Row],[SeD]]&lt;-2,Table1[[#This Row],[Winning Seed]]&amp; " over " &amp;Table1[[#This Row],[Losing Seed]],"")</f>
        <v/>
      </c>
      <c r="Q1632">
        <f>VLOOKUP(Table1[[#This Row],[Losing Seed]],'Seed History'!$N$4:$O$19,2)</f>
        <v>1.1180555555555556</v>
      </c>
      <c r="R1632" s="1">
        <f>IF(Table1[[#This Row],[Round]]="PI",0,Table1[[#This Row],[Round]]-1)</f>
        <v>1</v>
      </c>
      <c r="S1632">
        <f>Table1[[#This Row],[LAW]]-Table1[[#This Row],[LEW]]</f>
        <v>-0.11805555555555558</v>
      </c>
    </row>
    <row r="1633" spans="1:19" x14ac:dyDescent="0.25">
      <c r="A1633" s="66">
        <v>40258</v>
      </c>
      <c r="B1633" s="51">
        <f>YEAR(Table1[[#This Row],[Date]])</f>
        <v>2010</v>
      </c>
      <c r="C1633" s="1">
        <v>2</v>
      </c>
      <c r="D1633" t="s">
        <v>38</v>
      </c>
      <c r="E1633" s="1">
        <v>1</v>
      </c>
      <c r="F1633" t="s">
        <v>86</v>
      </c>
      <c r="G1633" t="str">
        <f>VLOOKUP(Table1[[#This Row],[Winner]],Ranking!C:D,2,FALSE)</f>
        <v>ACC</v>
      </c>
      <c r="H1633" s="1">
        <v>87</v>
      </c>
      <c r="I1633" s="1">
        <v>8</v>
      </c>
      <c r="J1633" t="s">
        <v>71</v>
      </c>
      <c r="K1633" t="str">
        <f>VLOOKUP(Table1[[#This Row],[Loser]],Ranking!C:D,2,FALSE)</f>
        <v>WCC</v>
      </c>
      <c r="L1633" s="1">
        <v>65</v>
      </c>
      <c r="N1633" s="1">
        <f>Table1[[#This Row],[Winning Score]]-Table1[[#This Row],[Losing Score]]</f>
        <v>22</v>
      </c>
      <c r="O1633" s="1">
        <f>Table1[[#This Row],[Losing Seed]]-Table1[[#This Row],[Winning Seed]]</f>
        <v>7</v>
      </c>
      <c r="P1633" s="1" t="str">
        <f>IF(Table1[[#This Row],[SeD]]&lt;-2,Table1[[#This Row],[Winning Seed]]&amp; " over " &amp;Table1[[#This Row],[Losing Seed]],"")</f>
        <v/>
      </c>
      <c r="Q1633">
        <f>VLOOKUP(Table1[[#This Row],[Losing Seed]],'Seed History'!$N$4:$O$19,2)</f>
        <v>0.70833333333333337</v>
      </c>
      <c r="R1633" s="1">
        <f>IF(Table1[[#This Row],[Round]]="PI",0,Table1[[#This Row],[Round]]-1)</f>
        <v>1</v>
      </c>
      <c r="S1633">
        <f>Table1[[#This Row],[LAW]]-Table1[[#This Row],[LEW]]</f>
        <v>0.29166666666666663</v>
      </c>
    </row>
    <row r="1634" spans="1:19" x14ac:dyDescent="0.25">
      <c r="A1634" s="66">
        <v>40258</v>
      </c>
      <c r="B1634" s="51">
        <f>YEAR(Table1[[#This Row],[Date]])</f>
        <v>2010</v>
      </c>
      <c r="C1634" s="1">
        <v>2</v>
      </c>
      <c r="D1634" t="s">
        <v>439</v>
      </c>
      <c r="E1634" s="1">
        <v>5</v>
      </c>
      <c r="F1634" t="s">
        <v>271</v>
      </c>
      <c r="G1634" t="str">
        <f>VLOOKUP(Table1[[#This Row],[Winner]],Ranking!C:D,2,FALSE)</f>
        <v>B10</v>
      </c>
      <c r="H1634" s="1">
        <v>85</v>
      </c>
      <c r="I1634" s="1">
        <v>4</v>
      </c>
      <c r="J1634" t="s">
        <v>31</v>
      </c>
      <c r="K1634" t="str">
        <f>VLOOKUP(Table1[[#This Row],[Loser]],Ranking!C:D,2,FALSE)</f>
        <v>B10</v>
      </c>
      <c r="L1634" s="1">
        <v>83</v>
      </c>
      <c r="N1634" s="1">
        <f>Table1[[#This Row],[Winning Score]]-Table1[[#This Row],[Losing Score]]</f>
        <v>2</v>
      </c>
      <c r="O1634" s="1">
        <f>Table1[[#This Row],[Losing Seed]]-Table1[[#This Row],[Winning Seed]]</f>
        <v>-1</v>
      </c>
      <c r="P1634" s="1" t="str">
        <f>IF(Table1[[#This Row],[SeD]]&lt;-2,Table1[[#This Row],[Winning Seed]]&amp; " over " &amp;Table1[[#This Row],[Losing Seed]],"")</f>
        <v/>
      </c>
      <c r="Q1634">
        <f>VLOOKUP(Table1[[#This Row],[Losing Seed]],'Seed History'!$N$4:$O$19,2)</f>
        <v>1.5208333333333333</v>
      </c>
      <c r="R1634" s="1">
        <f>IF(Table1[[#This Row],[Round]]="PI",0,Table1[[#This Row],[Round]]-1)</f>
        <v>1</v>
      </c>
      <c r="S1634">
        <f>Table1[[#This Row],[LAW]]-Table1[[#This Row],[LEW]]</f>
        <v>-0.52083333333333326</v>
      </c>
    </row>
    <row r="1635" spans="1:19" x14ac:dyDescent="0.25">
      <c r="A1635" s="66">
        <v>40262</v>
      </c>
      <c r="B1635" s="51">
        <f>YEAR(Table1[[#This Row],[Date]])</f>
        <v>2010</v>
      </c>
      <c r="C1635" s="1">
        <v>3</v>
      </c>
      <c r="D1635" t="s">
        <v>38</v>
      </c>
      <c r="E1635" s="1">
        <v>5</v>
      </c>
      <c r="F1635" t="s">
        <v>33</v>
      </c>
      <c r="G1635" t="str">
        <f>VLOOKUP(Table1[[#This Row],[Winner]],Ranking!C:D,2,FALSE)</f>
        <v>BE</v>
      </c>
      <c r="H1635" s="1">
        <v>63</v>
      </c>
      <c r="I1635" s="1">
        <v>1</v>
      </c>
      <c r="J1635" t="s">
        <v>86</v>
      </c>
      <c r="K1635" t="str">
        <f>VLOOKUP(Table1[[#This Row],[Loser]],Ranking!C:D,2,FALSE)</f>
        <v>ACC</v>
      </c>
      <c r="L1635" s="1">
        <v>59</v>
      </c>
      <c r="N1635" s="1">
        <f>Table1[[#This Row],[Winning Score]]-Table1[[#This Row],[Losing Score]]</f>
        <v>4</v>
      </c>
      <c r="O1635" s="1">
        <f>Table1[[#This Row],[Losing Seed]]-Table1[[#This Row],[Winning Seed]]</f>
        <v>-4</v>
      </c>
      <c r="P1635" s="1" t="str">
        <f>IF(Table1[[#This Row],[SeD]]&lt;-2,Table1[[#This Row],[Winning Seed]]&amp; " over " &amp;Table1[[#This Row],[Losing Seed]],"")</f>
        <v>5 over 1</v>
      </c>
      <c r="Q1635">
        <f>VLOOKUP(Table1[[#This Row],[Losing Seed]],'Seed History'!$N$4:$O$19,2)</f>
        <v>3.3263888888888888</v>
      </c>
      <c r="R1635" s="1">
        <f>IF(Table1[[#This Row],[Round]]="PI",0,Table1[[#This Row],[Round]]-1)</f>
        <v>2</v>
      </c>
      <c r="S1635">
        <f>Table1[[#This Row],[LAW]]-Table1[[#This Row],[LEW]]</f>
        <v>-1.3263888888888888</v>
      </c>
    </row>
    <row r="1636" spans="1:19" x14ac:dyDescent="0.25">
      <c r="A1636" s="66">
        <v>40262</v>
      </c>
      <c r="B1636" s="51">
        <f>YEAR(Table1[[#This Row],[Date]])</f>
        <v>2010</v>
      </c>
      <c r="C1636" s="1">
        <v>3</v>
      </c>
      <c r="D1636" t="s">
        <v>49</v>
      </c>
      <c r="E1636" s="1">
        <v>1</v>
      </c>
      <c r="F1636" t="s">
        <v>26</v>
      </c>
      <c r="G1636" t="str">
        <f>VLOOKUP(Table1[[#This Row],[Winner]],Ranking!C:D,2,FALSE)</f>
        <v>SEC</v>
      </c>
      <c r="H1636" s="1">
        <v>62</v>
      </c>
      <c r="I1636" s="1">
        <v>12</v>
      </c>
      <c r="J1636" t="s">
        <v>179</v>
      </c>
      <c r="K1636" t="str">
        <f>VLOOKUP(Table1[[#This Row],[Loser]],Ranking!C:D,2,FALSE)</f>
        <v>Ivy</v>
      </c>
      <c r="L1636" s="1">
        <v>45</v>
      </c>
      <c r="N1636" s="1">
        <f>Table1[[#This Row],[Winning Score]]-Table1[[#This Row],[Losing Score]]</f>
        <v>17</v>
      </c>
      <c r="O1636" s="1">
        <f>Table1[[#This Row],[Losing Seed]]-Table1[[#This Row],[Winning Seed]]</f>
        <v>11</v>
      </c>
      <c r="P1636" s="1" t="str">
        <f>IF(Table1[[#This Row],[SeD]]&lt;-2,Table1[[#This Row],[Winning Seed]]&amp; " over " &amp;Table1[[#This Row],[Losing Seed]],"")</f>
        <v/>
      </c>
      <c r="Q1636">
        <f>VLOOKUP(Table1[[#This Row],[Losing Seed]],'Seed History'!$N$4:$O$19,2)</f>
        <v>0.52083333333333337</v>
      </c>
      <c r="R1636" s="1">
        <f>IF(Table1[[#This Row],[Round]]="PI",0,Table1[[#This Row],[Round]]-1)</f>
        <v>2</v>
      </c>
      <c r="S1636">
        <f>Table1[[#This Row],[LAW]]-Table1[[#This Row],[LEW]]</f>
        <v>1.4791666666666665</v>
      </c>
    </row>
    <row r="1637" spans="1:19" x14ac:dyDescent="0.25">
      <c r="A1637" s="66">
        <v>40262</v>
      </c>
      <c r="B1637" s="51">
        <f>YEAR(Table1[[#This Row],[Date]])</f>
        <v>2010</v>
      </c>
      <c r="C1637" s="1">
        <v>3</v>
      </c>
      <c r="D1637" t="s">
        <v>49</v>
      </c>
      <c r="E1637" s="1">
        <v>2</v>
      </c>
      <c r="F1637" t="s">
        <v>412</v>
      </c>
      <c r="G1637" t="str">
        <f>VLOOKUP(Table1[[#This Row],[Winner]],Ranking!C:D,2,FALSE)</f>
        <v>B12</v>
      </c>
      <c r="H1637" s="1">
        <v>69</v>
      </c>
      <c r="I1637" s="1">
        <v>11</v>
      </c>
      <c r="J1637" t="s">
        <v>409</v>
      </c>
      <c r="K1637" t="str">
        <f>VLOOKUP(Table1[[#This Row],[Loser]],Ranking!C:D,2,FALSE)</f>
        <v>P12</v>
      </c>
      <c r="L1637" s="1">
        <v>56</v>
      </c>
      <c r="N1637" s="1">
        <f>Table1[[#This Row],[Winning Score]]-Table1[[#This Row],[Losing Score]]</f>
        <v>13</v>
      </c>
      <c r="O1637" s="1">
        <f>Table1[[#This Row],[Losing Seed]]-Table1[[#This Row],[Winning Seed]]</f>
        <v>9</v>
      </c>
      <c r="P1637" s="1" t="str">
        <f>IF(Table1[[#This Row],[SeD]]&lt;-2,Table1[[#This Row],[Winning Seed]]&amp; " over " &amp;Table1[[#This Row],[Losing Seed]],"")</f>
        <v/>
      </c>
      <c r="Q1637">
        <f>VLOOKUP(Table1[[#This Row],[Losing Seed]],'Seed History'!$N$4:$O$19,2)</f>
        <v>0.63194444444444442</v>
      </c>
      <c r="R1637" s="1">
        <f>IF(Table1[[#This Row],[Round]]="PI",0,Table1[[#This Row],[Round]]-1)</f>
        <v>2</v>
      </c>
      <c r="S1637">
        <f>Table1[[#This Row],[LAW]]-Table1[[#This Row],[LEW]]</f>
        <v>1.3680555555555556</v>
      </c>
    </row>
    <row r="1638" spans="1:19" x14ac:dyDescent="0.25">
      <c r="A1638" s="66">
        <v>40262</v>
      </c>
      <c r="B1638" s="51">
        <f>YEAR(Table1[[#This Row],[Date]])</f>
        <v>2010</v>
      </c>
      <c r="C1638" s="1">
        <v>3</v>
      </c>
      <c r="D1638" t="s">
        <v>38</v>
      </c>
      <c r="E1638" s="1">
        <v>2</v>
      </c>
      <c r="F1638" t="s">
        <v>243</v>
      </c>
      <c r="G1638" t="str">
        <f>VLOOKUP(Table1[[#This Row],[Winner]],Ranking!C:D,2,FALSE)</f>
        <v>B12</v>
      </c>
      <c r="H1638" s="1">
        <v>101</v>
      </c>
      <c r="I1638" s="1">
        <v>6</v>
      </c>
      <c r="J1638" t="s">
        <v>44</v>
      </c>
      <c r="K1638" t="str">
        <f>VLOOKUP(Table1[[#This Row],[Loser]],Ranking!C:D,2,FALSE)</f>
        <v>BE</v>
      </c>
      <c r="L1638" s="1">
        <v>96</v>
      </c>
      <c r="M1638" s="1" t="s">
        <v>463</v>
      </c>
      <c r="N1638" s="1">
        <f>Table1[[#This Row],[Winning Score]]-Table1[[#This Row],[Losing Score]]</f>
        <v>5</v>
      </c>
      <c r="O1638" s="1">
        <f>Table1[[#This Row],[Losing Seed]]-Table1[[#This Row],[Winning Seed]]</f>
        <v>4</v>
      </c>
      <c r="P1638" s="1" t="str">
        <f>IF(Table1[[#This Row],[SeD]]&lt;-2,Table1[[#This Row],[Winning Seed]]&amp; " over " &amp;Table1[[#This Row],[Losing Seed]],"")</f>
        <v/>
      </c>
      <c r="Q1638">
        <f>VLOOKUP(Table1[[#This Row],[Losing Seed]],'Seed History'!$N$4:$O$19,2)</f>
        <v>1.0625</v>
      </c>
      <c r="R1638" s="1">
        <f>IF(Table1[[#This Row],[Round]]="PI",0,Table1[[#This Row],[Round]]-1)</f>
        <v>2</v>
      </c>
      <c r="S1638">
        <f>Table1[[#This Row],[LAW]]-Table1[[#This Row],[LEW]]</f>
        <v>0.9375</v>
      </c>
    </row>
    <row r="1639" spans="1:19" x14ac:dyDescent="0.25">
      <c r="A1639" s="66">
        <v>40263</v>
      </c>
      <c r="B1639" s="51">
        <f>YEAR(Table1[[#This Row],[Date]])</f>
        <v>2010</v>
      </c>
      <c r="C1639" s="1">
        <v>3</v>
      </c>
      <c r="D1639" t="s">
        <v>439</v>
      </c>
      <c r="E1639" s="1">
        <v>6</v>
      </c>
      <c r="F1639" t="s">
        <v>374</v>
      </c>
      <c r="G1639" t="str">
        <f>VLOOKUP(Table1[[#This Row],[Winner]],Ranking!C:D,2,FALSE)</f>
        <v>SEC</v>
      </c>
      <c r="H1639" s="1">
        <v>76</v>
      </c>
      <c r="I1639" s="1">
        <v>2</v>
      </c>
      <c r="J1639" t="s">
        <v>315</v>
      </c>
      <c r="K1639" t="str">
        <f>VLOOKUP(Table1[[#This Row],[Loser]],Ranking!C:D,2,FALSE)</f>
        <v>B10</v>
      </c>
      <c r="L1639" s="1">
        <v>73</v>
      </c>
      <c r="N1639" s="1">
        <f>Table1[[#This Row],[Winning Score]]-Table1[[#This Row],[Losing Score]]</f>
        <v>3</v>
      </c>
      <c r="O1639" s="1">
        <f>Table1[[#This Row],[Losing Seed]]-Table1[[#This Row],[Winning Seed]]</f>
        <v>-4</v>
      </c>
      <c r="P1639" s="1" t="str">
        <f>IF(Table1[[#This Row],[SeD]]&lt;-2,Table1[[#This Row],[Winning Seed]]&amp; " over " &amp;Table1[[#This Row],[Losing Seed]],"")</f>
        <v>6 over 2</v>
      </c>
      <c r="Q1639">
        <f>VLOOKUP(Table1[[#This Row],[Losing Seed]],'Seed History'!$N$4:$O$19,2)</f>
        <v>2.3472222222222223</v>
      </c>
      <c r="R1639" s="1">
        <f>IF(Table1[[#This Row],[Round]]="PI",0,Table1[[#This Row],[Round]]-1)</f>
        <v>2</v>
      </c>
      <c r="S1639">
        <f>Table1[[#This Row],[LAW]]-Table1[[#This Row],[LEW]]</f>
        <v>-0.34722222222222232</v>
      </c>
    </row>
    <row r="1640" spans="1:19" x14ac:dyDescent="0.25">
      <c r="A1640" s="66">
        <v>40263</v>
      </c>
      <c r="B1640" s="51">
        <f>YEAR(Table1[[#This Row],[Date]])</f>
        <v>2010</v>
      </c>
      <c r="C1640" s="1">
        <v>3</v>
      </c>
      <c r="D1640" t="s">
        <v>439</v>
      </c>
      <c r="E1640" s="1">
        <v>5</v>
      </c>
      <c r="F1640" t="s">
        <v>271</v>
      </c>
      <c r="G1640" t="str">
        <f>VLOOKUP(Table1[[#This Row],[Winner]],Ranking!C:D,2,FALSE)</f>
        <v>B10</v>
      </c>
      <c r="H1640" s="1">
        <v>59</v>
      </c>
      <c r="I1640" s="1">
        <v>9</v>
      </c>
      <c r="J1640" t="s">
        <v>310</v>
      </c>
      <c r="K1640" t="str">
        <f>VLOOKUP(Table1[[#This Row],[Loser]],Ranking!C:D,2,FALSE)</f>
        <v>MVC</v>
      </c>
      <c r="L1640" s="1">
        <v>52</v>
      </c>
      <c r="N1640" s="1">
        <f>Table1[[#This Row],[Winning Score]]-Table1[[#This Row],[Losing Score]]</f>
        <v>7</v>
      </c>
      <c r="O1640" s="1">
        <f>Table1[[#This Row],[Losing Seed]]-Table1[[#This Row],[Winning Seed]]</f>
        <v>4</v>
      </c>
      <c r="P1640" s="1" t="str">
        <f>IF(Table1[[#This Row],[SeD]]&lt;-2,Table1[[#This Row],[Winning Seed]]&amp; " over " &amp;Table1[[#This Row],[Losing Seed]],"")</f>
        <v/>
      </c>
      <c r="Q1640">
        <f>VLOOKUP(Table1[[#This Row],[Losing Seed]],'Seed History'!$N$4:$O$19,2)</f>
        <v>0.59027777777777779</v>
      </c>
      <c r="R1640" s="1">
        <f>IF(Table1[[#This Row],[Round]]="PI",0,Table1[[#This Row],[Round]]-1)</f>
        <v>2</v>
      </c>
      <c r="S1640">
        <f>Table1[[#This Row],[LAW]]-Table1[[#This Row],[LEW]]</f>
        <v>1.4097222222222223</v>
      </c>
    </row>
    <row r="1641" spans="1:19" x14ac:dyDescent="0.25">
      <c r="A1641" s="66">
        <v>40263</v>
      </c>
      <c r="B1641" s="51">
        <f>YEAR(Table1[[#This Row],[Date]])</f>
        <v>2010</v>
      </c>
      <c r="C1641" s="1">
        <v>3</v>
      </c>
      <c r="D1641" t="s">
        <v>63</v>
      </c>
      <c r="E1641" s="1">
        <v>1</v>
      </c>
      <c r="F1641" t="s">
        <v>64</v>
      </c>
      <c r="G1641" t="str">
        <f>VLOOKUP(Table1[[#This Row],[Winner]],Ranking!C:D,2,FALSE)</f>
        <v>ACC</v>
      </c>
      <c r="H1641" s="1">
        <v>70</v>
      </c>
      <c r="I1641" s="1">
        <v>4</v>
      </c>
      <c r="J1641" t="s">
        <v>29</v>
      </c>
      <c r="K1641" t="str">
        <f>VLOOKUP(Table1[[#This Row],[Loser]],Ranking!C:D,2,FALSE)</f>
        <v>B10</v>
      </c>
      <c r="L1641" s="1">
        <v>57</v>
      </c>
      <c r="N1641" s="1">
        <f>Table1[[#This Row],[Winning Score]]-Table1[[#This Row],[Losing Score]]</f>
        <v>13</v>
      </c>
      <c r="O1641" s="1">
        <f>Table1[[#This Row],[Losing Seed]]-Table1[[#This Row],[Winning Seed]]</f>
        <v>3</v>
      </c>
      <c r="P1641" s="1" t="str">
        <f>IF(Table1[[#This Row],[SeD]]&lt;-2,Table1[[#This Row],[Winning Seed]]&amp; " over " &amp;Table1[[#This Row],[Losing Seed]],"")</f>
        <v/>
      </c>
      <c r="Q1641">
        <f>VLOOKUP(Table1[[#This Row],[Losing Seed]],'Seed History'!$N$4:$O$19,2)</f>
        <v>1.5208333333333333</v>
      </c>
      <c r="R1641" s="1">
        <f>IF(Table1[[#This Row],[Round]]="PI",0,Table1[[#This Row],[Round]]-1)</f>
        <v>2</v>
      </c>
      <c r="S1641">
        <f>Table1[[#This Row],[LAW]]-Table1[[#This Row],[LEW]]</f>
        <v>0.47916666666666674</v>
      </c>
    </row>
    <row r="1642" spans="1:19" x14ac:dyDescent="0.25">
      <c r="A1642" s="66">
        <v>40263</v>
      </c>
      <c r="B1642" s="51">
        <f>YEAR(Table1[[#This Row],[Date]])</f>
        <v>2010</v>
      </c>
      <c r="C1642" s="1">
        <v>3</v>
      </c>
      <c r="D1642" t="s">
        <v>63</v>
      </c>
      <c r="E1642" s="1">
        <v>3</v>
      </c>
      <c r="F1642" t="s">
        <v>46</v>
      </c>
      <c r="G1642" t="str">
        <f>VLOOKUP(Table1[[#This Row],[Winner]],Ranking!C:D,2,FALSE)</f>
        <v>B12</v>
      </c>
      <c r="H1642" s="1">
        <v>72</v>
      </c>
      <c r="I1642" s="1">
        <v>10</v>
      </c>
      <c r="J1642" t="s">
        <v>339</v>
      </c>
      <c r="K1642" t="str">
        <f>VLOOKUP(Table1[[#This Row],[Loser]],Ranking!C:D,2,FALSE)</f>
        <v>WCC</v>
      </c>
      <c r="L1642" s="1">
        <v>49</v>
      </c>
      <c r="N1642" s="1">
        <f>Table1[[#This Row],[Winning Score]]-Table1[[#This Row],[Losing Score]]</f>
        <v>23</v>
      </c>
      <c r="O1642" s="1">
        <f>Table1[[#This Row],[Losing Seed]]-Table1[[#This Row],[Winning Seed]]</f>
        <v>7</v>
      </c>
      <c r="P1642" s="1" t="str">
        <f>IF(Table1[[#This Row],[SeD]]&lt;-2,Table1[[#This Row],[Winning Seed]]&amp; " over " &amp;Table1[[#This Row],[Losing Seed]],"")</f>
        <v/>
      </c>
      <c r="Q1642">
        <f>VLOOKUP(Table1[[#This Row],[Losing Seed]],'Seed History'!$N$4:$O$19,2)</f>
        <v>0.61805555555555558</v>
      </c>
      <c r="R1642" s="1">
        <f>IF(Table1[[#This Row],[Round]]="PI",0,Table1[[#This Row],[Round]]-1)</f>
        <v>2</v>
      </c>
      <c r="S1642">
        <f>Table1[[#This Row],[LAW]]-Table1[[#This Row],[LEW]]</f>
        <v>1.3819444444444444</v>
      </c>
    </row>
    <row r="1643" spans="1:19" x14ac:dyDescent="0.25">
      <c r="A1643" s="66">
        <v>40264</v>
      </c>
      <c r="B1643" s="51">
        <f>YEAR(Table1[[#This Row],[Date]])</f>
        <v>2010</v>
      </c>
      <c r="C1643" s="1">
        <v>4</v>
      </c>
      <c r="D1643" t="s">
        <v>38</v>
      </c>
      <c r="E1643" s="1">
        <v>5</v>
      </c>
      <c r="F1643" t="s">
        <v>33</v>
      </c>
      <c r="G1643" t="str">
        <f>VLOOKUP(Table1[[#This Row],[Winner]],Ranking!C:D,2,FALSE)</f>
        <v>BE</v>
      </c>
      <c r="H1643" s="1">
        <v>63</v>
      </c>
      <c r="I1643" s="1">
        <v>2</v>
      </c>
      <c r="J1643" t="s">
        <v>243</v>
      </c>
      <c r="K1643" t="str">
        <f>VLOOKUP(Table1[[#This Row],[Loser]],Ranking!C:D,2,FALSE)</f>
        <v>B12</v>
      </c>
      <c r="L1643" s="1">
        <v>56</v>
      </c>
      <c r="N1643" s="1">
        <f>Table1[[#This Row],[Winning Score]]-Table1[[#This Row],[Losing Score]]</f>
        <v>7</v>
      </c>
      <c r="O1643" s="1">
        <f>Table1[[#This Row],[Losing Seed]]-Table1[[#This Row],[Winning Seed]]</f>
        <v>-3</v>
      </c>
      <c r="P1643" s="1" t="str">
        <f>IF(Table1[[#This Row],[SeD]]&lt;-2,Table1[[#This Row],[Winning Seed]]&amp; " over " &amp;Table1[[#This Row],[Losing Seed]],"")</f>
        <v>5 over 2</v>
      </c>
      <c r="Q1643">
        <f>VLOOKUP(Table1[[#This Row],[Losing Seed]],'Seed History'!$N$4:$O$19,2)</f>
        <v>2.3472222222222223</v>
      </c>
      <c r="R1643" s="1">
        <f>IF(Table1[[#This Row],[Round]]="PI",0,Table1[[#This Row],[Round]]-1)</f>
        <v>3</v>
      </c>
      <c r="S1643">
        <f>Table1[[#This Row],[LAW]]-Table1[[#This Row],[LEW]]</f>
        <v>0.65277777777777768</v>
      </c>
    </row>
    <row r="1644" spans="1:19" x14ac:dyDescent="0.25">
      <c r="A1644" s="66">
        <v>40264</v>
      </c>
      <c r="B1644" s="51">
        <f>YEAR(Table1[[#This Row],[Date]])</f>
        <v>2010</v>
      </c>
      <c r="C1644" s="1">
        <v>4</v>
      </c>
      <c r="D1644" t="s">
        <v>49</v>
      </c>
      <c r="E1644" s="1">
        <v>2</v>
      </c>
      <c r="F1644" t="s">
        <v>412</v>
      </c>
      <c r="G1644" t="str">
        <f>VLOOKUP(Table1[[#This Row],[Winner]],Ranking!C:D,2,FALSE)</f>
        <v>B12</v>
      </c>
      <c r="H1644" s="1">
        <v>73</v>
      </c>
      <c r="I1644" s="1">
        <v>1</v>
      </c>
      <c r="J1644" t="s">
        <v>26</v>
      </c>
      <c r="K1644" t="str">
        <f>VLOOKUP(Table1[[#This Row],[Loser]],Ranking!C:D,2,FALSE)</f>
        <v>SEC</v>
      </c>
      <c r="L1644" s="1">
        <v>66</v>
      </c>
      <c r="N1644" s="1">
        <f>Table1[[#This Row],[Winning Score]]-Table1[[#This Row],[Losing Score]]</f>
        <v>7</v>
      </c>
      <c r="O1644" s="1">
        <f>Table1[[#This Row],[Losing Seed]]-Table1[[#This Row],[Winning Seed]]</f>
        <v>-1</v>
      </c>
      <c r="P1644" s="1" t="str">
        <f>IF(Table1[[#This Row],[SeD]]&lt;-2,Table1[[#This Row],[Winning Seed]]&amp; " over " &amp;Table1[[#This Row],[Losing Seed]],"")</f>
        <v/>
      </c>
      <c r="Q1644">
        <f>VLOOKUP(Table1[[#This Row],[Losing Seed]],'Seed History'!$N$4:$O$19,2)</f>
        <v>3.3263888888888888</v>
      </c>
      <c r="R1644" s="1">
        <f>IF(Table1[[#This Row],[Round]]="PI",0,Table1[[#This Row],[Round]]-1)</f>
        <v>3</v>
      </c>
      <c r="S1644">
        <f>Table1[[#This Row],[LAW]]-Table1[[#This Row],[LEW]]</f>
        <v>-0.32638888888888884</v>
      </c>
    </row>
    <row r="1645" spans="1:19" x14ac:dyDescent="0.25">
      <c r="A1645" s="66">
        <v>40265</v>
      </c>
      <c r="B1645" s="51">
        <f>YEAR(Table1[[#This Row],[Date]])</f>
        <v>2010</v>
      </c>
      <c r="C1645" s="1">
        <v>4</v>
      </c>
      <c r="D1645" t="s">
        <v>439</v>
      </c>
      <c r="E1645" s="1">
        <v>5</v>
      </c>
      <c r="F1645" t="s">
        <v>271</v>
      </c>
      <c r="G1645" t="str">
        <f>VLOOKUP(Table1[[#This Row],[Winner]],Ranking!C:D,2,FALSE)</f>
        <v>B10</v>
      </c>
      <c r="H1645" s="1">
        <v>70</v>
      </c>
      <c r="I1645" s="1">
        <v>6</v>
      </c>
      <c r="J1645" t="s">
        <v>374</v>
      </c>
      <c r="K1645" t="str">
        <f>VLOOKUP(Table1[[#This Row],[Loser]],Ranking!C:D,2,FALSE)</f>
        <v>SEC</v>
      </c>
      <c r="L1645" s="1">
        <v>69</v>
      </c>
      <c r="N1645" s="1">
        <f>Table1[[#This Row],[Winning Score]]-Table1[[#This Row],[Losing Score]]</f>
        <v>1</v>
      </c>
      <c r="O1645" s="1">
        <f>Table1[[#This Row],[Losing Seed]]-Table1[[#This Row],[Winning Seed]]</f>
        <v>1</v>
      </c>
      <c r="P1645" s="1" t="str">
        <f>IF(Table1[[#This Row],[SeD]]&lt;-2,Table1[[#This Row],[Winning Seed]]&amp; " over " &amp;Table1[[#This Row],[Losing Seed]],"")</f>
        <v/>
      </c>
      <c r="Q1645">
        <f>VLOOKUP(Table1[[#This Row],[Losing Seed]],'Seed History'!$N$4:$O$19,2)</f>
        <v>1.0625</v>
      </c>
      <c r="R1645" s="1">
        <f>IF(Table1[[#This Row],[Round]]="PI",0,Table1[[#This Row],[Round]]-1)</f>
        <v>3</v>
      </c>
      <c r="S1645">
        <f>Table1[[#This Row],[LAW]]-Table1[[#This Row],[LEW]]</f>
        <v>1.9375</v>
      </c>
    </row>
    <row r="1646" spans="1:19" x14ac:dyDescent="0.25">
      <c r="A1646" s="66">
        <v>40265</v>
      </c>
      <c r="B1646" s="51">
        <f>YEAR(Table1[[#This Row],[Date]])</f>
        <v>2010</v>
      </c>
      <c r="C1646" s="1">
        <v>4</v>
      </c>
      <c r="D1646" t="s">
        <v>63</v>
      </c>
      <c r="E1646" s="1">
        <v>1</v>
      </c>
      <c r="F1646" t="s">
        <v>64</v>
      </c>
      <c r="G1646" t="str">
        <f>VLOOKUP(Table1[[#This Row],[Winner]],Ranking!C:D,2,FALSE)</f>
        <v>ACC</v>
      </c>
      <c r="H1646" s="1">
        <v>78</v>
      </c>
      <c r="I1646" s="1">
        <v>3</v>
      </c>
      <c r="J1646" t="s">
        <v>46</v>
      </c>
      <c r="K1646" t="str">
        <f>VLOOKUP(Table1[[#This Row],[Loser]],Ranking!C:D,2,FALSE)</f>
        <v>B12</v>
      </c>
      <c r="L1646" s="1">
        <v>71</v>
      </c>
      <c r="N1646" s="1">
        <f>Table1[[#This Row],[Winning Score]]-Table1[[#This Row],[Losing Score]]</f>
        <v>7</v>
      </c>
      <c r="O1646" s="1">
        <f>Table1[[#This Row],[Losing Seed]]-Table1[[#This Row],[Winning Seed]]</f>
        <v>2</v>
      </c>
      <c r="P1646" s="1" t="str">
        <f>IF(Table1[[#This Row],[SeD]]&lt;-2,Table1[[#This Row],[Winning Seed]]&amp; " over " &amp;Table1[[#This Row],[Losing Seed]],"")</f>
        <v/>
      </c>
      <c r="Q1646">
        <f>VLOOKUP(Table1[[#This Row],[Losing Seed]],'Seed History'!$N$4:$O$19,2)</f>
        <v>1.8472222222222223</v>
      </c>
      <c r="R1646" s="1">
        <f>IF(Table1[[#This Row],[Round]]="PI",0,Table1[[#This Row],[Round]]-1)</f>
        <v>3</v>
      </c>
      <c r="S1646">
        <f>Table1[[#This Row],[LAW]]-Table1[[#This Row],[LEW]]</f>
        <v>1.1527777777777777</v>
      </c>
    </row>
    <row r="1647" spans="1:19" x14ac:dyDescent="0.25">
      <c r="A1647" s="66">
        <v>40271</v>
      </c>
      <c r="B1647" s="51">
        <f>YEAR(Table1[[#This Row],[Date]])</f>
        <v>2010</v>
      </c>
      <c r="C1647" s="1">
        <v>5</v>
      </c>
      <c r="D1647" t="s">
        <v>467</v>
      </c>
      <c r="E1647" s="1">
        <v>1</v>
      </c>
      <c r="F1647" t="s">
        <v>64</v>
      </c>
      <c r="G1647" t="str">
        <f>VLOOKUP(Table1[[#This Row],[Winner]],Ranking!C:D,2,FALSE)</f>
        <v>ACC</v>
      </c>
      <c r="H1647" s="1">
        <v>78</v>
      </c>
      <c r="I1647" s="1">
        <v>2</v>
      </c>
      <c r="J1647" t="s">
        <v>412</v>
      </c>
      <c r="K1647" t="str">
        <f>VLOOKUP(Table1[[#This Row],[Loser]],Ranking!C:D,2,FALSE)</f>
        <v>B12</v>
      </c>
      <c r="L1647" s="1">
        <v>57</v>
      </c>
      <c r="N1647" s="1">
        <f>Table1[[#This Row],[Winning Score]]-Table1[[#This Row],[Losing Score]]</f>
        <v>21</v>
      </c>
      <c r="O1647" s="1">
        <f>Table1[[#This Row],[Losing Seed]]-Table1[[#This Row],[Winning Seed]]</f>
        <v>1</v>
      </c>
      <c r="P1647" s="1" t="str">
        <f>IF(Table1[[#This Row],[SeD]]&lt;-2,Table1[[#This Row],[Winning Seed]]&amp; " over " &amp;Table1[[#This Row],[Losing Seed]],"")</f>
        <v/>
      </c>
      <c r="Q1647">
        <f>VLOOKUP(Table1[[#This Row],[Losing Seed]],'Seed History'!$N$4:$O$19,2)</f>
        <v>2.3472222222222223</v>
      </c>
      <c r="R1647" s="1">
        <f>IF(Table1[[#This Row],[Round]]="PI",0,Table1[[#This Row],[Round]]-1)</f>
        <v>4</v>
      </c>
      <c r="S1647">
        <f>Table1[[#This Row],[LAW]]-Table1[[#This Row],[LEW]]</f>
        <v>1.6527777777777777</v>
      </c>
    </row>
    <row r="1648" spans="1:19" x14ac:dyDescent="0.25">
      <c r="A1648" s="66">
        <v>40271</v>
      </c>
      <c r="B1648" s="51">
        <f>YEAR(Table1[[#This Row],[Date]])</f>
        <v>2010</v>
      </c>
      <c r="C1648" s="1">
        <v>5</v>
      </c>
      <c r="D1648" t="s">
        <v>467</v>
      </c>
      <c r="E1648" s="1">
        <v>5</v>
      </c>
      <c r="F1648" t="s">
        <v>33</v>
      </c>
      <c r="G1648" t="str">
        <f>VLOOKUP(Table1[[#This Row],[Winner]],Ranking!C:D,2,FALSE)</f>
        <v>BE</v>
      </c>
      <c r="H1648" s="1">
        <v>52</v>
      </c>
      <c r="I1648" s="1">
        <v>5</v>
      </c>
      <c r="J1648" t="s">
        <v>271</v>
      </c>
      <c r="K1648" t="str">
        <f>VLOOKUP(Table1[[#This Row],[Loser]],Ranking!C:D,2,FALSE)</f>
        <v>B10</v>
      </c>
      <c r="L1648" s="1">
        <v>50</v>
      </c>
      <c r="N1648" s="1">
        <f>Table1[[#This Row],[Winning Score]]-Table1[[#This Row],[Losing Score]]</f>
        <v>2</v>
      </c>
      <c r="O1648" s="1">
        <f>Table1[[#This Row],[Losing Seed]]-Table1[[#This Row],[Winning Seed]]</f>
        <v>0</v>
      </c>
      <c r="P1648" s="1" t="str">
        <f>IF(Table1[[#This Row],[SeD]]&lt;-2,Table1[[#This Row],[Winning Seed]]&amp; " over " &amp;Table1[[#This Row],[Losing Seed]],"")</f>
        <v/>
      </c>
      <c r="Q1648">
        <f>VLOOKUP(Table1[[#This Row],[Losing Seed]],'Seed History'!$N$4:$O$19,2)</f>
        <v>1.1180555555555556</v>
      </c>
      <c r="R1648" s="1">
        <f>IF(Table1[[#This Row],[Round]]="PI",0,Table1[[#This Row],[Round]]-1)</f>
        <v>4</v>
      </c>
      <c r="S1648">
        <f>Table1[[#This Row],[LAW]]-Table1[[#This Row],[LEW]]</f>
        <v>2.8819444444444446</v>
      </c>
    </row>
    <row r="1649" spans="1:19" x14ac:dyDescent="0.25">
      <c r="A1649" s="66">
        <v>40273</v>
      </c>
      <c r="B1649" s="51">
        <f>YEAR(Table1[[#This Row],[Date]])</f>
        <v>2010</v>
      </c>
      <c r="C1649" s="1">
        <v>6</v>
      </c>
      <c r="D1649" t="s">
        <v>468</v>
      </c>
      <c r="E1649" s="1">
        <v>1</v>
      </c>
      <c r="F1649" t="s">
        <v>64</v>
      </c>
      <c r="G1649" t="str">
        <f>VLOOKUP(Table1[[#This Row],[Winner]],Ranking!C:D,2,FALSE)</f>
        <v>ACC</v>
      </c>
      <c r="H1649" s="1">
        <v>61</v>
      </c>
      <c r="I1649" s="1">
        <v>5</v>
      </c>
      <c r="J1649" t="s">
        <v>33</v>
      </c>
      <c r="K1649" t="str">
        <f>VLOOKUP(Table1[[#This Row],[Loser]],Ranking!C:D,2,FALSE)</f>
        <v>BE</v>
      </c>
      <c r="L1649" s="1">
        <v>59</v>
      </c>
      <c r="N1649" s="1">
        <f>Table1[[#This Row],[Winning Score]]-Table1[[#This Row],[Losing Score]]</f>
        <v>2</v>
      </c>
      <c r="O1649" s="1">
        <f>Table1[[#This Row],[Losing Seed]]-Table1[[#This Row],[Winning Seed]]</f>
        <v>4</v>
      </c>
      <c r="P1649" s="1" t="str">
        <f>IF(Table1[[#This Row],[SeD]]&lt;-2,Table1[[#This Row],[Winning Seed]]&amp; " over " &amp;Table1[[#This Row],[Losing Seed]],"")</f>
        <v/>
      </c>
      <c r="Q1649">
        <f>VLOOKUP(Table1[[#This Row],[Losing Seed]],'Seed History'!$N$4:$O$19,2)</f>
        <v>1.1180555555555556</v>
      </c>
      <c r="R1649" s="1">
        <f>IF(Table1[[#This Row],[Round]]="PI",0,Table1[[#This Row],[Round]]-1)</f>
        <v>5</v>
      </c>
      <c r="S1649">
        <f>Table1[[#This Row],[LAW]]-Table1[[#This Row],[LEW]]</f>
        <v>3.8819444444444446</v>
      </c>
    </row>
    <row r="1650" spans="1:19" x14ac:dyDescent="0.25">
      <c r="A1650" s="66">
        <v>40617</v>
      </c>
      <c r="B1650" s="51">
        <f>YEAR(Table1[[#This Row],[Date]])</f>
        <v>2011</v>
      </c>
      <c r="C1650" s="1" t="s">
        <v>476</v>
      </c>
      <c r="D1650" t="s">
        <v>49</v>
      </c>
      <c r="E1650" s="1">
        <v>12</v>
      </c>
      <c r="F1650" t="s">
        <v>89</v>
      </c>
      <c r="G1650" t="str">
        <f>VLOOKUP(Table1[[#This Row],[Winner]],Ranking!C:D,2,FALSE)</f>
        <v>ACC</v>
      </c>
      <c r="H1650" s="1">
        <v>70</v>
      </c>
      <c r="I1650" s="1">
        <v>12</v>
      </c>
      <c r="J1650" t="s">
        <v>68</v>
      </c>
      <c r="K1650" t="str">
        <f>VLOOKUP(Table1[[#This Row],[Loser]],Ranking!C:D,2,FALSE)</f>
        <v>CUSA</v>
      </c>
      <c r="L1650" s="1">
        <v>52</v>
      </c>
      <c r="N1650" s="1">
        <f>Table1[[#This Row],[Winning Score]]-Table1[[#This Row],[Losing Score]]</f>
        <v>18</v>
      </c>
      <c r="O1650" s="1">
        <f>Table1[[#This Row],[Losing Seed]]-Table1[[#This Row],[Winning Seed]]</f>
        <v>0</v>
      </c>
      <c r="P1650" s="1" t="str">
        <f>IF(Table1[[#This Row],[SeD]]&lt;-2,Table1[[#This Row],[Winning Seed]]&amp; " over " &amp;Table1[[#This Row],[Losing Seed]],"")</f>
        <v/>
      </c>
      <c r="Q1650">
        <f>VLOOKUP(Table1[[#This Row],[Losing Seed]],'Seed History'!$N$4:$O$19,2)</f>
        <v>0.52083333333333337</v>
      </c>
      <c r="R1650" s="1">
        <f>IF(Table1[[#This Row],[Round]]="PI",0,Table1[[#This Row],[Round]]-1)</f>
        <v>0</v>
      </c>
      <c r="S1650">
        <f>Table1[[#This Row],[LAW]]-Table1[[#This Row],[LEW]]</f>
        <v>-0.52083333333333337</v>
      </c>
    </row>
    <row r="1651" spans="1:19" x14ac:dyDescent="0.25">
      <c r="A1651" s="66">
        <v>40617</v>
      </c>
      <c r="B1651" s="51">
        <f>YEAR(Table1[[#This Row],[Date]])</f>
        <v>2011</v>
      </c>
      <c r="C1651" s="1" t="s">
        <v>476</v>
      </c>
      <c r="D1651" t="s">
        <v>461</v>
      </c>
      <c r="E1651" s="1">
        <v>16</v>
      </c>
      <c r="F1651" t="s">
        <v>393</v>
      </c>
      <c r="G1651" t="str">
        <f>VLOOKUP(Table1[[#This Row],[Winner]],Ranking!C:D,2,FALSE)</f>
        <v>BSth</v>
      </c>
      <c r="H1651" s="1">
        <v>81</v>
      </c>
      <c r="I1651" s="1">
        <v>16</v>
      </c>
      <c r="J1651" t="s">
        <v>472</v>
      </c>
      <c r="K1651" t="str">
        <f>VLOOKUP(Table1[[#This Row],[Loser]],Ranking!C:D,2,FALSE)</f>
        <v>SB</v>
      </c>
      <c r="L1651" s="1">
        <v>77</v>
      </c>
      <c r="M1651" s="1" t="s">
        <v>462</v>
      </c>
      <c r="N1651" s="1">
        <f>Table1[[#This Row],[Winning Score]]-Table1[[#This Row],[Losing Score]]</f>
        <v>4</v>
      </c>
      <c r="O1651" s="1">
        <f>Table1[[#This Row],[Losing Seed]]-Table1[[#This Row],[Winning Seed]]</f>
        <v>0</v>
      </c>
      <c r="P1651" s="1" t="str">
        <f>IF(Table1[[#This Row],[SeD]]&lt;-2,Table1[[#This Row],[Winning Seed]]&amp; " over " &amp;Table1[[#This Row],[Losing Seed]],"")</f>
        <v/>
      </c>
      <c r="Q1651">
        <f>VLOOKUP(Table1[[#This Row],[Losing Seed]],'Seed History'!$N$4:$O$19,2)</f>
        <v>6.9444444444444441E-3</v>
      </c>
      <c r="R1651" s="1">
        <f>IF(Table1[[#This Row],[Round]]="PI",0,Table1[[#This Row],[Round]]-1)</f>
        <v>0</v>
      </c>
      <c r="S1651">
        <f>Table1[[#This Row],[LAW]]-Table1[[#This Row],[LEW]]</f>
        <v>-6.9444444444444441E-3</v>
      </c>
    </row>
    <row r="1652" spans="1:19" x14ac:dyDescent="0.25">
      <c r="A1652" s="66">
        <v>40618</v>
      </c>
      <c r="B1652" s="51">
        <f>YEAR(Table1[[#This Row],[Date]])</f>
        <v>2011</v>
      </c>
      <c r="C1652" s="1" t="s">
        <v>476</v>
      </c>
      <c r="D1652" t="s">
        <v>49</v>
      </c>
      <c r="E1652" s="1">
        <v>16</v>
      </c>
      <c r="F1652" t="s">
        <v>403</v>
      </c>
      <c r="G1652" t="str">
        <f>VLOOKUP(Table1[[#This Row],[Winner]],Ranking!C:D,2,FALSE)</f>
        <v>CUSA</v>
      </c>
      <c r="H1652" s="1">
        <v>70</v>
      </c>
      <c r="I1652" s="1">
        <v>16</v>
      </c>
      <c r="J1652" t="s">
        <v>117</v>
      </c>
      <c r="K1652" t="str">
        <f>VLOOKUP(Table1[[#This Row],[Loser]],Ranking!C:D,2,FALSE)</f>
        <v>SWAC</v>
      </c>
      <c r="L1652" s="1">
        <v>61</v>
      </c>
      <c r="N1652" s="1">
        <f>Table1[[#This Row],[Winning Score]]-Table1[[#This Row],[Losing Score]]</f>
        <v>9</v>
      </c>
      <c r="O1652" s="1">
        <f>Table1[[#This Row],[Losing Seed]]-Table1[[#This Row],[Winning Seed]]</f>
        <v>0</v>
      </c>
      <c r="P1652" s="1" t="str">
        <f>IF(Table1[[#This Row],[SeD]]&lt;-2,Table1[[#This Row],[Winning Seed]]&amp; " over " &amp;Table1[[#This Row],[Losing Seed]],"")</f>
        <v/>
      </c>
      <c r="Q1652">
        <f>VLOOKUP(Table1[[#This Row],[Losing Seed]],'Seed History'!$N$4:$O$19,2)</f>
        <v>6.9444444444444441E-3</v>
      </c>
      <c r="R1652" s="1">
        <f>IF(Table1[[#This Row],[Round]]="PI",0,Table1[[#This Row],[Round]]-1)</f>
        <v>0</v>
      </c>
      <c r="S1652">
        <f>Table1[[#This Row],[LAW]]-Table1[[#This Row],[LEW]]</f>
        <v>-6.9444444444444441E-3</v>
      </c>
    </row>
    <row r="1653" spans="1:19" x14ac:dyDescent="0.25">
      <c r="A1653" s="66">
        <v>40618</v>
      </c>
      <c r="B1653" s="51">
        <f>YEAR(Table1[[#This Row],[Date]])</f>
        <v>2011</v>
      </c>
      <c r="C1653" s="1" t="s">
        <v>476</v>
      </c>
      <c r="D1653" t="s">
        <v>465</v>
      </c>
      <c r="E1653" s="1">
        <v>11</v>
      </c>
      <c r="F1653" t="s">
        <v>47</v>
      </c>
      <c r="G1653" t="str">
        <f>VLOOKUP(Table1[[#This Row],[Winner]],Ranking!C:D,2,FALSE)</f>
        <v>A10</v>
      </c>
      <c r="H1653" s="1">
        <v>59</v>
      </c>
      <c r="I1653" s="1">
        <v>11</v>
      </c>
      <c r="J1653" t="s">
        <v>85</v>
      </c>
      <c r="K1653" t="str">
        <f>VLOOKUP(Table1[[#This Row],[Loser]],Ranking!C:D,2,FALSE)</f>
        <v>P12</v>
      </c>
      <c r="L1653" s="1">
        <v>46</v>
      </c>
      <c r="N1653" s="1">
        <f>Table1[[#This Row],[Winning Score]]-Table1[[#This Row],[Losing Score]]</f>
        <v>13</v>
      </c>
      <c r="O1653" s="1">
        <f>Table1[[#This Row],[Losing Seed]]-Table1[[#This Row],[Winning Seed]]</f>
        <v>0</v>
      </c>
      <c r="P1653" s="1" t="str">
        <f>IF(Table1[[#This Row],[SeD]]&lt;-2,Table1[[#This Row],[Winning Seed]]&amp; " over " &amp;Table1[[#This Row],[Losing Seed]],"")</f>
        <v/>
      </c>
      <c r="Q1653">
        <f>VLOOKUP(Table1[[#This Row],[Losing Seed]],'Seed History'!$N$4:$O$19,2)</f>
        <v>0.63194444444444442</v>
      </c>
      <c r="R1653" s="1">
        <f>IF(Table1[[#This Row],[Round]]="PI",0,Table1[[#This Row],[Round]]-1)</f>
        <v>0</v>
      </c>
      <c r="S1653">
        <f>Table1[[#This Row],[LAW]]-Table1[[#This Row],[LEW]]</f>
        <v>-0.63194444444444442</v>
      </c>
    </row>
    <row r="1654" spans="1:19" x14ac:dyDescent="0.25">
      <c r="A1654" s="66">
        <v>40619</v>
      </c>
      <c r="B1654" s="51">
        <f>YEAR(Table1[[#This Row],[Date]])</f>
        <v>2011</v>
      </c>
      <c r="C1654" s="1">
        <v>1</v>
      </c>
      <c r="D1654" t="s">
        <v>465</v>
      </c>
      <c r="E1654" s="1">
        <v>13</v>
      </c>
      <c r="F1654" t="s">
        <v>282</v>
      </c>
      <c r="G1654" t="str">
        <f>VLOOKUP(Table1[[#This Row],[Winner]],Ranking!C:D,2,FALSE)</f>
        <v>OVC</v>
      </c>
      <c r="H1654" s="1">
        <v>62</v>
      </c>
      <c r="I1654" s="1">
        <v>4</v>
      </c>
      <c r="J1654" t="s">
        <v>54</v>
      </c>
      <c r="K1654" t="str">
        <f>VLOOKUP(Table1[[#This Row],[Loser]],Ranking!C:D,2,FALSE)</f>
        <v>ACC</v>
      </c>
      <c r="L1654" s="1">
        <v>61</v>
      </c>
      <c r="N1654" s="1">
        <f>Table1[[#This Row],[Winning Score]]-Table1[[#This Row],[Losing Score]]</f>
        <v>1</v>
      </c>
      <c r="O1654" s="1">
        <f>Table1[[#This Row],[Losing Seed]]-Table1[[#This Row],[Winning Seed]]</f>
        <v>-9</v>
      </c>
      <c r="P1654" s="1" t="str">
        <f>IF(Table1[[#This Row],[SeD]]&lt;-2,Table1[[#This Row],[Winning Seed]]&amp; " over " &amp;Table1[[#This Row],[Losing Seed]],"")</f>
        <v>13 over 4</v>
      </c>
      <c r="Q1654">
        <f>VLOOKUP(Table1[[#This Row],[Losing Seed]],'Seed History'!$N$4:$O$19,2)</f>
        <v>1.5208333333333333</v>
      </c>
      <c r="R1654" s="1">
        <f>IF(Table1[[#This Row],[Round]]="PI",0,Table1[[#This Row],[Round]]-1)</f>
        <v>0</v>
      </c>
      <c r="S1654">
        <f>Table1[[#This Row],[LAW]]-Table1[[#This Row],[LEW]]</f>
        <v>-1.5208333333333333</v>
      </c>
    </row>
    <row r="1655" spans="1:19" x14ac:dyDescent="0.25">
      <c r="A1655" s="66">
        <v>40619</v>
      </c>
      <c r="B1655" s="51">
        <f>YEAR(Table1[[#This Row],[Date]])</f>
        <v>2011</v>
      </c>
      <c r="C1655" s="1">
        <v>1</v>
      </c>
      <c r="D1655" t="s">
        <v>465</v>
      </c>
      <c r="E1655" s="1">
        <v>12</v>
      </c>
      <c r="F1655" t="s">
        <v>331</v>
      </c>
      <c r="G1655" t="str">
        <f>VLOOKUP(Table1[[#This Row],[Winner]],Ranking!C:D,2,FALSE)</f>
        <v>A10</v>
      </c>
      <c r="H1655" s="1">
        <v>69</v>
      </c>
      <c r="I1655" s="1">
        <v>5</v>
      </c>
      <c r="J1655" t="s">
        <v>78</v>
      </c>
      <c r="K1655" t="str">
        <f>VLOOKUP(Table1[[#This Row],[Loser]],Ranking!C:D,2,FALSE)</f>
        <v>SEC</v>
      </c>
      <c r="L1655" s="1">
        <v>66</v>
      </c>
      <c r="N1655" s="1">
        <f>Table1[[#This Row],[Winning Score]]-Table1[[#This Row],[Losing Score]]</f>
        <v>3</v>
      </c>
      <c r="O1655" s="1">
        <f>Table1[[#This Row],[Losing Seed]]-Table1[[#This Row],[Winning Seed]]</f>
        <v>-7</v>
      </c>
      <c r="P1655" s="1" t="str">
        <f>IF(Table1[[#This Row],[SeD]]&lt;-2,Table1[[#This Row],[Winning Seed]]&amp; " over " &amp;Table1[[#This Row],[Losing Seed]],"")</f>
        <v>12 over 5</v>
      </c>
      <c r="Q1655">
        <f>VLOOKUP(Table1[[#This Row],[Losing Seed]],'Seed History'!$N$4:$O$19,2)</f>
        <v>1.1180555555555556</v>
      </c>
      <c r="R1655" s="1">
        <f>IF(Table1[[#This Row],[Round]]="PI",0,Table1[[#This Row],[Round]]-1)</f>
        <v>0</v>
      </c>
      <c r="S1655">
        <f>Table1[[#This Row],[LAW]]-Table1[[#This Row],[LEW]]</f>
        <v>-1.1180555555555556</v>
      </c>
    </row>
    <row r="1656" spans="1:19" x14ac:dyDescent="0.25">
      <c r="A1656" s="66">
        <v>40619</v>
      </c>
      <c r="B1656" s="51">
        <f>YEAR(Table1[[#This Row],[Date]])</f>
        <v>2011</v>
      </c>
      <c r="C1656" s="1">
        <v>1</v>
      </c>
      <c r="D1656" t="s">
        <v>461</v>
      </c>
      <c r="E1656" s="1">
        <v>11</v>
      </c>
      <c r="F1656" t="s">
        <v>71</v>
      </c>
      <c r="G1656" t="str">
        <f>VLOOKUP(Table1[[#This Row],[Winner]],Ranking!C:D,2,FALSE)</f>
        <v>WCC</v>
      </c>
      <c r="H1656" s="1">
        <v>86</v>
      </c>
      <c r="I1656" s="1">
        <v>6</v>
      </c>
      <c r="J1656" t="s">
        <v>368</v>
      </c>
      <c r="K1656" t="str">
        <f>VLOOKUP(Table1[[#This Row],[Loser]],Ranking!C:D,2,FALSE)</f>
        <v>BE</v>
      </c>
      <c r="L1656" s="1">
        <v>71</v>
      </c>
      <c r="N1656" s="1">
        <f>Table1[[#This Row],[Winning Score]]-Table1[[#This Row],[Losing Score]]</f>
        <v>15</v>
      </c>
      <c r="O1656" s="1">
        <f>Table1[[#This Row],[Losing Seed]]-Table1[[#This Row],[Winning Seed]]</f>
        <v>-5</v>
      </c>
      <c r="P1656" s="1" t="str">
        <f>IF(Table1[[#This Row],[SeD]]&lt;-2,Table1[[#This Row],[Winning Seed]]&amp; " over " &amp;Table1[[#This Row],[Losing Seed]],"")</f>
        <v>11 over 6</v>
      </c>
      <c r="Q1656">
        <f>VLOOKUP(Table1[[#This Row],[Losing Seed]],'Seed History'!$N$4:$O$19,2)</f>
        <v>1.0625</v>
      </c>
      <c r="R1656" s="1">
        <f>IF(Table1[[#This Row],[Round]]="PI",0,Table1[[#This Row],[Round]]-1)</f>
        <v>0</v>
      </c>
      <c r="S1656">
        <f>Table1[[#This Row],[LAW]]-Table1[[#This Row],[LEW]]</f>
        <v>-1.0625</v>
      </c>
    </row>
    <row r="1657" spans="1:19" x14ac:dyDescent="0.25">
      <c r="A1657" s="66">
        <v>40619</v>
      </c>
      <c r="B1657" s="51">
        <f>YEAR(Table1[[#This Row],[Date]])</f>
        <v>2011</v>
      </c>
      <c r="C1657" s="1">
        <v>1</v>
      </c>
      <c r="D1657" t="s">
        <v>49</v>
      </c>
      <c r="E1657" s="1">
        <v>4</v>
      </c>
      <c r="F1657" t="s">
        <v>26</v>
      </c>
      <c r="G1657" t="str">
        <f>VLOOKUP(Table1[[#This Row],[Winner]],Ranking!C:D,2,FALSE)</f>
        <v>SEC</v>
      </c>
      <c r="H1657" s="1">
        <v>59</v>
      </c>
      <c r="I1657" s="1">
        <v>13</v>
      </c>
      <c r="J1657" t="s">
        <v>91</v>
      </c>
      <c r="K1657" t="str">
        <f>VLOOKUP(Table1[[#This Row],[Loser]],Ranking!C:D,2,FALSE)</f>
        <v>Ivy</v>
      </c>
      <c r="L1657" s="1">
        <v>57</v>
      </c>
      <c r="N1657" s="1">
        <f>Table1[[#This Row],[Winning Score]]-Table1[[#This Row],[Losing Score]]</f>
        <v>2</v>
      </c>
      <c r="O1657" s="1">
        <f>Table1[[#This Row],[Losing Seed]]-Table1[[#This Row],[Winning Seed]]</f>
        <v>9</v>
      </c>
      <c r="P1657" s="1" t="str">
        <f>IF(Table1[[#This Row],[SeD]]&lt;-2,Table1[[#This Row],[Winning Seed]]&amp; " over " &amp;Table1[[#This Row],[Losing Seed]],"")</f>
        <v/>
      </c>
      <c r="Q1657">
        <f>VLOOKUP(Table1[[#This Row],[Losing Seed]],'Seed History'!$N$4:$O$19,2)</f>
        <v>0.25694444444444442</v>
      </c>
      <c r="R1657" s="1">
        <f>IF(Table1[[#This Row],[Round]]="PI",0,Table1[[#This Row],[Round]]-1)</f>
        <v>0</v>
      </c>
      <c r="S1657">
        <f>Table1[[#This Row],[LAW]]-Table1[[#This Row],[LEW]]</f>
        <v>-0.25694444444444442</v>
      </c>
    </row>
    <row r="1658" spans="1:19" x14ac:dyDescent="0.25">
      <c r="A1658" s="66">
        <v>40619</v>
      </c>
      <c r="B1658" s="51">
        <f>YEAR(Table1[[#This Row],[Date]])</f>
        <v>2011</v>
      </c>
      <c r="C1658" s="1">
        <v>1</v>
      </c>
      <c r="D1658" t="s">
        <v>49</v>
      </c>
      <c r="E1658" s="1">
        <v>5</v>
      </c>
      <c r="F1658" t="s">
        <v>412</v>
      </c>
      <c r="G1658" t="str">
        <f>VLOOKUP(Table1[[#This Row],[Winner]],Ranking!C:D,2,FALSE)</f>
        <v>B12</v>
      </c>
      <c r="H1658" s="1">
        <v>84</v>
      </c>
      <c r="I1658" s="1">
        <v>12</v>
      </c>
      <c r="J1658" t="s">
        <v>89</v>
      </c>
      <c r="K1658" t="str">
        <f>VLOOKUP(Table1[[#This Row],[Loser]],Ranking!C:D,2,FALSE)</f>
        <v>ACC</v>
      </c>
      <c r="L1658" s="1">
        <v>76</v>
      </c>
      <c r="N1658" s="1">
        <f>Table1[[#This Row],[Winning Score]]-Table1[[#This Row],[Losing Score]]</f>
        <v>8</v>
      </c>
      <c r="O1658" s="1">
        <f>Table1[[#This Row],[Losing Seed]]-Table1[[#This Row],[Winning Seed]]</f>
        <v>7</v>
      </c>
      <c r="P1658" s="1" t="str">
        <f>IF(Table1[[#This Row],[SeD]]&lt;-2,Table1[[#This Row],[Winning Seed]]&amp; " over " &amp;Table1[[#This Row],[Losing Seed]],"")</f>
        <v/>
      </c>
      <c r="Q1658">
        <f>VLOOKUP(Table1[[#This Row],[Losing Seed]],'Seed History'!$N$4:$O$19,2)</f>
        <v>0.52083333333333337</v>
      </c>
      <c r="R1658" s="1">
        <f>IF(Table1[[#This Row],[Round]]="PI",0,Table1[[#This Row],[Round]]-1)</f>
        <v>0</v>
      </c>
      <c r="S1658">
        <f>Table1[[#This Row],[LAW]]-Table1[[#This Row],[LEW]]</f>
        <v>-0.52083333333333337</v>
      </c>
    </row>
    <row r="1659" spans="1:19" x14ac:dyDescent="0.25">
      <c r="A1659" s="66">
        <v>40619</v>
      </c>
      <c r="B1659" s="51">
        <f>YEAR(Table1[[#This Row],[Date]])</f>
        <v>2011</v>
      </c>
      <c r="C1659" s="1">
        <v>1</v>
      </c>
      <c r="D1659" t="s">
        <v>461</v>
      </c>
      <c r="E1659" s="1">
        <v>1</v>
      </c>
      <c r="F1659" t="s">
        <v>83</v>
      </c>
      <c r="G1659" t="str">
        <f>VLOOKUP(Table1[[#This Row],[Winner]],Ranking!C:D,2,FALSE)</f>
        <v>ACC</v>
      </c>
      <c r="H1659" s="1">
        <v>74</v>
      </c>
      <c r="I1659" s="1">
        <v>16</v>
      </c>
      <c r="J1659" t="s">
        <v>393</v>
      </c>
      <c r="K1659" t="str">
        <f>VLOOKUP(Table1[[#This Row],[Loser]],Ranking!C:D,2,FALSE)</f>
        <v>BSth</v>
      </c>
      <c r="L1659" s="1">
        <v>51</v>
      </c>
      <c r="N1659" s="1">
        <f>Table1[[#This Row],[Winning Score]]-Table1[[#This Row],[Losing Score]]</f>
        <v>23</v>
      </c>
      <c r="O1659" s="1">
        <f>Table1[[#This Row],[Losing Seed]]-Table1[[#This Row],[Winning Seed]]</f>
        <v>15</v>
      </c>
      <c r="P1659" s="1" t="str">
        <f>IF(Table1[[#This Row],[SeD]]&lt;-2,Table1[[#This Row],[Winning Seed]]&amp; " over " &amp;Table1[[#This Row],[Losing Seed]],"")</f>
        <v/>
      </c>
      <c r="Q1659">
        <f>VLOOKUP(Table1[[#This Row],[Losing Seed]],'Seed History'!$N$4:$O$19,2)</f>
        <v>6.9444444444444441E-3</v>
      </c>
      <c r="R1659" s="1">
        <f>IF(Table1[[#This Row],[Round]]="PI",0,Table1[[#This Row],[Round]]-1)</f>
        <v>0</v>
      </c>
      <c r="S1659">
        <f>Table1[[#This Row],[LAW]]-Table1[[#This Row],[LEW]]</f>
        <v>-6.9444444444444441E-3</v>
      </c>
    </row>
    <row r="1660" spans="1:19" x14ac:dyDescent="0.25">
      <c r="A1660" s="66">
        <v>40619</v>
      </c>
      <c r="B1660" s="51">
        <f>YEAR(Table1[[#This Row],[Date]])</f>
        <v>2011</v>
      </c>
      <c r="C1660" s="1">
        <v>1</v>
      </c>
      <c r="D1660" t="s">
        <v>461</v>
      </c>
      <c r="E1660" s="1">
        <v>2</v>
      </c>
      <c r="F1660" t="s">
        <v>81</v>
      </c>
      <c r="G1660" t="str">
        <f>VLOOKUP(Table1[[#This Row],[Winner]],Ranking!C:D,2,FALSE)</f>
        <v>SEC</v>
      </c>
      <c r="H1660" s="1">
        <v>79</v>
      </c>
      <c r="I1660" s="1">
        <v>15</v>
      </c>
      <c r="J1660" t="s">
        <v>388</v>
      </c>
      <c r="K1660" t="str">
        <f>VLOOKUP(Table1[[#This Row],[Loser]],Ranking!C:D,2,FALSE)</f>
        <v>BW</v>
      </c>
      <c r="L1660" s="1">
        <v>51</v>
      </c>
      <c r="N1660" s="1">
        <f>Table1[[#This Row],[Winning Score]]-Table1[[#This Row],[Losing Score]]</f>
        <v>28</v>
      </c>
      <c r="O1660" s="1">
        <f>Table1[[#This Row],[Losing Seed]]-Table1[[#This Row],[Winning Seed]]</f>
        <v>13</v>
      </c>
      <c r="P1660" s="1" t="str">
        <f>IF(Table1[[#This Row],[SeD]]&lt;-2,Table1[[#This Row],[Winning Seed]]&amp; " over " &amp;Table1[[#This Row],[Losing Seed]],"")</f>
        <v/>
      </c>
      <c r="Q1660">
        <f>VLOOKUP(Table1[[#This Row],[Losing Seed]],'Seed History'!$N$4:$O$19,2)</f>
        <v>7.6388888888888895E-2</v>
      </c>
      <c r="R1660" s="1">
        <f>IF(Table1[[#This Row],[Round]]="PI",0,Table1[[#This Row],[Round]]-1)</f>
        <v>0</v>
      </c>
      <c r="S1660">
        <f>Table1[[#This Row],[LAW]]-Table1[[#This Row],[LEW]]</f>
        <v>-7.6388888888888895E-2</v>
      </c>
    </row>
    <row r="1661" spans="1:19" x14ac:dyDescent="0.25">
      <c r="A1661" s="66">
        <v>40619</v>
      </c>
      <c r="B1661" s="51">
        <f>YEAR(Table1[[#This Row],[Date]])</f>
        <v>2011</v>
      </c>
      <c r="C1661" s="1">
        <v>1</v>
      </c>
      <c r="D1661" t="s">
        <v>461</v>
      </c>
      <c r="E1661" s="1">
        <v>3</v>
      </c>
      <c r="F1661" t="s">
        <v>72</v>
      </c>
      <c r="G1661" t="str">
        <f>VLOOKUP(Table1[[#This Row],[Winner]],Ranking!C:D,2,FALSE)</f>
        <v>WCC</v>
      </c>
      <c r="H1661" s="1">
        <v>74</v>
      </c>
      <c r="I1661" s="1">
        <v>14</v>
      </c>
      <c r="J1661" t="s">
        <v>42</v>
      </c>
      <c r="K1661" t="str">
        <f>VLOOKUP(Table1[[#This Row],[Loser]],Ranking!C:D,2,FALSE)</f>
        <v>SC</v>
      </c>
      <c r="L1661" s="1">
        <v>66</v>
      </c>
      <c r="N1661" s="1">
        <f>Table1[[#This Row],[Winning Score]]-Table1[[#This Row],[Losing Score]]</f>
        <v>8</v>
      </c>
      <c r="O1661" s="1">
        <f>Table1[[#This Row],[Losing Seed]]-Table1[[#This Row],[Winning Seed]]</f>
        <v>11</v>
      </c>
      <c r="P1661" s="1" t="str">
        <f>IF(Table1[[#This Row],[SeD]]&lt;-2,Table1[[#This Row],[Winning Seed]]&amp; " over " &amp;Table1[[#This Row],[Losing Seed]],"")</f>
        <v/>
      </c>
      <c r="Q1661">
        <f>VLOOKUP(Table1[[#This Row],[Losing Seed]],'Seed History'!$N$4:$O$19,2)</f>
        <v>0.16666666666666666</v>
      </c>
      <c r="R1661" s="1">
        <f>IF(Table1[[#This Row],[Round]]="PI",0,Table1[[#This Row],[Round]]-1)</f>
        <v>0</v>
      </c>
      <c r="S1661">
        <f>Table1[[#This Row],[LAW]]-Table1[[#This Row],[LEW]]</f>
        <v>-0.16666666666666666</v>
      </c>
    </row>
    <row r="1662" spans="1:19" x14ac:dyDescent="0.25">
      <c r="A1662" s="66">
        <v>40619</v>
      </c>
      <c r="B1662" s="51">
        <f>YEAR(Table1[[#This Row],[Date]])</f>
        <v>2011</v>
      </c>
      <c r="C1662" s="1">
        <v>1</v>
      </c>
      <c r="D1662" t="s">
        <v>461</v>
      </c>
      <c r="E1662" s="1">
        <v>4</v>
      </c>
      <c r="F1662" t="s">
        <v>39</v>
      </c>
      <c r="G1662" t="str">
        <f>VLOOKUP(Table1[[#This Row],[Winner]],Ranking!C:D,2,FALSE)</f>
        <v>B10</v>
      </c>
      <c r="H1662" s="1">
        <v>72</v>
      </c>
      <c r="I1662" s="1">
        <v>13</v>
      </c>
      <c r="J1662" t="s">
        <v>62</v>
      </c>
      <c r="K1662" t="str">
        <f>VLOOKUP(Table1[[#This Row],[Loser]],Ranking!C:D,2,FALSE)</f>
        <v>OVC</v>
      </c>
      <c r="L1662" s="1">
        <v>58</v>
      </c>
      <c r="N1662" s="1">
        <f>Table1[[#This Row],[Winning Score]]-Table1[[#This Row],[Losing Score]]</f>
        <v>14</v>
      </c>
      <c r="O1662" s="1">
        <f>Table1[[#This Row],[Losing Seed]]-Table1[[#This Row],[Winning Seed]]</f>
        <v>9</v>
      </c>
      <c r="P1662" s="1" t="str">
        <f>IF(Table1[[#This Row],[SeD]]&lt;-2,Table1[[#This Row],[Winning Seed]]&amp; " over " &amp;Table1[[#This Row],[Losing Seed]],"")</f>
        <v/>
      </c>
      <c r="Q1662">
        <f>VLOOKUP(Table1[[#This Row],[Losing Seed]],'Seed History'!$N$4:$O$19,2)</f>
        <v>0.25694444444444442</v>
      </c>
      <c r="R1662" s="1">
        <f>IF(Table1[[#This Row],[Round]]="PI",0,Table1[[#This Row],[Round]]-1)</f>
        <v>0</v>
      </c>
      <c r="S1662">
        <f>Table1[[#This Row],[LAW]]-Table1[[#This Row],[LEW]]</f>
        <v>-0.25694444444444442</v>
      </c>
    </row>
    <row r="1663" spans="1:19" x14ac:dyDescent="0.25">
      <c r="A1663" s="66">
        <v>40619</v>
      </c>
      <c r="B1663" s="51">
        <f>YEAR(Table1[[#This Row],[Date]])</f>
        <v>2011</v>
      </c>
      <c r="C1663" s="1">
        <v>1</v>
      </c>
      <c r="D1663" t="s">
        <v>461</v>
      </c>
      <c r="E1663" s="1">
        <v>5</v>
      </c>
      <c r="F1663" t="s">
        <v>243</v>
      </c>
      <c r="G1663" t="str">
        <f>VLOOKUP(Table1[[#This Row],[Winner]],Ranking!C:D,2,FALSE)</f>
        <v>B12</v>
      </c>
      <c r="H1663" s="1">
        <v>73</v>
      </c>
      <c r="I1663" s="1">
        <v>12</v>
      </c>
      <c r="J1663" t="s">
        <v>400</v>
      </c>
      <c r="K1663" t="str">
        <f>VLOOKUP(Table1[[#This Row],[Loser]],Ranking!C:D,2,FALSE)</f>
        <v>MWC</v>
      </c>
      <c r="L1663" s="1">
        <v>68</v>
      </c>
      <c r="N1663" s="1">
        <f>Table1[[#This Row],[Winning Score]]-Table1[[#This Row],[Losing Score]]</f>
        <v>5</v>
      </c>
      <c r="O1663" s="1">
        <f>Table1[[#This Row],[Losing Seed]]-Table1[[#This Row],[Winning Seed]]</f>
        <v>7</v>
      </c>
      <c r="P1663" s="1" t="str">
        <f>IF(Table1[[#This Row],[SeD]]&lt;-2,Table1[[#This Row],[Winning Seed]]&amp; " over " &amp;Table1[[#This Row],[Losing Seed]],"")</f>
        <v/>
      </c>
      <c r="Q1663">
        <f>VLOOKUP(Table1[[#This Row],[Losing Seed]],'Seed History'!$N$4:$O$19,2)</f>
        <v>0.52083333333333337</v>
      </c>
      <c r="R1663" s="1">
        <f>IF(Table1[[#This Row],[Round]]="PI",0,Table1[[#This Row],[Round]]-1)</f>
        <v>0</v>
      </c>
      <c r="S1663">
        <f>Table1[[#This Row],[LAW]]-Table1[[#This Row],[LEW]]</f>
        <v>-0.52083333333333337</v>
      </c>
    </row>
    <row r="1664" spans="1:19" x14ac:dyDescent="0.25">
      <c r="A1664" s="66">
        <v>40619</v>
      </c>
      <c r="B1664" s="51">
        <f>YEAR(Table1[[#This Row],[Date]])</f>
        <v>2011</v>
      </c>
      <c r="C1664" s="1">
        <v>1</v>
      </c>
      <c r="D1664" t="s">
        <v>461</v>
      </c>
      <c r="E1664" s="1">
        <v>7</v>
      </c>
      <c r="F1664" t="s">
        <v>67</v>
      </c>
      <c r="G1664" t="str">
        <f>VLOOKUP(Table1[[#This Row],[Winner]],Ranking!C:D,2,FALSE)</f>
        <v>P12</v>
      </c>
      <c r="H1664" s="1">
        <v>78</v>
      </c>
      <c r="I1664" s="1">
        <v>10</v>
      </c>
      <c r="J1664" t="s">
        <v>271</v>
      </c>
      <c r="K1664" t="str">
        <f>VLOOKUP(Table1[[#This Row],[Loser]],Ranking!C:D,2,FALSE)</f>
        <v>B10</v>
      </c>
      <c r="L1664" s="1">
        <v>76</v>
      </c>
      <c r="N1664" s="1">
        <f>Table1[[#This Row],[Winning Score]]-Table1[[#This Row],[Losing Score]]</f>
        <v>2</v>
      </c>
      <c r="O1664" s="1">
        <f>Table1[[#This Row],[Losing Seed]]-Table1[[#This Row],[Winning Seed]]</f>
        <v>3</v>
      </c>
      <c r="P1664" s="1" t="str">
        <f>IF(Table1[[#This Row],[SeD]]&lt;-2,Table1[[#This Row],[Winning Seed]]&amp; " over " &amp;Table1[[#This Row],[Losing Seed]],"")</f>
        <v/>
      </c>
      <c r="Q1664">
        <f>VLOOKUP(Table1[[#This Row],[Losing Seed]],'Seed History'!$N$4:$O$19,2)</f>
        <v>0.61805555555555558</v>
      </c>
      <c r="R1664" s="1">
        <f>IF(Table1[[#This Row],[Round]]="PI",0,Table1[[#This Row],[Round]]-1)</f>
        <v>0</v>
      </c>
      <c r="S1664">
        <f>Table1[[#This Row],[LAW]]-Table1[[#This Row],[LEW]]</f>
        <v>-0.61805555555555558</v>
      </c>
    </row>
    <row r="1665" spans="1:19" x14ac:dyDescent="0.25">
      <c r="A1665" s="66">
        <v>40619</v>
      </c>
      <c r="B1665" s="51">
        <f>YEAR(Table1[[#This Row],[Date]])</f>
        <v>2011</v>
      </c>
      <c r="C1665" s="1">
        <v>1</v>
      </c>
      <c r="D1665" t="s">
        <v>461</v>
      </c>
      <c r="E1665" s="1">
        <v>8</v>
      </c>
      <c r="F1665" t="s">
        <v>33</v>
      </c>
      <c r="G1665" t="str">
        <f>VLOOKUP(Table1[[#This Row],[Winner]],Ranking!C:D,2,FALSE)</f>
        <v>BE</v>
      </c>
      <c r="H1665" s="1">
        <v>60</v>
      </c>
      <c r="I1665" s="1">
        <v>9</v>
      </c>
      <c r="J1665" t="s">
        <v>317</v>
      </c>
      <c r="K1665" t="str">
        <f>VLOOKUP(Table1[[#This Row],[Loser]],Ranking!C:D,2,FALSE)</f>
        <v>CUSA</v>
      </c>
      <c r="L1665" s="1">
        <v>58</v>
      </c>
      <c r="N1665" s="1">
        <f>Table1[[#This Row],[Winning Score]]-Table1[[#This Row],[Losing Score]]</f>
        <v>2</v>
      </c>
      <c r="O1665" s="1">
        <f>Table1[[#This Row],[Losing Seed]]-Table1[[#This Row],[Winning Seed]]</f>
        <v>1</v>
      </c>
      <c r="P1665" s="1" t="str">
        <f>IF(Table1[[#This Row],[SeD]]&lt;-2,Table1[[#This Row],[Winning Seed]]&amp; " over " &amp;Table1[[#This Row],[Losing Seed]],"")</f>
        <v/>
      </c>
      <c r="Q1665">
        <f>VLOOKUP(Table1[[#This Row],[Losing Seed]],'Seed History'!$N$4:$O$19,2)</f>
        <v>0.59027777777777779</v>
      </c>
      <c r="R1665" s="1">
        <f>IF(Table1[[#This Row],[Round]]="PI",0,Table1[[#This Row],[Round]]-1)</f>
        <v>0</v>
      </c>
      <c r="S1665">
        <f>Table1[[#This Row],[LAW]]-Table1[[#This Row],[LEW]]</f>
        <v>-0.59027777777777779</v>
      </c>
    </row>
    <row r="1666" spans="1:19" x14ac:dyDescent="0.25">
      <c r="A1666" s="66">
        <v>40619</v>
      </c>
      <c r="B1666" s="51">
        <f>YEAR(Table1[[#This Row],[Date]])</f>
        <v>2011</v>
      </c>
      <c r="C1666" s="1">
        <v>1</v>
      </c>
      <c r="D1666" t="s">
        <v>38</v>
      </c>
      <c r="E1666" s="1">
        <v>2</v>
      </c>
      <c r="F1666" t="s">
        <v>344</v>
      </c>
      <c r="G1666" t="str">
        <f>VLOOKUP(Table1[[#This Row],[Winner]],Ranking!C:D,2,FALSE)</f>
        <v>MWC</v>
      </c>
      <c r="H1666" s="1">
        <v>68</v>
      </c>
      <c r="I1666" s="1">
        <v>15</v>
      </c>
      <c r="J1666" t="s">
        <v>308</v>
      </c>
      <c r="K1666" t="str">
        <f>VLOOKUP(Table1[[#This Row],[Loser]],Ranking!C:D,2,FALSE)</f>
        <v>BSky</v>
      </c>
      <c r="L1666" s="1">
        <v>50</v>
      </c>
      <c r="N1666" s="1">
        <f>Table1[[#This Row],[Winning Score]]-Table1[[#This Row],[Losing Score]]</f>
        <v>18</v>
      </c>
      <c r="O1666" s="1">
        <f>Table1[[#This Row],[Losing Seed]]-Table1[[#This Row],[Winning Seed]]</f>
        <v>13</v>
      </c>
      <c r="P1666" s="1" t="str">
        <f>IF(Table1[[#This Row],[SeD]]&lt;-2,Table1[[#This Row],[Winning Seed]]&amp; " over " &amp;Table1[[#This Row],[Losing Seed]],"")</f>
        <v/>
      </c>
      <c r="Q1666">
        <f>VLOOKUP(Table1[[#This Row],[Losing Seed]],'Seed History'!$N$4:$O$19,2)</f>
        <v>7.6388888888888895E-2</v>
      </c>
      <c r="R1666" s="1">
        <f>IF(Table1[[#This Row],[Round]]="PI",0,Table1[[#This Row],[Round]]-1)</f>
        <v>0</v>
      </c>
      <c r="S1666">
        <f>Table1[[#This Row],[LAW]]-Table1[[#This Row],[LEW]]</f>
        <v>-7.6388888888888895E-2</v>
      </c>
    </row>
    <row r="1667" spans="1:19" x14ac:dyDescent="0.25">
      <c r="A1667" s="66">
        <v>40619</v>
      </c>
      <c r="B1667" s="51">
        <f>YEAR(Table1[[#This Row],[Date]])</f>
        <v>2011</v>
      </c>
      <c r="C1667" s="1">
        <v>1</v>
      </c>
      <c r="D1667" t="s">
        <v>38</v>
      </c>
      <c r="E1667" s="1">
        <v>3</v>
      </c>
      <c r="F1667" t="s">
        <v>80</v>
      </c>
      <c r="G1667" t="str">
        <f>VLOOKUP(Table1[[#This Row],[Winner]],Ranking!C:D,2,FALSE)</f>
        <v>BE</v>
      </c>
      <c r="H1667" s="1">
        <v>81</v>
      </c>
      <c r="I1667" s="1">
        <v>14</v>
      </c>
      <c r="J1667" t="s">
        <v>148</v>
      </c>
      <c r="K1667" t="str">
        <f>VLOOKUP(Table1[[#This Row],[Loser]],Ranking!C:D,2,FALSE)</f>
        <v>Pat</v>
      </c>
      <c r="L1667" s="1">
        <v>52</v>
      </c>
      <c r="N1667" s="1">
        <f>Table1[[#This Row],[Winning Score]]-Table1[[#This Row],[Losing Score]]</f>
        <v>29</v>
      </c>
      <c r="O1667" s="1">
        <f>Table1[[#This Row],[Losing Seed]]-Table1[[#This Row],[Winning Seed]]</f>
        <v>11</v>
      </c>
      <c r="P1667" s="1" t="str">
        <f>IF(Table1[[#This Row],[SeD]]&lt;-2,Table1[[#This Row],[Winning Seed]]&amp; " over " &amp;Table1[[#This Row],[Losing Seed]],"")</f>
        <v/>
      </c>
      <c r="Q1667">
        <f>VLOOKUP(Table1[[#This Row],[Losing Seed]],'Seed History'!$N$4:$O$19,2)</f>
        <v>0.16666666666666666</v>
      </c>
      <c r="R1667" s="1">
        <f>IF(Table1[[#This Row],[Round]]="PI",0,Table1[[#This Row],[Round]]-1)</f>
        <v>0</v>
      </c>
      <c r="S1667">
        <f>Table1[[#This Row],[LAW]]-Table1[[#This Row],[LEW]]</f>
        <v>-0.16666666666666666</v>
      </c>
    </row>
    <row r="1668" spans="1:19" x14ac:dyDescent="0.25">
      <c r="A1668" s="66">
        <v>40619</v>
      </c>
      <c r="B1668" s="51">
        <f>YEAR(Table1[[#This Row],[Date]])</f>
        <v>2011</v>
      </c>
      <c r="C1668" s="1">
        <v>1</v>
      </c>
      <c r="D1668" t="s">
        <v>38</v>
      </c>
      <c r="E1668" s="1">
        <v>6</v>
      </c>
      <c r="F1668" t="s">
        <v>28</v>
      </c>
      <c r="G1668" t="str">
        <f>VLOOKUP(Table1[[#This Row],[Winner]],Ranking!C:D,2,FALSE)</f>
        <v>Amer</v>
      </c>
      <c r="H1668" s="1">
        <v>78</v>
      </c>
      <c r="I1668" s="1">
        <v>11</v>
      </c>
      <c r="J1668" t="s">
        <v>277</v>
      </c>
      <c r="K1668" t="str">
        <f>VLOOKUP(Table1[[#This Row],[Loser]],Ranking!C:D,2,FALSE)</f>
        <v>SEC</v>
      </c>
      <c r="L1668" s="1">
        <v>63</v>
      </c>
      <c r="N1668" s="1">
        <f>Table1[[#This Row],[Winning Score]]-Table1[[#This Row],[Losing Score]]</f>
        <v>15</v>
      </c>
      <c r="O1668" s="1">
        <f>Table1[[#This Row],[Losing Seed]]-Table1[[#This Row],[Winning Seed]]</f>
        <v>5</v>
      </c>
      <c r="P1668" s="1" t="str">
        <f>IF(Table1[[#This Row],[SeD]]&lt;-2,Table1[[#This Row],[Winning Seed]]&amp; " over " &amp;Table1[[#This Row],[Losing Seed]],"")</f>
        <v/>
      </c>
      <c r="Q1668">
        <f>VLOOKUP(Table1[[#This Row],[Losing Seed]],'Seed History'!$N$4:$O$19,2)</f>
        <v>0.63194444444444442</v>
      </c>
      <c r="R1668" s="1">
        <f>IF(Table1[[#This Row],[Round]]="PI",0,Table1[[#This Row],[Round]]-1)</f>
        <v>0</v>
      </c>
      <c r="S1668">
        <f>Table1[[#This Row],[LAW]]-Table1[[#This Row],[LEW]]</f>
        <v>-0.63194444444444442</v>
      </c>
    </row>
    <row r="1669" spans="1:19" x14ac:dyDescent="0.25">
      <c r="A1669" s="66">
        <v>40619</v>
      </c>
      <c r="B1669" s="51">
        <f>YEAR(Table1[[#This Row],[Date]])</f>
        <v>2011</v>
      </c>
      <c r="C1669" s="1">
        <v>1</v>
      </c>
      <c r="D1669" t="s">
        <v>38</v>
      </c>
      <c r="E1669" s="1">
        <v>7</v>
      </c>
      <c r="F1669" t="s">
        <v>373</v>
      </c>
      <c r="G1669" t="str">
        <f>VLOOKUP(Table1[[#This Row],[Winner]],Ranking!C:D,2,FALSE)</f>
        <v>Amer</v>
      </c>
      <c r="H1669" s="1">
        <v>66</v>
      </c>
      <c r="I1669" s="1">
        <v>10</v>
      </c>
      <c r="J1669" t="s">
        <v>322</v>
      </c>
      <c r="K1669" t="str">
        <f>VLOOKUP(Table1[[#This Row],[Loser]],Ranking!C:D,2,FALSE)</f>
        <v>B10</v>
      </c>
      <c r="L1669" s="1">
        <v>64</v>
      </c>
      <c r="N1669" s="1">
        <f>Table1[[#This Row],[Winning Score]]-Table1[[#This Row],[Losing Score]]</f>
        <v>2</v>
      </c>
      <c r="O1669" s="1">
        <f>Table1[[#This Row],[Losing Seed]]-Table1[[#This Row],[Winning Seed]]</f>
        <v>3</v>
      </c>
      <c r="P1669" s="1" t="str">
        <f>IF(Table1[[#This Row],[SeD]]&lt;-2,Table1[[#This Row],[Winning Seed]]&amp; " over " &amp;Table1[[#This Row],[Losing Seed]],"")</f>
        <v/>
      </c>
      <c r="Q1669">
        <f>VLOOKUP(Table1[[#This Row],[Losing Seed]],'Seed History'!$N$4:$O$19,2)</f>
        <v>0.61805555555555558</v>
      </c>
      <c r="R1669" s="1">
        <f>IF(Table1[[#This Row],[Round]]="PI",0,Table1[[#This Row],[Round]]-1)</f>
        <v>0</v>
      </c>
      <c r="S1669">
        <f>Table1[[#This Row],[LAW]]-Table1[[#This Row],[LEW]]</f>
        <v>-0.61805555555555558</v>
      </c>
    </row>
    <row r="1670" spans="1:19" x14ac:dyDescent="0.25">
      <c r="A1670" s="66">
        <v>40620</v>
      </c>
      <c r="B1670" s="51">
        <f>YEAR(Table1[[#This Row],[Date]])</f>
        <v>2011</v>
      </c>
      <c r="C1670" s="1">
        <v>1</v>
      </c>
      <c r="D1670" t="s">
        <v>49</v>
      </c>
      <c r="E1670" s="1">
        <v>11</v>
      </c>
      <c r="F1670" t="s">
        <v>262</v>
      </c>
      <c r="G1670" t="str">
        <f>VLOOKUP(Table1[[#This Row],[Winner]],Ranking!C:D,2,FALSE)</f>
        <v>BE</v>
      </c>
      <c r="H1670" s="1">
        <v>66</v>
      </c>
      <c r="I1670" s="1">
        <v>6</v>
      </c>
      <c r="J1670" t="s">
        <v>44</v>
      </c>
      <c r="K1670" t="str">
        <f>VLOOKUP(Table1[[#This Row],[Loser]],Ranking!C:D,2,FALSE)</f>
        <v>BE</v>
      </c>
      <c r="L1670" s="1">
        <v>55</v>
      </c>
      <c r="N1670" s="1">
        <f>Table1[[#This Row],[Winning Score]]-Table1[[#This Row],[Losing Score]]</f>
        <v>11</v>
      </c>
      <c r="O1670" s="1">
        <f>Table1[[#This Row],[Losing Seed]]-Table1[[#This Row],[Winning Seed]]</f>
        <v>-5</v>
      </c>
      <c r="P1670" s="1" t="str">
        <f>IF(Table1[[#This Row],[SeD]]&lt;-2,Table1[[#This Row],[Winning Seed]]&amp; " over " &amp;Table1[[#This Row],[Losing Seed]],"")</f>
        <v>11 over 6</v>
      </c>
      <c r="Q1670">
        <f>VLOOKUP(Table1[[#This Row],[Losing Seed]],'Seed History'!$N$4:$O$19,2)</f>
        <v>1.0625</v>
      </c>
      <c r="R1670" s="1">
        <f>IF(Table1[[#This Row],[Round]]="PI",0,Table1[[#This Row],[Round]]-1)</f>
        <v>0</v>
      </c>
      <c r="S1670">
        <f>Table1[[#This Row],[LAW]]-Table1[[#This Row],[LEW]]</f>
        <v>-1.0625</v>
      </c>
    </row>
    <row r="1671" spans="1:19" x14ac:dyDescent="0.25">
      <c r="A1671" s="66">
        <v>40620</v>
      </c>
      <c r="B1671" s="51">
        <f>YEAR(Table1[[#This Row],[Date]])</f>
        <v>2011</v>
      </c>
      <c r="C1671" s="1">
        <v>1</v>
      </c>
      <c r="D1671" t="s">
        <v>465</v>
      </c>
      <c r="E1671" s="1">
        <v>11</v>
      </c>
      <c r="F1671" t="s">
        <v>47</v>
      </c>
      <c r="G1671" t="str">
        <f>VLOOKUP(Table1[[#This Row],[Winner]],Ranking!C:D,2,FALSE)</f>
        <v>A10</v>
      </c>
      <c r="H1671" s="1">
        <v>74</v>
      </c>
      <c r="I1671" s="1">
        <v>6</v>
      </c>
      <c r="J1671" t="s">
        <v>66</v>
      </c>
      <c r="K1671" t="str">
        <f>VLOOKUP(Table1[[#This Row],[Loser]],Ranking!C:D,2,FALSE)</f>
        <v>BE</v>
      </c>
      <c r="L1671" s="1">
        <v>56</v>
      </c>
      <c r="N1671" s="1">
        <f>Table1[[#This Row],[Winning Score]]-Table1[[#This Row],[Losing Score]]</f>
        <v>18</v>
      </c>
      <c r="O1671" s="1">
        <f>Table1[[#This Row],[Losing Seed]]-Table1[[#This Row],[Winning Seed]]</f>
        <v>-5</v>
      </c>
      <c r="P1671" s="1" t="str">
        <f>IF(Table1[[#This Row],[SeD]]&lt;-2,Table1[[#This Row],[Winning Seed]]&amp; " over " &amp;Table1[[#This Row],[Losing Seed]],"")</f>
        <v>11 over 6</v>
      </c>
      <c r="Q1671">
        <f>VLOOKUP(Table1[[#This Row],[Losing Seed]],'Seed History'!$N$4:$O$19,2)</f>
        <v>1.0625</v>
      </c>
      <c r="R1671" s="1">
        <f>IF(Table1[[#This Row],[Round]]="PI",0,Table1[[#This Row],[Round]]-1)</f>
        <v>0</v>
      </c>
      <c r="S1671">
        <f>Table1[[#This Row],[LAW]]-Table1[[#This Row],[LEW]]</f>
        <v>-1.0625</v>
      </c>
    </row>
    <row r="1672" spans="1:19" x14ac:dyDescent="0.25">
      <c r="A1672" s="66">
        <v>40620</v>
      </c>
      <c r="B1672" s="51">
        <f>YEAR(Table1[[#This Row],[Date]])</f>
        <v>2011</v>
      </c>
      <c r="C1672" s="1">
        <v>1</v>
      </c>
      <c r="D1672" t="s">
        <v>38</v>
      </c>
      <c r="E1672" s="1">
        <v>5</v>
      </c>
      <c r="F1672" t="s">
        <v>48</v>
      </c>
      <c r="G1672" t="str">
        <f>VLOOKUP(Table1[[#This Row],[Winner]],Ranking!C:D,2,FALSE)</f>
        <v>P12</v>
      </c>
      <c r="H1672" s="1">
        <v>77</v>
      </c>
      <c r="I1672" s="1">
        <v>12</v>
      </c>
      <c r="J1672" t="s">
        <v>267</v>
      </c>
      <c r="K1672" t="str">
        <f>VLOOKUP(Table1[[#This Row],[Loser]],Ranking!C:D,2,FALSE)</f>
        <v>Amer</v>
      </c>
      <c r="L1672" s="1">
        <v>75</v>
      </c>
      <c r="N1672" s="1">
        <f>Table1[[#This Row],[Winning Score]]-Table1[[#This Row],[Losing Score]]</f>
        <v>2</v>
      </c>
      <c r="O1672" s="1">
        <f>Table1[[#This Row],[Losing Seed]]-Table1[[#This Row],[Winning Seed]]</f>
        <v>7</v>
      </c>
      <c r="P1672" s="1" t="str">
        <f>IF(Table1[[#This Row],[SeD]]&lt;-2,Table1[[#This Row],[Winning Seed]]&amp; " over " &amp;Table1[[#This Row],[Losing Seed]],"")</f>
        <v/>
      </c>
      <c r="Q1672">
        <f>VLOOKUP(Table1[[#This Row],[Losing Seed]],'Seed History'!$N$4:$O$19,2)</f>
        <v>0.52083333333333337</v>
      </c>
      <c r="R1672" s="1">
        <f>IF(Table1[[#This Row],[Round]]="PI",0,Table1[[#This Row],[Round]]-1)</f>
        <v>0</v>
      </c>
      <c r="S1672">
        <f>Table1[[#This Row],[LAW]]-Table1[[#This Row],[LEW]]</f>
        <v>-0.52083333333333337</v>
      </c>
    </row>
    <row r="1673" spans="1:19" x14ac:dyDescent="0.25">
      <c r="A1673" s="66">
        <v>40620</v>
      </c>
      <c r="B1673" s="51">
        <f>YEAR(Table1[[#This Row],[Date]])</f>
        <v>2011</v>
      </c>
      <c r="C1673" s="1">
        <v>1</v>
      </c>
      <c r="D1673" t="s">
        <v>465</v>
      </c>
      <c r="E1673" s="1">
        <v>10</v>
      </c>
      <c r="F1673" t="s">
        <v>207</v>
      </c>
      <c r="G1673" t="str">
        <f>VLOOKUP(Table1[[#This Row],[Winner]],Ranking!C:D,2,FALSE)</f>
        <v>ACC</v>
      </c>
      <c r="H1673" s="1">
        <v>57</v>
      </c>
      <c r="I1673" s="1">
        <v>7</v>
      </c>
      <c r="J1673" t="s">
        <v>79</v>
      </c>
      <c r="K1673" t="str">
        <f>VLOOKUP(Table1[[#This Row],[Loser]],Ranking!C:D,2,FALSE)</f>
        <v>SEC</v>
      </c>
      <c r="L1673" s="1">
        <v>50</v>
      </c>
      <c r="N1673" s="1">
        <f>Table1[[#This Row],[Winning Score]]-Table1[[#This Row],[Losing Score]]</f>
        <v>7</v>
      </c>
      <c r="O1673" s="1">
        <f>Table1[[#This Row],[Losing Seed]]-Table1[[#This Row],[Winning Seed]]</f>
        <v>-3</v>
      </c>
      <c r="P1673" s="1" t="str">
        <f>IF(Table1[[#This Row],[SeD]]&lt;-2,Table1[[#This Row],[Winning Seed]]&amp; " over " &amp;Table1[[#This Row],[Losing Seed]],"")</f>
        <v>10 over 7</v>
      </c>
      <c r="Q1673">
        <f>VLOOKUP(Table1[[#This Row],[Losing Seed]],'Seed History'!$N$4:$O$19,2)</f>
        <v>0.90277777777777779</v>
      </c>
      <c r="R1673" s="1">
        <f>IF(Table1[[#This Row],[Round]]="PI",0,Table1[[#This Row],[Round]]-1)</f>
        <v>0</v>
      </c>
      <c r="S1673">
        <f>Table1[[#This Row],[LAW]]-Table1[[#This Row],[LEW]]</f>
        <v>-0.90277777777777779</v>
      </c>
    </row>
    <row r="1674" spans="1:19" x14ac:dyDescent="0.25">
      <c r="A1674" s="66">
        <v>40620</v>
      </c>
      <c r="B1674" s="51">
        <f>YEAR(Table1[[#This Row],[Date]])</f>
        <v>2011</v>
      </c>
      <c r="C1674" s="1">
        <v>1</v>
      </c>
      <c r="D1674" t="s">
        <v>49</v>
      </c>
      <c r="E1674" s="1">
        <v>1</v>
      </c>
      <c r="F1674" t="s">
        <v>315</v>
      </c>
      <c r="G1674" t="str">
        <f>VLOOKUP(Table1[[#This Row],[Winner]],Ranking!C:D,2,FALSE)</f>
        <v>B10</v>
      </c>
      <c r="H1674" s="1">
        <v>75</v>
      </c>
      <c r="I1674" s="1">
        <v>16</v>
      </c>
      <c r="J1674" t="s">
        <v>403</v>
      </c>
      <c r="K1674" t="str">
        <f>VLOOKUP(Table1[[#This Row],[Loser]],Ranking!C:D,2,FALSE)</f>
        <v>CUSA</v>
      </c>
      <c r="L1674" s="1">
        <v>46</v>
      </c>
      <c r="N1674" s="1">
        <f>Table1[[#This Row],[Winning Score]]-Table1[[#This Row],[Losing Score]]</f>
        <v>29</v>
      </c>
      <c r="O1674" s="1">
        <f>Table1[[#This Row],[Losing Seed]]-Table1[[#This Row],[Winning Seed]]</f>
        <v>15</v>
      </c>
      <c r="P1674" s="1" t="str">
        <f>IF(Table1[[#This Row],[SeD]]&lt;-2,Table1[[#This Row],[Winning Seed]]&amp; " over " &amp;Table1[[#This Row],[Losing Seed]],"")</f>
        <v/>
      </c>
      <c r="Q1674">
        <f>VLOOKUP(Table1[[#This Row],[Losing Seed]],'Seed History'!$N$4:$O$19,2)</f>
        <v>6.9444444444444441E-3</v>
      </c>
      <c r="R1674" s="1">
        <f>IF(Table1[[#This Row],[Round]]="PI",0,Table1[[#This Row],[Round]]-1)</f>
        <v>0</v>
      </c>
      <c r="S1674">
        <f>Table1[[#This Row],[LAW]]-Table1[[#This Row],[LEW]]</f>
        <v>-6.9444444444444441E-3</v>
      </c>
    </row>
    <row r="1675" spans="1:19" x14ac:dyDescent="0.25">
      <c r="A1675" s="66">
        <v>40620</v>
      </c>
      <c r="B1675" s="51">
        <f>YEAR(Table1[[#This Row],[Date]])</f>
        <v>2011</v>
      </c>
      <c r="C1675" s="1">
        <v>1</v>
      </c>
      <c r="D1675" t="s">
        <v>49</v>
      </c>
      <c r="E1675" s="1">
        <v>2</v>
      </c>
      <c r="F1675" t="s">
        <v>298</v>
      </c>
      <c r="G1675" t="str">
        <f>VLOOKUP(Table1[[#This Row],[Winner]],Ranking!C:D,2,FALSE)</f>
        <v>ACC</v>
      </c>
      <c r="H1675" s="1">
        <v>102</v>
      </c>
      <c r="I1675" s="1">
        <v>15</v>
      </c>
      <c r="J1675" t="s">
        <v>251</v>
      </c>
      <c r="K1675" t="e">
        <f>VLOOKUP(Table1[[#This Row],[Loser]],Ranking!C:D,2,FALSE)</f>
        <v>#N/A</v>
      </c>
      <c r="L1675" s="1">
        <v>87</v>
      </c>
      <c r="N1675" s="1">
        <f>Table1[[#This Row],[Winning Score]]-Table1[[#This Row],[Losing Score]]</f>
        <v>15</v>
      </c>
      <c r="O1675" s="1">
        <f>Table1[[#This Row],[Losing Seed]]-Table1[[#This Row],[Winning Seed]]</f>
        <v>13</v>
      </c>
      <c r="P1675" s="1" t="str">
        <f>IF(Table1[[#This Row],[SeD]]&lt;-2,Table1[[#This Row],[Winning Seed]]&amp; " over " &amp;Table1[[#This Row],[Losing Seed]],"")</f>
        <v/>
      </c>
      <c r="Q1675">
        <f>VLOOKUP(Table1[[#This Row],[Losing Seed]],'Seed History'!$N$4:$O$19,2)</f>
        <v>7.6388888888888895E-2</v>
      </c>
      <c r="R1675" s="1">
        <f>IF(Table1[[#This Row],[Round]]="PI",0,Table1[[#This Row],[Round]]-1)</f>
        <v>0</v>
      </c>
      <c r="S1675">
        <f>Table1[[#This Row],[LAW]]-Table1[[#This Row],[LEW]]</f>
        <v>-7.6388888888888895E-2</v>
      </c>
    </row>
    <row r="1676" spans="1:19" x14ac:dyDescent="0.25">
      <c r="A1676" s="66">
        <v>40620</v>
      </c>
      <c r="B1676" s="51">
        <f>YEAR(Table1[[#This Row],[Date]])</f>
        <v>2011</v>
      </c>
      <c r="C1676" s="1">
        <v>1</v>
      </c>
      <c r="D1676" t="s">
        <v>49</v>
      </c>
      <c r="E1676" s="1">
        <v>3</v>
      </c>
      <c r="F1676" t="s">
        <v>86</v>
      </c>
      <c r="G1676" t="str">
        <f>VLOOKUP(Table1[[#This Row],[Winner]],Ranking!C:D,2,FALSE)</f>
        <v>ACC</v>
      </c>
      <c r="H1676" s="1">
        <v>77</v>
      </c>
      <c r="I1676" s="1">
        <v>14</v>
      </c>
      <c r="J1676" t="s">
        <v>235</v>
      </c>
      <c r="K1676" t="str">
        <f>VLOOKUP(Table1[[#This Row],[Loser]],Ranking!C:D,2,FALSE)</f>
        <v>MVC</v>
      </c>
      <c r="L1676" s="1">
        <v>60</v>
      </c>
      <c r="N1676" s="1">
        <f>Table1[[#This Row],[Winning Score]]-Table1[[#This Row],[Losing Score]]</f>
        <v>17</v>
      </c>
      <c r="O1676" s="1">
        <f>Table1[[#This Row],[Losing Seed]]-Table1[[#This Row],[Winning Seed]]</f>
        <v>11</v>
      </c>
      <c r="P1676" s="1" t="str">
        <f>IF(Table1[[#This Row],[SeD]]&lt;-2,Table1[[#This Row],[Winning Seed]]&amp; " over " &amp;Table1[[#This Row],[Losing Seed]],"")</f>
        <v/>
      </c>
      <c r="Q1676">
        <f>VLOOKUP(Table1[[#This Row],[Losing Seed]],'Seed History'!$N$4:$O$19,2)</f>
        <v>0.16666666666666666</v>
      </c>
      <c r="R1676" s="1">
        <f>IF(Table1[[#This Row],[Round]]="PI",0,Table1[[#This Row],[Round]]-1)</f>
        <v>0</v>
      </c>
      <c r="S1676">
        <f>Table1[[#This Row],[LAW]]-Table1[[#This Row],[LEW]]</f>
        <v>-0.16666666666666666</v>
      </c>
    </row>
    <row r="1677" spans="1:19" x14ac:dyDescent="0.25">
      <c r="A1677" s="66">
        <v>40620</v>
      </c>
      <c r="B1677" s="51">
        <f>YEAR(Table1[[#This Row],[Date]])</f>
        <v>2011</v>
      </c>
      <c r="C1677" s="1">
        <v>1</v>
      </c>
      <c r="D1677" t="s">
        <v>49</v>
      </c>
      <c r="E1677" s="1">
        <v>7</v>
      </c>
      <c r="F1677" t="s">
        <v>409</v>
      </c>
      <c r="G1677" t="str">
        <f>VLOOKUP(Table1[[#This Row],[Winner]],Ranking!C:D,2,FALSE)</f>
        <v>P12</v>
      </c>
      <c r="H1677" s="1">
        <v>68</v>
      </c>
      <c r="I1677" s="1">
        <v>10</v>
      </c>
      <c r="J1677" t="s">
        <v>60</v>
      </c>
      <c r="K1677" t="str">
        <f>VLOOKUP(Table1[[#This Row],[Loser]],Ranking!C:D,2,FALSE)</f>
        <v>SEC</v>
      </c>
      <c r="L1677" s="1">
        <v>65</v>
      </c>
      <c r="N1677" s="1">
        <f>Table1[[#This Row],[Winning Score]]-Table1[[#This Row],[Losing Score]]</f>
        <v>3</v>
      </c>
      <c r="O1677" s="1">
        <f>Table1[[#This Row],[Losing Seed]]-Table1[[#This Row],[Winning Seed]]</f>
        <v>3</v>
      </c>
      <c r="P1677" s="1" t="str">
        <f>IF(Table1[[#This Row],[SeD]]&lt;-2,Table1[[#This Row],[Winning Seed]]&amp; " over " &amp;Table1[[#This Row],[Losing Seed]],"")</f>
        <v/>
      </c>
      <c r="Q1677">
        <f>VLOOKUP(Table1[[#This Row],[Losing Seed]],'Seed History'!$N$4:$O$19,2)</f>
        <v>0.61805555555555558</v>
      </c>
      <c r="R1677" s="1">
        <f>IF(Table1[[#This Row],[Round]]="PI",0,Table1[[#This Row],[Round]]-1)</f>
        <v>0</v>
      </c>
      <c r="S1677">
        <f>Table1[[#This Row],[LAW]]-Table1[[#This Row],[LEW]]</f>
        <v>-0.61805555555555558</v>
      </c>
    </row>
    <row r="1678" spans="1:19" x14ac:dyDescent="0.25">
      <c r="A1678" s="66">
        <v>40620</v>
      </c>
      <c r="B1678" s="51">
        <f>YEAR(Table1[[#This Row],[Date]])</f>
        <v>2011</v>
      </c>
      <c r="C1678" s="1">
        <v>1</v>
      </c>
      <c r="D1678" t="s">
        <v>49</v>
      </c>
      <c r="E1678" s="1">
        <v>8</v>
      </c>
      <c r="F1678" t="s">
        <v>212</v>
      </c>
      <c r="G1678" t="str">
        <f>VLOOKUP(Table1[[#This Row],[Winner]],Ranking!C:D,2,FALSE)</f>
        <v>A10</v>
      </c>
      <c r="H1678" s="1">
        <v>61</v>
      </c>
      <c r="I1678" s="1">
        <v>9</v>
      </c>
      <c r="J1678" t="s">
        <v>50</v>
      </c>
      <c r="K1678" t="str">
        <f>VLOOKUP(Table1[[#This Row],[Loser]],Ranking!C:D,2,FALSE)</f>
        <v>BE</v>
      </c>
      <c r="L1678" s="1">
        <v>57</v>
      </c>
      <c r="N1678" s="1">
        <f>Table1[[#This Row],[Winning Score]]-Table1[[#This Row],[Losing Score]]</f>
        <v>4</v>
      </c>
      <c r="O1678" s="1">
        <f>Table1[[#This Row],[Losing Seed]]-Table1[[#This Row],[Winning Seed]]</f>
        <v>1</v>
      </c>
      <c r="P1678" s="1" t="str">
        <f>IF(Table1[[#This Row],[SeD]]&lt;-2,Table1[[#This Row],[Winning Seed]]&amp; " over " &amp;Table1[[#This Row],[Losing Seed]],"")</f>
        <v/>
      </c>
      <c r="Q1678">
        <f>VLOOKUP(Table1[[#This Row],[Losing Seed]],'Seed History'!$N$4:$O$19,2)</f>
        <v>0.59027777777777779</v>
      </c>
      <c r="R1678" s="1">
        <f>IF(Table1[[#This Row],[Round]]="PI",0,Table1[[#This Row],[Round]]-1)</f>
        <v>0</v>
      </c>
      <c r="S1678">
        <f>Table1[[#This Row],[LAW]]-Table1[[#This Row],[LEW]]</f>
        <v>-0.59027777777777779</v>
      </c>
    </row>
    <row r="1679" spans="1:19" x14ac:dyDescent="0.25">
      <c r="A1679" s="66">
        <v>40620</v>
      </c>
      <c r="B1679" s="51">
        <f>YEAR(Table1[[#This Row],[Date]])</f>
        <v>2011</v>
      </c>
      <c r="C1679" s="1">
        <v>1</v>
      </c>
      <c r="D1679" t="s">
        <v>465</v>
      </c>
      <c r="E1679" s="1">
        <v>1</v>
      </c>
      <c r="F1679" t="s">
        <v>37</v>
      </c>
      <c r="G1679" t="str">
        <f>VLOOKUP(Table1[[#This Row],[Winner]],Ranking!C:D,2,FALSE)</f>
        <v>B12</v>
      </c>
      <c r="H1679" s="1">
        <v>72</v>
      </c>
      <c r="I1679" s="1">
        <v>16</v>
      </c>
      <c r="J1679" t="s">
        <v>140</v>
      </c>
      <c r="K1679" t="str">
        <f>VLOOKUP(Table1[[#This Row],[Loser]],Ranking!C:D,2,FALSE)</f>
        <v>Pat</v>
      </c>
      <c r="L1679" s="1">
        <v>53</v>
      </c>
      <c r="N1679" s="1">
        <f>Table1[[#This Row],[Winning Score]]-Table1[[#This Row],[Losing Score]]</f>
        <v>19</v>
      </c>
      <c r="O1679" s="1">
        <f>Table1[[#This Row],[Losing Seed]]-Table1[[#This Row],[Winning Seed]]</f>
        <v>15</v>
      </c>
      <c r="P1679" s="1" t="str">
        <f>IF(Table1[[#This Row],[SeD]]&lt;-2,Table1[[#This Row],[Winning Seed]]&amp; " over " &amp;Table1[[#This Row],[Losing Seed]],"")</f>
        <v/>
      </c>
      <c r="Q1679">
        <f>VLOOKUP(Table1[[#This Row],[Losing Seed]],'Seed History'!$N$4:$O$19,2)</f>
        <v>6.9444444444444441E-3</v>
      </c>
      <c r="R1679" s="1">
        <f>IF(Table1[[#This Row],[Round]]="PI",0,Table1[[#This Row],[Round]]-1)</f>
        <v>0</v>
      </c>
      <c r="S1679">
        <f>Table1[[#This Row],[LAW]]-Table1[[#This Row],[LEW]]</f>
        <v>-6.9444444444444441E-3</v>
      </c>
    </row>
    <row r="1680" spans="1:19" x14ac:dyDescent="0.25">
      <c r="A1680" s="66">
        <v>40620</v>
      </c>
      <c r="B1680" s="51">
        <f>YEAR(Table1[[#This Row],[Date]])</f>
        <v>2011</v>
      </c>
      <c r="C1680" s="1">
        <v>1</v>
      </c>
      <c r="D1680" t="s">
        <v>465</v>
      </c>
      <c r="E1680" s="1">
        <v>2</v>
      </c>
      <c r="F1680" t="s">
        <v>35</v>
      </c>
      <c r="G1680" t="str">
        <f>VLOOKUP(Table1[[#This Row],[Winner]],Ranking!C:D,2,FALSE)</f>
        <v>ACC</v>
      </c>
      <c r="H1680" s="1">
        <v>69</v>
      </c>
      <c r="I1680" s="1">
        <v>15</v>
      </c>
      <c r="J1680" t="s">
        <v>111</v>
      </c>
      <c r="K1680" t="str">
        <f>VLOOKUP(Table1[[#This Row],[Loser]],Ranking!C:D,2,FALSE)</f>
        <v>MAC</v>
      </c>
      <c r="L1680" s="1">
        <v>56</v>
      </c>
      <c r="N1680" s="1">
        <f>Table1[[#This Row],[Winning Score]]-Table1[[#This Row],[Losing Score]]</f>
        <v>13</v>
      </c>
      <c r="O1680" s="1">
        <f>Table1[[#This Row],[Losing Seed]]-Table1[[#This Row],[Winning Seed]]</f>
        <v>13</v>
      </c>
      <c r="P1680" s="1" t="str">
        <f>IF(Table1[[#This Row],[SeD]]&lt;-2,Table1[[#This Row],[Winning Seed]]&amp; " over " &amp;Table1[[#This Row],[Losing Seed]],"")</f>
        <v/>
      </c>
      <c r="Q1680">
        <f>VLOOKUP(Table1[[#This Row],[Losing Seed]],'Seed History'!$N$4:$O$19,2)</f>
        <v>7.6388888888888895E-2</v>
      </c>
      <c r="R1680" s="1">
        <f>IF(Table1[[#This Row],[Round]]="PI",0,Table1[[#This Row],[Round]]-1)</f>
        <v>0</v>
      </c>
      <c r="S1680">
        <f>Table1[[#This Row],[LAW]]-Table1[[#This Row],[LEW]]</f>
        <v>-7.6388888888888895E-2</v>
      </c>
    </row>
    <row r="1681" spans="1:19" x14ac:dyDescent="0.25">
      <c r="A1681" s="66">
        <v>40620</v>
      </c>
      <c r="B1681" s="51">
        <f>YEAR(Table1[[#This Row],[Date]])</f>
        <v>2011</v>
      </c>
      <c r="C1681" s="1">
        <v>1</v>
      </c>
      <c r="D1681" t="s">
        <v>465</v>
      </c>
      <c r="E1681" s="1">
        <v>3</v>
      </c>
      <c r="F1681" t="s">
        <v>29</v>
      </c>
      <c r="G1681" t="str">
        <f>VLOOKUP(Table1[[#This Row],[Winner]],Ranking!C:D,2,FALSE)</f>
        <v>B10</v>
      </c>
      <c r="H1681" s="1">
        <v>65</v>
      </c>
      <c r="I1681" s="1">
        <v>14</v>
      </c>
      <c r="J1681" t="s">
        <v>340</v>
      </c>
      <c r="K1681" t="str">
        <f>VLOOKUP(Table1[[#This Row],[Loser]],Ranking!C:D,2,FALSE)</f>
        <v>MAAC</v>
      </c>
      <c r="L1681" s="1">
        <v>43</v>
      </c>
      <c r="N1681" s="1">
        <f>Table1[[#This Row],[Winning Score]]-Table1[[#This Row],[Losing Score]]</f>
        <v>22</v>
      </c>
      <c r="O1681" s="1">
        <f>Table1[[#This Row],[Losing Seed]]-Table1[[#This Row],[Winning Seed]]</f>
        <v>11</v>
      </c>
      <c r="P1681" s="1" t="str">
        <f>IF(Table1[[#This Row],[SeD]]&lt;-2,Table1[[#This Row],[Winning Seed]]&amp; " over " &amp;Table1[[#This Row],[Losing Seed]],"")</f>
        <v/>
      </c>
      <c r="Q1681">
        <f>VLOOKUP(Table1[[#This Row],[Losing Seed]],'Seed History'!$N$4:$O$19,2)</f>
        <v>0.16666666666666666</v>
      </c>
      <c r="R1681" s="1">
        <f>IF(Table1[[#This Row],[Round]]="PI",0,Table1[[#This Row],[Round]]-1)</f>
        <v>0</v>
      </c>
      <c r="S1681">
        <f>Table1[[#This Row],[LAW]]-Table1[[#This Row],[LEW]]</f>
        <v>-0.16666666666666666</v>
      </c>
    </row>
    <row r="1682" spans="1:19" x14ac:dyDescent="0.25">
      <c r="A1682" s="66">
        <v>40620</v>
      </c>
      <c r="B1682" s="51">
        <f>YEAR(Table1[[#This Row],[Date]])</f>
        <v>2011</v>
      </c>
      <c r="C1682" s="1">
        <v>1</v>
      </c>
      <c r="D1682" t="s">
        <v>38</v>
      </c>
      <c r="E1682" s="1">
        <v>1</v>
      </c>
      <c r="F1682" t="s">
        <v>64</v>
      </c>
      <c r="G1682" t="str">
        <f>VLOOKUP(Table1[[#This Row],[Winner]],Ranking!C:D,2,FALSE)</f>
        <v>ACC</v>
      </c>
      <c r="H1682" s="1">
        <v>87</v>
      </c>
      <c r="I1682" s="1">
        <v>16</v>
      </c>
      <c r="J1682" t="s">
        <v>27</v>
      </c>
      <c r="K1682" t="str">
        <f>VLOOKUP(Table1[[#This Row],[Loser]],Ranking!C:D,2,FALSE)</f>
        <v>BSth</v>
      </c>
      <c r="L1682" s="1">
        <v>45</v>
      </c>
      <c r="N1682" s="1">
        <f>Table1[[#This Row],[Winning Score]]-Table1[[#This Row],[Losing Score]]</f>
        <v>42</v>
      </c>
      <c r="O1682" s="1">
        <f>Table1[[#This Row],[Losing Seed]]-Table1[[#This Row],[Winning Seed]]</f>
        <v>15</v>
      </c>
      <c r="P1682" s="1" t="str">
        <f>IF(Table1[[#This Row],[SeD]]&lt;-2,Table1[[#This Row],[Winning Seed]]&amp; " over " &amp;Table1[[#This Row],[Losing Seed]],"")</f>
        <v/>
      </c>
      <c r="Q1682">
        <f>VLOOKUP(Table1[[#This Row],[Losing Seed]],'Seed History'!$N$4:$O$19,2)</f>
        <v>6.9444444444444441E-3</v>
      </c>
      <c r="R1682" s="1">
        <f>IF(Table1[[#This Row],[Round]]="PI",0,Table1[[#This Row],[Round]]-1)</f>
        <v>0</v>
      </c>
      <c r="S1682">
        <f>Table1[[#This Row],[LAW]]-Table1[[#This Row],[LEW]]</f>
        <v>-6.9444444444444441E-3</v>
      </c>
    </row>
    <row r="1683" spans="1:19" x14ac:dyDescent="0.25">
      <c r="A1683" s="66">
        <v>40620</v>
      </c>
      <c r="B1683" s="51">
        <f>YEAR(Table1[[#This Row],[Date]])</f>
        <v>2011</v>
      </c>
      <c r="C1683" s="1">
        <v>1</v>
      </c>
      <c r="D1683" t="s">
        <v>38</v>
      </c>
      <c r="E1683" s="1">
        <v>4</v>
      </c>
      <c r="F1683" t="s">
        <v>34</v>
      </c>
      <c r="G1683" t="str">
        <f>VLOOKUP(Table1[[#This Row],[Winner]],Ranking!C:D,2,FALSE)</f>
        <v>B12</v>
      </c>
      <c r="H1683" s="1">
        <v>85</v>
      </c>
      <c r="I1683" s="1">
        <v>13</v>
      </c>
      <c r="J1683" t="s">
        <v>313</v>
      </c>
      <c r="K1683" t="str">
        <f>VLOOKUP(Table1[[#This Row],[Loser]],Ranking!C:D,2,FALSE)</f>
        <v>Horz</v>
      </c>
      <c r="L1683" s="1">
        <v>81</v>
      </c>
      <c r="N1683" s="1">
        <f>Table1[[#This Row],[Winning Score]]-Table1[[#This Row],[Losing Score]]</f>
        <v>4</v>
      </c>
      <c r="O1683" s="1">
        <f>Table1[[#This Row],[Losing Seed]]-Table1[[#This Row],[Winning Seed]]</f>
        <v>9</v>
      </c>
      <c r="P1683" s="1" t="str">
        <f>IF(Table1[[#This Row],[SeD]]&lt;-2,Table1[[#This Row],[Winning Seed]]&amp; " over " &amp;Table1[[#This Row],[Losing Seed]],"")</f>
        <v/>
      </c>
      <c r="Q1683">
        <f>VLOOKUP(Table1[[#This Row],[Losing Seed]],'Seed History'!$N$4:$O$19,2)</f>
        <v>0.25694444444444442</v>
      </c>
      <c r="R1683" s="1">
        <f>IF(Table1[[#This Row],[Round]]="PI",0,Table1[[#This Row],[Round]]-1)</f>
        <v>0</v>
      </c>
      <c r="S1683">
        <f>Table1[[#This Row],[LAW]]-Table1[[#This Row],[LEW]]</f>
        <v>-0.25694444444444442</v>
      </c>
    </row>
    <row r="1684" spans="1:19" x14ac:dyDescent="0.25">
      <c r="A1684" s="66">
        <v>40620</v>
      </c>
      <c r="B1684" s="51">
        <f>YEAR(Table1[[#This Row],[Date]])</f>
        <v>2011</v>
      </c>
      <c r="C1684" s="1">
        <v>1</v>
      </c>
      <c r="D1684" t="s">
        <v>38</v>
      </c>
      <c r="E1684" s="1">
        <v>8</v>
      </c>
      <c r="F1684" t="s">
        <v>82</v>
      </c>
      <c r="G1684" t="str">
        <f>VLOOKUP(Table1[[#This Row],[Winner]],Ranking!C:D,2,FALSE)</f>
        <v>B10</v>
      </c>
      <c r="H1684" s="1">
        <v>75</v>
      </c>
      <c r="I1684" s="1">
        <v>9</v>
      </c>
      <c r="J1684" t="s">
        <v>374</v>
      </c>
      <c r="K1684" t="str">
        <f>VLOOKUP(Table1[[#This Row],[Loser]],Ranking!C:D,2,FALSE)</f>
        <v>SEC</v>
      </c>
      <c r="L1684" s="1">
        <v>45</v>
      </c>
      <c r="N1684" s="1">
        <f>Table1[[#This Row],[Winning Score]]-Table1[[#This Row],[Losing Score]]</f>
        <v>30</v>
      </c>
      <c r="O1684" s="1">
        <f>Table1[[#This Row],[Losing Seed]]-Table1[[#This Row],[Winning Seed]]</f>
        <v>1</v>
      </c>
      <c r="P1684" s="1" t="str">
        <f>IF(Table1[[#This Row],[SeD]]&lt;-2,Table1[[#This Row],[Winning Seed]]&amp; " over " &amp;Table1[[#This Row],[Losing Seed]],"")</f>
        <v/>
      </c>
      <c r="Q1684">
        <f>VLOOKUP(Table1[[#This Row],[Losing Seed]],'Seed History'!$N$4:$O$19,2)</f>
        <v>0.59027777777777779</v>
      </c>
      <c r="R1684" s="1">
        <f>IF(Table1[[#This Row],[Round]]="PI",0,Table1[[#This Row],[Round]]-1)</f>
        <v>0</v>
      </c>
      <c r="S1684">
        <f>Table1[[#This Row],[LAW]]-Table1[[#This Row],[LEW]]</f>
        <v>-0.59027777777777779</v>
      </c>
    </row>
    <row r="1685" spans="1:19" x14ac:dyDescent="0.25">
      <c r="A1685" s="66">
        <v>40620</v>
      </c>
      <c r="B1685" s="51">
        <f>YEAR(Table1[[#This Row],[Date]])</f>
        <v>2011</v>
      </c>
      <c r="C1685" s="1">
        <v>1</v>
      </c>
      <c r="D1685" t="s">
        <v>465</v>
      </c>
      <c r="E1685" s="1">
        <v>9</v>
      </c>
      <c r="F1685" t="s">
        <v>230</v>
      </c>
      <c r="G1685" t="str">
        <f>VLOOKUP(Table1[[#This Row],[Winner]],Ranking!C:D,2,FALSE)</f>
        <v>B10</v>
      </c>
      <c r="H1685" s="1">
        <v>73</v>
      </c>
      <c r="I1685" s="1">
        <v>8</v>
      </c>
      <c r="J1685" t="s">
        <v>396</v>
      </c>
      <c r="K1685" t="str">
        <f>VLOOKUP(Table1[[#This Row],[Loser]],Ranking!C:D,2,FALSE)</f>
        <v>MWC</v>
      </c>
      <c r="L1685" s="1">
        <v>62</v>
      </c>
      <c r="N1685" s="1">
        <f>Table1[[#This Row],[Winning Score]]-Table1[[#This Row],[Losing Score]]</f>
        <v>11</v>
      </c>
      <c r="O1685" s="1">
        <f>Table1[[#This Row],[Losing Seed]]-Table1[[#This Row],[Winning Seed]]</f>
        <v>-1</v>
      </c>
      <c r="P1685" s="1" t="str">
        <f>IF(Table1[[#This Row],[SeD]]&lt;-2,Table1[[#This Row],[Winning Seed]]&amp; " over " &amp;Table1[[#This Row],[Losing Seed]],"")</f>
        <v/>
      </c>
      <c r="Q1685">
        <f>VLOOKUP(Table1[[#This Row],[Losing Seed]],'Seed History'!$N$4:$O$19,2)</f>
        <v>0.70833333333333337</v>
      </c>
      <c r="R1685" s="1">
        <f>IF(Table1[[#This Row],[Round]]="PI",0,Table1[[#This Row],[Round]]-1)</f>
        <v>0</v>
      </c>
      <c r="S1685">
        <f>Table1[[#This Row],[LAW]]-Table1[[#This Row],[LEW]]</f>
        <v>-0.70833333333333337</v>
      </c>
    </row>
    <row r="1686" spans="1:19" x14ac:dyDescent="0.25">
      <c r="A1686" s="66">
        <v>40621</v>
      </c>
      <c r="B1686" s="51">
        <f>YEAR(Table1[[#This Row],[Date]])</f>
        <v>2011</v>
      </c>
      <c r="C1686" s="1">
        <v>2</v>
      </c>
      <c r="D1686" t="s">
        <v>461</v>
      </c>
      <c r="E1686" s="1">
        <v>8</v>
      </c>
      <c r="F1686" t="s">
        <v>33</v>
      </c>
      <c r="G1686" t="str">
        <f>VLOOKUP(Table1[[#This Row],[Winner]],Ranking!C:D,2,FALSE)</f>
        <v>BE</v>
      </c>
      <c r="H1686" s="1">
        <v>71</v>
      </c>
      <c r="I1686" s="1">
        <v>1</v>
      </c>
      <c r="J1686" t="s">
        <v>83</v>
      </c>
      <c r="K1686" t="str">
        <f>VLOOKUP(Table1[[#This Row],[Loser]],Ranking!C:D,2,FALSE)</f>
        <v>ACC</v>
      </c>
      <c r="L1686" s="1">
        <v>70</v>
      </c>
      <c r="N1686" s="1">
        <f>Table1[[#This Row],[Winning Score]]-Table1[[#This Row],[Losing Score]]</f>
        <v>1</v>
      </c>
      <c r="O1686" s="1">
        <f>Table1[[#This Row],[Losing Seed]]-Table1[[#This Row],[Winning Seed]]</f>
        <v>-7</v>
      </c>
      <c r="P1686" s="1" t="str">
        <f>IF(Table1[[#This Row],[SeD]]&lt;-2,Table1[[#This Row],[Winning Seed]]&amp; " over " &amp;Table1[[#This Row],[Losing Seed]],"")</f>
        <v>8 over 1</v>
      </c>
      <c r="Q1686">
        <f>VLOOKUP(Table1[[#This Row],[Losing Seed]],'Seed History'!$N$4:$O$19,2)</f>
        <v>3.3263888888888888</v>
      </c>
      <c r="R1686" s="1">
        <f>IF(Table1[[#This Row],[Round]]="PI",0,Table1[[#This Row],[Round]]-1)</f>
        <v>1</v>
      </c>
      <c r="S1686">
        <f>Table1[[#This Row],[LAW]]-Table1[[#This Row],[LEW]]</f>
        <v>-2.3263888888888888</v>
      </c>
    </row>
    <row r="1687" spans="1:19" x14ac:dyDescent="0.25">
      <c r="A1687" s="66">
        <v>40621</v>
      </c>
      <c r="B1687" s="51">
        <f>YEAR(Table1[[#This Row],[Date]])</f>
        <v>2011</v>
      </c>
      <c r="C1687" s="1">
        <v>2</v>
      </c>
      <c r="D1687" t="s">
        <v>49</v>
      </c>
      <c r="E1687" s="1">
        <v>4</v>
      </c>
      <c r="F1687" t="s">
        <v>26</v>
      </c>
      <c r="G1687" t="str">
        <f>VLOOKUP(Table1[[#This Row],[Winner]],Ranking!C:D,2,FALSE)</f>
        <v>SEC</v>
      </c>
      <c r="H1687" s="1">
        <v>71</v>
      </c>
      <c r="I1687" s="1">
        <v>5</v>
      </c>
      <c r="J1687" t="s">
        <v>412</v>
      </c>
      <c r="K1687" t="str">
        <f>VLOOKUP(Table1[[#This Row],[Loser]],Ranking!C:D,2,FALSE)</f>
        <v>B12</v>
      </c>
      <c r="L1687" s="1">
        <v>63</v>
      </c>
      <c r="N1687" s="1">
        <f>Table1[[#This Row],[Winning Score]]-Table1[[#This Row],[Losing Score]]</f>
        <v>8</v>
      </c>
      <c r="O1687" s="1">
        <f>Table1[[#This Row],[Losing Seed]]-Table1[[#This Row],[Winning Seed]]</f>
        <v>1</v>
      </c>
      <c r="P1687" s="1" t="str">
        <f>IF(Table1[[#This Row],[SeD]]&lt;-2,Table1[[#This Row],[Winning Seed]]&amp; " over " &amp;Table1[[#This Row],[Losing Seed]],"")</f>
        <v/>
      </c>
      <c r="Q1687">
        <f>VLOOKUP(Table1[[#This Row],[Losing Seed]],'Seed History'!$N$4:$O$19,2)</f>
        <v>1.1180555555555556</v>
      </c>
      <c r="R1687" s="1">
        <f>IF(Table1[[#This Row],[Round]]="PI",0,Table1[[#This Row],[Round]]-1)</f>
        <v>1</v>
      </c>
      <c r="S1687">
        <f>Table1[[#This Row],[LAW]]-Table1[[#This Row],[LEW]]</f>
        <v>-0.11805555555555558</v>
      </c>
    </row>
    <row r="1688" spans="1:19" x14ac:dyDescent="0.25">
      <c r="A1688" s="66">
        <v>40621</v>
      </c>
      <c r="B1688" s="51">
        <f>YEAR(Table1[[#This Row],[Date]])</f>
        <v>2011</v>
      </c>
      <c r="C1688" s="1">
        <v>2</v>
      </c>
      <c r="D1688" t="s">
        <v>461</v>
      </c>
      <c r="E1688" s="1">
        <v>2</v>
      </c>
      <c r="F1688" t="s">
        <v>81</v>
      </c>
      <c r="G1688" t="str">
        <f>VLOOKUP(Table1[[#This Row],[Winner]],Ranking!C:D,2,FALSE)</f>
        <v>SEC</v>
      </c>
      <c r="H1688" s="1">
        <v>73</v>
      </c>
      <c r="I1688" s="1">
        <v>7</v>
      </c>
      <c r="J1688" t="s">
        <v>67</v>
      </c>
      <c r="K1688" t="str">
        <f>VLOOKUP(Table1[[#This Row],[Loser]],Ranking!C:D,2,FALSE)</f>
        <v>P12</v>
      </c>
      <c r="L1688" s="1">
        <v>65</v>
      </c>
      <c r="N1688" s="1">
        <f>Table1[[#This Row],[Winning Score]]-Table1[[#This Row],[Losing Score]]</f>
        <v>8</v>
      </c>
      <c r="O1688" s="1">
        <f>Table1[[#This Row],[Losing Seed]]-Table1[[#This Row],[Winning Seed]]</f>
        <v>5</v>
      </c>
      <c r="P1688" s="1" t="str">
        <f>IF(Table1[[#This Row],[SeD]]&lt;-2,Table1[[#This Row],[Winning Seed]]&amp; " over " &amp;Table1[[#This Row],[Losing Seed]],"")</f>
        <v/>
      </c>
      <c r="Q1688">
        <f>VLOOKUP(Table1[[#This Row],[Losing Seed]],'Seed History'!$N$4:$O$19,2)</f>
        <v>0.90277777777777779</v>
      </c>
      <c r="R1688" s="1">
        <f>IF(Table1[[#This Row],[Round]]="PI",0,Table1[[#This Row],[Round]]-1)</f>
        <v>1</v>
      </c>
      <c r="S1688">
        <f>Table1[[#This Row],[LAW]]-Table1[[#This Row],[LEW]]</f>
        <v>9.722222222222221E-2</v>
      </c>
    </row>
    <row r="1689" spans="1:19" x14ac:dyDescent="0.25">
      <c r="A1689" s="66">
        <v>40621</v>
      </c>
      <c r="B1689" s="51">
        <f>YEAR(Table1[[#This Row],[Date]])</f>
        <v>2011</v>
      </c>
      <c r="C1689" s="1">
        <v>2</v>
      </c>
      <c r="D1689" t="s">
        <v>461</v>
      </c>
      <c r="E1689" s="1">
        <v>3</v>
      </c>
      <c r="F1689" t="s">
        <v>72</v>
      </c>
      <c r="G1689" t="str">
        <f>VLOOKUP(Table1[[#This Row],[Winner]],Ranking!C:D,2,FALSE)</f>
        <v>WCC</v>
      </c>
      <c r="H1689" s="1">
        <v>89</v>
      </c>
      <c r="I1689" s="1">
        <v>11</v>
      </c>
      <c r="J1689" t="s">
        <v>71</v>
      </c>
      <c r="K1689" t="str">
        <f>VLOOKUP(Table1[[#This Row],[Loser]],Ranking!C:D,2,FALSE)</f>
        <v>WCC</v>
      </c>
      <c r="L1689" s="1">
        <v>67</v>
      </c>
      <c r="N1689" s="1">
        <f>Table1[[#This Row],[Winning Score]]-Table1[[#This Row],[Losing Score]]</f>
        <v>22</v>
      </c>
      <c r="O1689" s="1">
        <f>Table1[[#This Row],[Losing Seed]]-Table1[[#This Row],[Winning Seed]]</f>
        <v>8</v>
      </c>
      <c r="P1689" s="1" t="str">
        <f>IF(Table1[[#This Row],[SeD]]&lt;-2,Table1[[#This Row],[Winning Seed]]&amp; " over " &amp;Table1[[#This Row],[Losing Seed]],"")</f>
        <v/>
      </c>
      <c r="Q1689">
        <f>VLOOKUP(Table1[[#This Row],[Losing Seed]],'Seed History'!$N$4:$O$19,2)</f>
        <v>0.63194444444444442</v>
      </c>
      <c r="R1689" s="1">
        <f>IF(Table1[[#This Row],[Round]]="PI",0,Table1[[#This Row],[Round]]-1)</f>
        <v>1</v>
      </c>
      <c r="S1689">
        <f>Table1[[#This Row],[LAW]]-Table1[[#This Row],[LEW]]</f>
        <v>0.36805555555555558</v>
      </c>
    </row>
    <row r="1690" spans="1:19" x14ac:dyDescent="0.25">
      <c r="A1690" s="66">
        <v>40621</v>
      </c>
      <c r="B1690" s="51">
        <f>YEAR(Table1[[#This Row],[Date]])</f>
        <v>2011</v>
      </c>
      <c r="C1690" s="1">
        <v>2</v>
      </c>
      <c r="D1690" t="s">
        <v>461</v>
      </c>
      <c r="E1690" s="1">
        <v>4</v>
      </c>
      <c r="F1690" t="s">
        <v>39</v>
      </c>
      <c r="G1690" t="str">
        <f>VLOOKUP(Table1[[#This Row],[Winner]],Ranking!C:D,2,FALSE)</f>
        <v>B10</v>
      </c>
      <c r="H1690" s="1">
        <v>70</v>
      </c>
      <c r="I1690" s="1">
        <v>5</v>
      </c>
      <c r="J1690" t="s">
        <v>243</v>
      </c>
      <c r="K1690" t="str">
        <f>VLOOKUP(Table1[[#This Row],[Loser]],Ranking!C:D,2,FALSE)</f>
        <v>B12</v>
      </c>
      <c r="L1690" s="1">
        <v>65</v>
      </c>
      <c r="N1690" s="1">
        <f>Table1[[#This Row],[Winning Score]]-Table1[[#This Row],[Losing Score]]</f>
        <v>5</v>
      </c>
      <c r="O1690" s="1">
        <f>Table1[[#This Row],[Losing Seed]]-Table1[[#This Row],[Winning Seed]]</f>
        <v>1</v>
      </c>
      <c r="P1690" s="1" t="str">
        <f>IF(Table1[[#This Row],[SeD]]&lt;-2,Table1[[#This Row],[Winning Seed]]&amp; " over " &amp;Table1[[#This Row],[Losing Seed]],"")</f>
        <v/>
      </c>
      <c r="Q1690">
        <f>VLOOKUP(Table1[[#This Row],[Losing Seed]],'Seed History'!$N$4:$O$19,2)</f>
        <v>1.1180555555555556</v>
      </c>
      <c r="R1690" s="1">
        <f>IF(Table1[[#This Row],[Round]]="PI",0,Table1[[#This Row],[Round]]-1)</f>
        <v>1</v>
      </c>
      <c r="S1690">
        <f>Table1[[#This Row],[LAW]]-Table1[[#This Row],[LEW]]</f>
        <v>-0.11805555555555558</v>
      </c>
    </row>
    <row r="1691" spans="1:19" x14ac:dyDescent="0.25">
      <c r="A1691" s="66">
        <v>40621</v>
      </c>
      <c r="B1691" s="51">
        <f>YEAR(Table1[[#This Row],[Date]])</f>
        <v>2011</v>
      </c>
      <c r="C1691" s="1">
        <v>2</v>
      </c>
      <c r="D1691" t="s">
        <v>465</v>
      </c>
      <c r="E1691" s="1">
        <v>12</v>
      </c>
      <c r="F1691" t="s">
        <v>331</v>
      </c>
      <c r="G1691" t="str">
        <f>VLOOKUP(Table1[[#This Row],[Winner]],Ranking!C:D,2,FALSE)</f>
        <v>A10</v>
      </c>
      <c r="H1691" s="1">
        <v>65</v>
      </c>
      <c r="I1691" s="1">
        <v>13</v>
      </c>
      <c r="J1691" t="s">
        <v>282</v>
      </c>
      <c r="K1691" t="str">
        <f>VLOOKUP(Table1[[#This Row],[Loser]],Ranking!C:D,2,FALSE)</f>
        <v>OVC</v>
      </c>
      <c r="L1691" s="1">
        <v>48</v>
      </c>
      <c r="N1691" s="1">
        <f>Table1[[#This Row],[Winning Score]]-Table1[[#This Row],[Losing Score]]</f>
        <v>17</v>
      </c>
      <c r="O1691" s="1">
        <f>Table1[[#This Row],[Losing Seed]]-Table1[[#This Row],[Winning Seed]]</f>
        <v>1</v>
      </c>
      <c r="P1691" s="1" t="str">
        <f>IF(Table1[[#This Row],[SeD]]&lt;-2,Table1[[#This Row],[Winning Seed]]&amp; " over " &amp;Table1[[#This Row],[Losing Seed]],"")</f>
        <v/>
      </c>
      <c r="Q1691">
        <f>VLOOKUP(Table1[[#This Row],[Losing Seed]],'Seed History'!$N$4:$O$19,2)</f>
        <v>0.25694444444444442</v>
      </c>
      <c r="R1691" s="1">
        <f>IF(Table1[[#This Row],[Round]]="PI",0,Table1[[#This Row],[Round]]-1)</f>
        <v>1</v>
      </c>
      <c r="S1691">
        <f>Table1[[#This Row],[LAW]]-Table1[[#This Row],[LEW]]</f>
        <v>0.74305555555555558</v>
      </c>
    </row>
    <row r="1692" spans="1:19" x14ac:dyDescent="0.25">
      <c r="A1692" s="66">
        <v>40621</v>
      </c>
      <c r="B1692" s="51">
        <f>YEAR(Table1[[#This Row],[Date]])</f>
        <v>2011</v>
      </c>
      <c r="C1692" s="1">
        <v>2</v>
      </c>
      <c r="D1692" t="s">
        <v>38</v>
      </c>
      <c r="E1692" s="1">
        <v>2</v>
      </c>
      <c r="F1692" t="s">
        <v>344</v>
      </c>
      <c r="G1692" t="str">
        <f>VLOOKUP(Table1[[#This Row],[Winner]],Ranking!C:D,2,FALSE)</f>
        <v>MWC</v>
      </c>
      <c r="H1692" s="1">
        <v>71</v>
      </c>
      <c r="I1692" s="1">
        <v>7</v>
      </c>
      <c r="J1692" t="s">
        <v>373</v>
      </c>
      <c r="K1692" t="str">
        <f>VLOOKUP(Table1[[#This Row],[Loser]],Ranking!C:D,2,FALSE)</f>
        <v>Amer</v>
      </c>
      <c r="L1692" s="1">
        <v>64</v>
      </c>
      <c r="M1692" s="1" t="s">
        <v>463</v>
      </c>
      <c r="N1692" s="1">
        <f>Table1[[#This Row],[Winning Score]]-Table1[[#This Row],[Losing Score]]</f>
        <v>7</v>
      </c>
      <c r="O1692" s="1">
        <f>Table1[[#This Row],[Losing Seed]]-Table1[[#This Row],[Winning Seed]]</f>
        <v>5</v>
      </c>
      <c r="P1692" s="1" t="str">
        <f>IF(Table1[[#This Row],[SeD]]&lt;-2,Table1[[#This Row],[Winning Seed]]&amp; " over " &amp;Table1[[#This Row],[Losing Seed]],"")</f>
        <v/>
      </c>
      <c r="Q1692">
        <f>VLOOKUP(Table1[[#This Row],[Losing Seed]],'Seed History'!$N$4:$O$19,2)</f>
        <v>0.90277777777777779</v>
      </c>
      <c r="R1692" s="1">
        <f>IF(Table1[[#This Row],[Round]]="PI",0,Table1[[#This Row],[Round]]-1)</f>
        <v>1</v>
      </c>
      <c r="S1692">
        <f>Table1[[#This Row],[LAW]]-Table1[[#This Row],[LEW]]</f>
        <v>9.722222222222221E-2</v>
      </c>
    </row>
    <row r="1693" spans="1:19" x14ac:dyDescent="0.25">
      <c r="A1693" s="66">
        <v>40621</v>
      </c>
      <c r="B1693" s="51">
        <f>YEAR(Table1[[#This Row],[Date]])</f>
        <v>2011</v>
      </c>
      <c r="C1693" s="1">
        <v>2</v>
      </c>
      <c r="D1693" t="s">
        <v>38</v>
      </c>
      <c r="E1693" s="1">
        <v>3</v>
      </c>
      <c r="F1693" t="s">
        <v>80</v>
      </c>
      <c r="G1693" t="str">
        <f>VLOOKUP(Table1[[#This Row],[Winner]],Ranking!C:D,2,FALSE)</f>
        <v>BE</v>
      </c>
      <c r="H1693" s="1">
        <v>69</v>
      </c>
      <c r="I1693" s="1">
        <v>6</v>
      </c>
      <c r="J1693" t="s">
        <v>28</v>
      </c>
      <c r="K1693" t="str">
        <f>VLOOKUP(Table1[[#This Row],[Loser]],Ranking!C:D,2,FALSE)</f>
        <v>Amer</v>
      </c>
      <c r="L1693" s="1">
        <v>58</v>
      </c>
      <c r="N1693" s="1">
        <f>Table1[[#This Row],[Winning Score]]-Table1[[#This Row],[Losing Score]]</f>
        <v>11</v>
      </c>
      <c r="O1693" s="1">
        <f>Table1[[#This Row],[Losing Seed]]-Table1[[#This Row],[Winning Seed]]</f>
        <v>3</v>
      </c>
      <c r="P1693" s="1" t="str">
        <f>IF(Table1[[#This Row],[SeD]]&lt;-2,Table1[[#This Row],[Winning Seed]]&amp; " over " &amp;Table1[[#This Row],[Losing Seed]],"")</f>
        <v/>
      </c>
      <c r="Q1693">
        <f>VLOOKUP(Table1[[#This Row],[Losing Seed]],'Seed History'!$N$4:$O$19,2)</f>
        <v>1.0625</v>
      </c>
      <c r="R1693" s="1">
        <f>IF(Table1[[#This Row],[Round]]="PI",0,Table1[[#This Row],[Round]]-1)</f>
        <v>1</v>
      </c>
      <c r="S1693">
        <f>Table1[[#This Row],[LAW]]-Table1[[#This Row],[LEW]]</f>
        <v>-6.25E-2</v>
      </c>
    </row>
    <row r="1694" spans="1:19" x14ac:dyDescent="0.25">
      <c r="A1694" s="66">
        <v>40622</v>
      </c>
      <c r="B1694" s="51">
        <f>YEAR(Table1[[#This Row],[Date]])</f>
        <v>2011</v>
      </c>
      <c r="C1694" s="1">
        <v>2</v>
      </c>
      <c r="D1694" t="s">
        <v>49</v>
      </c>
      <c r="E1694" s="1">
        <v>11</v>
      </c>
      <c r="F1694" t="s">
        <v>262</v>
      </c>
      <c r="G1694" t="str">
        <f>VLOOKUP(Table1[[#This Row],[Winner]],Ranking!C:D,2,FALSE)</f>
        <v>BE</v>
      </c>
      <c r="H1694" s="1">
        <v>66</v>
      </c>
      <c r="I1694" s="1">
        <v>3</v>
      </c>
      <c r="J1694" t="s">
        <v>86</v>
      </c>
      <c r="K1694" t="str">
        <f>VLOOKUP(Table1[[#This Row],[Loser]],Ranking!C:D,2,FALSE)</f>
        <v>ACC</v>
      </c>
      <c r="L1694" s="1">
        <v>62</v>
      </c>
      <c r="N1694" s="1">
        <f>Table1[[#This Row],[Winning Score]]-Table1[[#This Row],[Losing Score]]</f>
        <v>4</v>
      </c>
      <c r="O1694" s="1">
        <f>Table1[[#This Row],[Losing Seed]]-Table1[[#This Row],[Winning Seed]]</f>
        <v>-8</v>
      </c>
      <c r="P1694" s="1" t="str">
        <f>IF(Table1[[#This Row],[SeD]]&lt;-2,Table1[[#This Row],[Winning Seed]]&amp; " over " &amp;Table1[[#This Row],[Losing Seed]],"")</f>
        <v>11 over 3</v>
      </c>
      <c r="Q1694">
        <f>VLOOKUP(Table1[[#This Row],[Losing Seed]],'Seed History'!$N$4:$O$19,2)</f>
        <v>1.8472222222222223</v>
      </c>
      <c r="R1694" s="1">
        <f>IF(Table1[[#This Row],[Round]]="PI",0,Table1[[#This Row],[Round]]-1)</f>
        <v>1</v>
      </c>
      <c r="S1694">
        <f>Table1[[#This Row],[LAW]]-Table1[[#This Row],[LEW]]</f>
        <v>-0.84722222222222232</v>
      </c>
    </row>
    <row r="1695" spans="1:19" x14ac:dyDescent="0.25">
      <c r="A1695" s="66">
        <v>40622</v>
      </c>
      <c r="B1695" s="51">
        <f>YEAR(Table1[[#This Row],[Date]])</f>
        <v>2011</v>
      </c>
      <c r="C1695" s="1">
        <v>2</v>
      </c>
      <c r="D1695" t="s">
        <v>465</v>
      </c>
      <c r="E1695" s="1">
        <v>10</v>
      </c>
      <c r="F1695" t="s">
        <v>207</v>
      </c>
      <c r="G1695" t="str">
        <f>VLOOKUP(Table1[[#This Row],[Winner]],Ranking!C:D,2,FALSE)</f>
        <v>ACC</v>
      </c>
      <c r="H1695" s="1">
        <v>71</v>
      </c>
      <c r="I1695" s="1">
        <v>2</v>
      </c>
      <c r="J1695" t="s">
        <v>35</v>
      </c>
      <c r="K1695" t="str">
        <f>VLOOKUP(Table1[[#This Row],[Loser]],Ranking!C:D,2,FALSE)</f>
        <v>ACC</v>
      </c>
      <c r="L1695" s="1">
        <v>57</v>
      </c>
      <c r="N1695" s="1">
        <f>Table1[[#This Row],[Winning Score]]-Table1[[#This Row],[Losing Score]]</f>
        <v>14</v>
      </c>
      <c r="O1695" s="1">
        <f>Table1[[#This Row],[Losing Seed]]-Table1[[#This Row],[Winning Seed]]</f>
        <v>-8</v>
      </c>
      <c r="P1695" s="1" t="str">
        <f>IF(Table1[[#This Row],[SeD]]&lt;-2,Table1[[#This Row],[Winning Seed]]&amp; " over " &amp;Table1[[#This Row],[Losing Seed]],"")</f>
        <v>10 over 2</v>
      </c>
      <c r="Q1695">
        <f>VLOOKUP(Table1[[#This Row],[Losing Seed]],'Seed History'!$N$4:$O$19,2)</f>
        <v>2.3472222222222223</v>
      </c>
      <c r="R1695" s="1">
        <f>IF(Table1[[#This Row],[Round]]="PI",0,Table1[[#This Row],[Round]]-1)</f>
        <v>1</v>
      </c>
      <c r="S1695">
        <f>Table1[[#This Row],[LAW]]-Table1[[#This Row],[LEW]]</f>
        <v>-1.3472222222222223</v>
      </c>
    </row>
    <row r="1696" spans="1:19" x14ac:dyDescent="0.25">
      <c r="A1696" s="66">
        <v>40622</v>
      </c>
      <c r="B1696" s="51">
        <f>YEAR(Table1[[#This Row],[Date]])</f>
        <v>2011</v>
      </c>
      <c r="C1696" s="1">
        <v>2</v>
      </c>
      <c r="D1696" t="s">
        <v>465</v>
      </c>
      <c r="E1696" s="1">
        <v>11</v>
      </c>
      <c r="F1696" t="s">
        <v>47</v>
      </c>
      <c r="G1696" t="str">
        <f>VLOOKUP(Table1[[#This Row],[Winner]],Ranking!C:D,2,FALSE)</f>
        <v>A10</v>
      </c>
      <c r="H1696" s="1">
        <v>94</v>
      </c>
      <c r="I1696" s="1">
        <v>3</v>
      </c>
      <c r="J1696" t="s">
        <v>29</v>
      </c>
      <c r="K1696" t="str">
        <f>VLOOKUP(Table1[[#This Row],[Loser]],Ranking!C:D,2,FALSE)</f>
        <v>B10</v>
      </c>
      <c r="L1696" s="1">
        <v>76</v>
      </c>
      <c r="N1696" s="1">
        <f>Table1[[#This Row],[Winning Score]]-Table1[[#This Row],[Losing Score]]</f>
        <v>18</v>
      </c>
      <c r="O1696" s="1">
        <f>Table1[[#This Row],[Losing Seed]]-Table1[[#This Row],[Winning Seed]]</f>
        <v>-8</v>
      </c>
      <c r="P1696" s="1" t="str">
        <f>IF(Table1[[#This Row],[SeD]]&lt;-2,Table1[[#This Row],[Winning Seed]]&amp; " over " &amp;Table1[[#This Row],[Losing Seed]],"")</f>
        <v>11 over 3</v>
      </c>
      <c r="Q1696">
        <f>VLOOKUP(Table1[[#This Row],[Losing Seed]],'Seed History'!$N$4:$O$19,2)</f>
        <v>1.8472222222222223</v>
      </c>
      <c r="R1696" s="1">
        <f>IF(Table1[[#This Row],[Round]]="PI",0,Table1[[#This Row],[Round]]-1)</f>
        <v>1</v>
      </c>
      <c r="S1696">
        <f>Table1[[#This Row],[LAW]]-Table1[[#This Row],[LEW]]</f>
        <v>-0.84722222222222232</v>
      </c>
    </row>
    <row r="1697" spans="1:19" x14ac:dyDescent="0.25">
      <c r="A1697" s="66">
        <v>40622</v>
      </c>
      <c r="B1697" s="51">
        <f>YEAR(Table1[[#This Row],[Date]])</f>
        <v>2011</v>
      </c>
      <c r="C1697" s="1">
        <v>2</v>
      </c>
      <c r="D1697" t="s">
        <v>38</v>
      </c>
      <c r="E1697" s="1">
        <v>5</v>
      </c>
      <c r="F1697" t="s">
        <v>48</v>
      </c>
      <c r="G1697" t="str">
        <f>VLOOKUP(Table1[[#This Row],[Winner]],Ranking!C:D,2,FALSE)</f>
        <v>P12</v>
      </c>
      <c r="H1697" s="1">
        <v>70</v>
      </c>
      <c r="I1697" s="1">
        <v>4</v>
      </c>
      <c r="J1697" t="s">
        <v>34</v>
      </c>
      <c r="K1697" t="str">
        <f>VLOOKUP(Table1[[#This Row],[Loser]],Ranking!C:D,2,FALSE)</f>
        <v>B12</v>
      </c>
      <c r="L1697" s="1">
        <v>69</v>
      </c>
      <c r="N1697" s="1">
        <f>Table1[[#This Row],[Winning Score]]-Table1[[#This Row],[Losing Score]]</f>
        <v>1</v>
      </c>
      <c r="O1697" s="1">
        <f>Table1[[#This Row],[Losing Seed]]-Table1[[#This Row],[Winning Seed]]</f>
        <v>-1</v>
      </c>
      <c r="P1697" s="1" t="str">
        <f>IF(Table1[[#This Row],[SeD]]&lt;-2,Table1[[#This Row],[Winning Seed]]&amp; " over " &amp;Table1[[#This Row],[Losing Seed]],"")</f>
        <v/>
      </c>
      <c r="Q1697">
        <f>VLOOKUP(Table1[[#This Row],[Losing Seed]],'Seed History'!$N$4:$O$19,2)</f>
        <v>1.5208333333333333</v>
      </c>
      <c r="R1697" s="1">
        <f>IF(Table1[[#This Row],[Round]]="PI",0,Table1[[#This Row],[Round]]-1)</f>
        <v>1</v>
      </c>
      <c r="S1697">
        <f>Table1[[#This Row],[LAW]]-Table1[[#This Row],[LEW]]</f>
        <v>-0.52083333333333326</v>
      </c>
    </row>
    <row r="1698" spans="1:19" x14ac:dyDescent="0.25">
      <c r="A1698" s="66">
        <v>40622</v>
      </c>
      <c r="B1698" s="51">
        <f>YEAR(Table1[[#This Row],[Date]])</f>
        <v>2011</v>
      </c>
      <c r="C1698" s="1">
        <v>2</v>
      </c>
      <c r="D1698" t="s">
        <v>49</v>
      </c>
      <c r="E1698" s="1">
        <v>1</v>
      </c>
      <c r="F1698" t="s">
        <v>315</v>
      </c>
      <c r="G1698" t="str">
        <f>VLOOKUP(Table1[[#This Row],[Winner]],Ranking!C:D,2,FALSE)</f>
        <v>B10</v>
      </c>
      <c r="H1698" s="1">
        <v>98</v>
      </c>
      <c r="I1698" s="1">
        <v>8</v>
      </c>
      <c r="J1698" t="s">
        <v>212</v>
      </c>
      <c r="K1698" t="str">
        <f>VLOOKUP(Table1[[#This Row],[Loser]],Ranking!C:D,2,FALSE)</f>
        <v>A10</v>
      </c>
      <c r="L1698" s="1">
        <v>66</v>
      </c>
      <c r="N1698" s="1">
        <f>Table1[[#This Row],[Winning Score]]-Table1[[#This Row],[Losing Score]]</f>
        <v>32</v>
      </c>
      <c r="O1698" s="1">
        <f>Table1[[#This Row],[Losing Seed]]-Table1[[#This Row],[Winning Seed]]</f>
        <v>7</v>
      </c>
      <c r="P1698" s="1" t="str">
        <f>IF(Table1[[#This Row],[SeD]]&lt;-2,Table1[[#This Row],[Winning Seed]]&amp; " over " &amp;Table1[[#This Row],[Losing Seed]],"")</f>
        <v/>
      </c>
      <c r="Q1698">
        <f>VLOOKUP(Table1[[#This Row],[Losing Seed]],'Seed History'!$N$4:$O$19,2)</f>
        <v>0.70833333333333337</v>
      </c>
      <c r="R1698" s="1">
        <f>IF(Table1[[#This Row],[Round]]="PI",0,Table1[[#This Row],[Round]]-1)</f>
        <v>1</v>
      </c>
      <c r="S1698">
        <f>Table1[[#This Row],[LAW]]-Table1[[#This Row],[LEW]]</f>
        <v>0.29166666666666663</v>
      </c>
    </row>
    <row r="1699" spans="1:19" x14ac:dyDescent="0.25">
      <c r="A1699" s="66">
        <v>40622</v>
      </c>
      <c r="B1699" s="51">
        <f>YEAR(Table1[[#This Row],[Date]])</f>
        <v>2011</v>
      </c>
      <c r="C1699" s="1">
        <v>2</v>
      </c>
      <c r="D1699" t="s">
        <v>49</v>
      </c>
      <c r="E1699" s="1">
        <v>2</v>
      </c>
      <c r="F1699" t="s">
        <v>298</v>
      </c>
      <c r="G1699" t="str">
        <f>VLOOKUP(Table1[[#This Row],[Winner]],Ranking!C:D,2,FALSE)</f>
        <v>ACC</v>
      </c>
      <c r="H1699" s="1">
        <v>86</v>
      </c>
      <c r="I1699" s="1">
        <v>7</v>
      </c>
      <c r="J1699" t="s">
        <v>409</v>
      </c>
      <c r="K1699" t="str">
        <f>VLOOKUP(Table1[[#This Row],[Loser]],Ranking!C:D,2,FALSE)</f>
        <v>P12</v>
      </c>
      <c r="L1699" s="1">
        <v>83</v>
      </c>
      <c r="N1699" s="1">
        <f>Table1[[#This Row],[Winning Score]]-Table1[[#This Row],[Losing Score]]</f>
        <v>3</v>
      </c>
      <c r="O1699" s="1">
        <f>Table1[[#This Row],[Losing Seed]]-Table1[[#This Row],[Winning Seed]]</f>
        <v>5</v>
      </c>
      <c r="P1699" s="1" t="str">
        <f>IF(Table1[[#This Row],[SeD]]&lt;-2,Table1[[#This Row],[Winning Seed]]&amp; " over " &amp;Table1[[#This Row],[Losing Seed]],"")</f>
        <v/>
      </c>
      <c r="Q1699">
        <f>VLOOKUP(Table1[[#This Row],[Losing Seed]],'Seed History'!$N$4:$O$19,2)</f>
        <v>0.90277777777777779</v>
      </c>
      <c r="R1699" s="1">
        <f>IF(Table1[[#This Row],[Round]]="PI",0,Table1[[#This Row],[Round]]-1)</f>
        <v>1</v>
      </c>
      <c r="S1699">
        <f>Table1[[#This Row],[LAW]]-Table1[[#This Row],[LEW]]</f>
        <v>9.722222222222221E-2</v>
      </c>
    </row>
    <row r="1700" spans="1:19" x14ac:dyDescent="0.25">
      <c r="A1700" s="66">
        <v>40622</v>
      </c>
      <c r="B1700" s="51">
        <f>YEAR(Table1[[#This Row],[Date]])</f>
        <v>2011</v>
      </c>
      <c r="C1700" s="1">
        <v>2</v>
      </c>
      <c r="D1700" t="s">
        <v>465</v>
      </c>
      <c r="E1700" s="1">
        <v>1</v>
      </c>
      <c r="F1700" t="s">
        <v>37</v>
      </c>
      <c r="G1700" t="str">
        <f>VLOOKUP(Table1[[#This Row],[Winner]],Ranking!C:D,2,FALSE)</f>
        <v>B12</v>
      </c>
      <c r="H1700" s="1">
        <v>73</v>
      </c>
      <c r="I1700" s="1">
        <v>9</v>
      </c>
      <c r="J1700" t="s">
        <v>230</v>
      </c>
      <c r="K1700" t="str">
        <f>VLOOKUP(Table1[[#This Row],[Loser]],Ranking!C:D,2,FALSE)</f>
        <v>B10</v>
      </c>
      <c r="L1700" s="1">
        <v>59</v>
      </c>
      <c r="N1700" s="1">
        <f>Table1[[#This Row],[Winning Score]]-Table1[[#This Row],[Losing Score]]</f>
        <v>14</v>
      </c>
      <c r="O1700" s="1">
        <f>Table1[[#This Row],[Losing Seed]]-Table1[[#This Row],[Winning Seed]]</f>
        <v>8</v>
      </c>
      <c r="P1700" s="1" t="str">
        <f>IF(Table1[[#This Row],[SeD]]&lt;-2,Table1[[#This Row],[Winning Seed]]&amp; " over " &amp;Table1[[#This Row],[Losing Seed]],"")</f>
        <v/>
      </c>
      <c r="Q1700">
        <f>VLOOKUP(Table1[[#This Row],[Losing Seed]],'Seed History'!$N$4:$O$19,2)</f>
        <v>0.59027777777777779</v>
      </c>
      <c r="R1700" s="1">
        <f>IF(Table1[[#This Row],[Round]]="PI",0,Table1[[#This Row],[Round]]-1)</f>
        <v>1</v>
      </c>
      <c r="S1700">
        <f>Table1[[#This Row],[LAW]]-Table1[[#This Row],[LEW]]</f>
        <v>0.40972222222222221</v>
      </c>
    </row>
    <row r="1701" spans="1:19" x14ac:dyDescent="0.25">
      <c r="A1701" s="66">
        <v>40622</v>
      </c>
      <c r="B1701" s="51">
        <f>YEAR(Table1[[#This Row],[Date]])</f>
        <v>2011</v>
      </c>
      <c r="C1701" s="1">
        <v>2</v>
      </c>
      <c r="D1701" t="s">
        <v>38</v>
      </c>
      <c r="E1701" s="1">
        <v>1</v>
      </c>
      <c r="F1701" t="s">
        <v>64</v>
      </c>
      <c r="G1701" t="str">
        <f>VLOOKUP(Table1[[#This Row],[Winner]],Ranking!C:D,2,FALSE)</f>
        <v>ACC</v>
      </c>
      <c r="H1701" s="1">
        <v>73</v>
      </c>
      <c r="I1701" s="1">
        <v>8</v>
      </c>
      <c r="J1701" t="s">
        <v>82</v>
      </c>
      <c r="K1701" t="str">
        <f>VLOOKUP(Table1[[#This Row],[Loser]],Ranking!C:D,2,FALSE)</f>
        <v>B10</v>
      </c>
      <c r="L1701" s="1">
        <v>71</v>
      </c>
      <c r="N1701" s="1">
        <f>Table1[[#This Row],[Winning Score]]-Table1[[#This Row],[Losing Score]]</f>
        <v>2</v>
      </c>
      <c r="O1701" s="1">
        <f>Table1[[#This Row],[Losing Seed]]-Table1[[#This Row],[Winning Seed]]</f>
        <v>7</v>
      </c>
      <c r="P1701" s="1" t="str">
        <f>IF(Table1[[#This Row],[SeD]]&lt;-2,Table1[[#This Row],[Winning Seed]]&amp; " over " &amp;Table1[[#This Row],[Losing Seed]],"")</f>
        <v/>
      </c>
      <c r="Q1701">
        <f>VLOOKUP(Table1[[#This Row],[Losing Seed]],'Seed History'!$N$4:$O$19,2)</f>
        <v>0.70833333333333337</v>
      </c>
      <c r="R1701" s="1">
        <f>IF(Table1[[#This Row],[Round]]="PI",0,Table1[[#This Row],[Round]]-1)</f>
        <v>1</v>
      </c>
      <c r="S1701">
        <f>Table1[[#This Row],[LAW]]-Table1[[#This Row],[LEW]]</f>
        <v>0.29166666666666663</v>
      </c>
    </row>
    <row r="1702" spans="1:19" x14ac:dyDescent="0.25">
      <c r="A1702" s="66">
        <v>40626</v>
      </c>
      <c r="B1702" s="51">
        <f>YEAR(Table1[[#This Row],[Date]])</f>
        <v>2011</v>
      </c>
      <c r="C1702" s="1">
        <v>3</v>
      </c>
      <c r="D1702" t="s">
        <v>461</v>
      </c>
      <c r="E1702" s="1">
        <v>8</v>
      </c>
      <c r="F1702" t="s">
        <v>33</v>
      </c>
      <c r="G1702" t="str">
        <f>VLOOKUP(Table1[[#This Row],[Winner]],Ranking!C:D,2,FALSE)</f>
        <v>BE</v>
      </c>
      <c r="H1702" s="1">
        <v>61</v>
      </c>
      <c r="I1702" s="1">
        <v>4</v>
      </c>
      <c r="J1702" t="s">
        <v>39</v>
      </c>
      <c r="K1702" t="str">
        <f>VLOOKUP(Table1[[#This Row],[Loser]],Ranking!C:D,2,FALSE)</f>
        <v>B10</v>
      </c>
      <c r="L1702" s="1">
        <v>54</v>
      </c>
      <c r="N1702" s="1">
        <f>Table1[[#This Row],[Winning Score]]-Table1[[#This Row],[Losing Score]]</f>
        <v>7</v>
      </c>
      <c r="O1702" s="1">
        <f>Table1[[#This Row],[Losing Seed]]-Table1[[#This Row],[Winning Seed]]</f>
        <v>-4</v>
      </c>
      <c r="P1702" s="1" t="str">
        <f>IF(Table1[[#This Row],[SeD]]&lt;-2,Table1[[#This Row],[Winning Seed]]&amp; " over " &amp;Table1[[#This Row],[Losing Seed]],"")</f>
        <v>8 over 4</v>
      </c>
      <c r="Q1702">
        <f>VLOOKUP(Table1[[#This Row],[Losing Seed]],'Seed History'!$N$4:$O$19,2)</f>
        <v>1.5208333333333333</v>
      </c>
      <c r="R1702" s="1">
        <f>IF(Table1[[#This Row],[Round]]="PI",0,Table1[[#This Row],[Round]]-1)</f>
        <v>2</v>
      </c>
      <c r="S1702">
        <f>Table1[[#This Row],[LAW]]-Table1[[#This Row],[LEW]]</f>
        <v>0.47916666666666674</v>
      </c>
    </row>
    <row r="1703" spans="1:19" x14ac:dyDescent="0.25">
      <c r="A1703" s="66">
        <v>40626</v>
      </c>
      <c r="B1703" s="51">
        <f>YEAR(Table1[[#This Row],[Date]])</f>
        <v>2011</v>
      </c>
      <c r="C1703" s="1">
        <v>3</v>
      </c>
      <c r="D1703" t="s">
        <v>461</v>
      </c>
      <c r="E1703" s="1">
        <v>2</v>
      </c>
      <c r="F1703" t="s">
        <v>81</v>
      </c>
      <c r="G1703" t="str">
        <f>VLOOKUP(Table1[[#This Row],[Winner]],Ranking!C:D,2,FALSE)</f>
        <v>SEC</v>
      </c>
      <c r="H1703" s="1">
        <v>83</v>
      </c>
      <c r="I1703" s="1">
        <v>3</v>
      </c>
      <c r="J1703" t="s">
        <v>72</v>
      </c>
      <c r="K1703" t="str">
        <f>VLOOKUP(Table1[[#This Row],[Loser]],Ranking!C:D,2,FALSE)</f>
        <v>WCC</v>
      </c>
      <c r="L1703" s="1">
        <v>74</v>
      </c>
      <c r="M1703" s="1" t="s">
        <v>462</v>
      </c>
      <c r="N1703" s="1">
        <f>Table1[[#This Row],[Winning Score]]-Table1[[#This Row],[Losing Score]]</f>
        <v>9</v>
      </c>
      <c r="O1703" s="1">
        <f>Table1[[#This Row],[Losing Seed]]-Table1[[#This Row],[Winning Seed]]</f>
        <v>1</v>
      </c>
      <c r="P1703" s="1" t="str">
        <f>IF(Table1[[#This Row],[SeD]]&lt;-2,Table1[[#This Row],[Winning Seed]]&amp; " over " &amp;Table1[[#This Row],[Losing Seed]],"")</f>
        <v/>
      </c>
      <c r="Q1703">
        <f>VLOOKUP(Table1[[#This Row],[Losing Seed]],'Seed History'!$N$4:$O$19,2)</f>
        <v>1.8472222222222223</v>
      </c>
      <c r="R1703" s="1">
        <f>IF(Table1[[#This Row],[Round]]="PI",0,Table1[[#This Row],[Round]]-1)</f>
        <v>2</v>
      </c>
      <c r="S1703">
        <f>Table1[[#This Row],[LAW]]-Table1[[#This Row],[LEW]]</f>
        <v>0.15277777777777768</v>
      </c>
    </row>
    <row r="1704" spans="1:19" x14ac:dyDescent="0.25">
      <c r="A1704" s="66">
        <v>40626</v>
      </c>
      <c r="B1704" s="51">
        <f>YEAR(Table1[[#This Row],[Date]])</f>
        <v>2011</v>
      </c>
      <c r="C1704" s="1">
        <v>3</v>
      </c>
      <c r="D1704" t="s">
        <v>38</v>
      </c>
      <c r="E1704" s="1">
        <v>5</v>
      </c>
      <c r="F1704" t="s">
        <v>48</v>
      </c>
      <c r="G1704" t="str">
        <f>VLOOKUP(Table1[[#This Row],[Winner]],Ranking!C:D,2,FALSE)</f>
        <v>P12</v>
      </c>
      <c r="H1704" s="1">
        <v>93</v>
      </c>
      <c r="I1704" s="1">
        <v>1</v>
      </c>
      <c r="J1704" t="s">
        <v>64</v>
      </c>
      <c r="K1704" t="str">
        <f>VLOOKUP(Table1[[#This Row],[Loser]],Ranking!C:D,2,FALSE)</f>
        <v>ACC</v>
      </c>
      <c r="L1704" s="1">
        <v>77</v>
      </c>
      <c r="N1704" s="1">
        <f>Table1[[#This Row],[Winning Score]]-Table1[[#This Row],[Losing Score]]</f>
        <v>16</v>
      </c>
      <c r="O1704" s="1">
        <f>Table1[[#This Row],[Losing Seed]]-Table1[[#This Row],[Winning Seed]]</f>
        <v>-4</v>
      </c>
      <c r="P1704" s="1" t="str">
        <f>IF(Table1[[#This Row],[SeD]]&lt;-2,Table1[[#This Row],[Winning Seed]]&amp; " over " &amp;Table1[[#This Row],[Losing Seed]],"")</f>
        <v>5 over 1</v>
      </c>
      <c r="Q1704">
        <f>VLOOKUP(Table1[[#This Row],[Losing Seed]],'Seed History'!$N$4:$O$19,2)</f>
        <v>3.3263888888888888</v>
      </c>
      <c r="R1704" s="1">
        <f>IF(Table1[[#This Row],[Round]]="PI",0,Table1[[#This Row],[Round]]-1)</f>
        <v>2</v>
      </c>
      <c r="S1704">
        <f>Table1[[#This Row],[LAW]]-Table1[[#This Row],[LEW]]</f>
        <v>-1.3263888888888888</v>
      </c>
    </row>
    <row r="1705" spans="1:19" x14ac:dyDescent="0.25">
      <c r="A1705" s="66">
        <v>40626</v>
      </c>
      <c r="B1705" s="51">
        <f>YEAR(Table1[[#This Row],[Date]])</f>
        <v>2011</v>
      </c>
      <c r="C1705" s="1">
        <v>3</v>
      </c>
      <c r="D1705" t="s">
        <v>38</v>
      </c>
      <c r="E1705" s="1">
        <v>3</v>
      </c>
      <c r="F1705" t="s">
        <v>80</v>
      </c>
      <c r="G1705" t="str">
        <f>VLOOKUP(Table1[[#This Row],[Winner]],Ranking!C:D,2,FALSE)</f>
        <v>BE</v>
      </c>
      <c r="H1705" s="1">
        <v>74</v>
      </c>
      <c r="I1705" s="1">
        <v>2</v>
      </c>
      <c r="J1705" t="s">
        <v>344</v>
      </c>
      <c r="K1705" t="str">
        <f>VLOOKUP(Table1[[#This Row],[Loser]],Ranking!C:D,2,FALSE)</f>
        <v>MWC</v>
      </c>
      <c r="L1705" s="1">
        <v>67</v>
      </c>
      <c r="N1705" s="1">
        <f>Table1[[#This Row],[Winning Score]]-Table1[[#This Row],[Losing Score]]</f>
        <v>7</v>
      </c>
      <c r="O1705" s="1">
        <f>Table1[[#This Row],[Losing Seed]]-Table1[[#This Row],[Winning Seed]]</f>
        <v>-1</v>
      </c>
      <c r="P1705" s="1" t="str">
        <f>IF(Table1[[#This Row],[SeD]]&lt;-2,Table1[[#This Row],[Winning Seed]]&amp; " over " &amp;Table1[[#This Row],[Losing Seed]],"")</f>
        <v/>
      </c>
      <c r="Q1705">
        <f>VLOOKUP(Table1[[#This Row],[Losing Seed]],'Seed History'!$N$4:$O$19,2)</f>
        <v>2.3472222222222223</v>
      </c>
      <c r="R1705" s="1">
        <f>IF(Table1[[#This Row],[Round]]="PI",0,Table1[[#This Row],[Round]]-1)</f>
        <v>2</v>
      </c>
      <c r="S1705">
        <f>Table1[[#This Row],[LAW]]-Table1[[#This Row],[LEW]]</f>
        <v>-0.34722222222222232</v>
      </c>
    </row>
    <row r="1706" spans="1:19" x14ac:dyDescent="0.25">
      <c r="A1706" s="66">
        <v>40627</v>
      </c>
      <c r="B1706" s="51">
        <f>YEAR(Table1[[#This Row],[Date]])</f>
        <v>2011</v>
      </c>
      <c r="C1706" s="1">
        <v>3</v>
      </c>
      <c r="D1706" t="s">
        <v>49</v>
      </c>
      <c r="E1706" s="1">
        <v>4</v>
      </c>
      <c r="F1706" t="s">
        <v>26</v>
      </c>
      <c r="G1706" t="str">
        <f>VLOOKUP(Table1[[#This Row],[Winner]],Ranking!C:D,2,FALSE)</f>
        <v>SEC</v>
      </c>
      <c r="H1706" s="1">
        <v>62</v>
      </c>
      <c r="I1706" s="1">
        <v>1</v>
      </c>
      <c r="J1706" t="s">
        <v>315</v>
      </c>
      <c r="K1706" t="str">
        <f>VLOOKUP(Table1[[#This Row],[Loser]],Ranking!C:D,2,FALSE)</f>
        <v>B10</v>
      </c>
      <c r="L1706" s="1">
        <v>60</v>
      </c>
      <c r="N1706" s="1">
        <f>Table1[[#This Row],[Winning Score]]-Table1[[#This Row],[Losing Score]]</f>
        <v>2</v>
      </c>
      <c r="O1706" s="1">
        <f>Table1[[#This Row],[Losing Seed]]-Table1[[#This Row],[Winning Seed]]</f>
        <v>-3</v>
      </c>
      <c r="P1706" s="1" t="str">
        <f>IF(Table1[[#This Row],[SeD]]&lt;-2,Table1[[#This Row],[Winning Seed]]&amp; " over " &amp;Table1[[#This Row],[Losing Seed]],"")</f>
        <v>4 over 1</v>
      </c>
      <c r="Q1706">
        <f>VLOOKUP(Table1[[#This Row],[Losing Seed]],'Seed History'!$N$4:$O$19,2)</f>
        <v>3.3263888888888888</v>
      </c>
      <c r="R1706" s="1">
        <f>IF(Table1[[#This Row],[Round]]="PI",0,Table1[[#This Row],[Round]]-1)</f>
        <v>2</v>
      </c>
      <c r="S1706">
        <f>Table1[[#This Row],[LAW]]-Table1[[#This Row],[LEW]]</f>
        <v>-1.3263888888888888</v>
      </c>
    </row>
    <row r="1707" spans="1:19" x14ac:dyDescent="0.25">
      <c r="A1707" s="66">
        <v>40627</v>
      </c>
      <c r="B1707" s="51">
        <f>YEAR(Table1[[#This Row],[Date]])</f>
        <v>2011</v>
      </c>
      <c r="C1707" s="1">
        <v>3</v>
      </c>
      <c r="D1707" t="s">
        <v>49</v>
      </c>
      <c r="E1707" s="1">
        <v>2</v>
      </c>
      <c r="F1707" t="s">
        <v>298</v>
      </c>
      <c r="G1707" t="str">
        <f>VLOOKUP(Table1[[#This Row],[Winner]],Ranking!C:D,2,FALSE)</f>
        <v>ACC</v>
      </c>
      <c r="H1707" s="1">
        <v>81</v>
      </c>
      <c r="I1707" s="1">
        <v>11</v>
      </c>
      <c r="J1707" t="s">
        <v>262</v>
      </c>
      <c r="K1707" t="str">
        <f>VLOOKUP(Table1[[#This Row],[Loser]],Ranking!C:D,2,FALSE)</f>
        <v>BE</v>
      </c>
      <c r="L1707" s="1">
        <v>63</v>
      </c>
      <c r="N1707" s="1">
        <f>Table1[[#This Row],[Winning Score]]-Table1[[#This Row],[Losing Score]]</f>
        <v>18</v>
      </c>
      <c r="O1707" s="1">
        <f>Table1[[#This Row],[Losing Seed]]-Table1[[#This Row],[Winning Seed]]</f>
        <v>9</v>
      </c>
      <c r="P1707" s="1" t="str">
        <f>IF(Table1[[#This Row],[SeD]]&lt;-2,Table1[[#This Row],[Winning Seed]]&amp; " over " &amp;Table1[[#This Row],[Losing Seed]],"")</f>
        <v/>
      </c>
      <c r="Q1707">
        <f>VLOOKUP(Table1[[#This Row],[Losing Seed]],'Seed History'!$N$4:$O$19,2)</f>
        <v>0.63194444444444442</v>
      </c>
      <c r="R1707" s="1">
        <f>IF(Table1[[#This Row],[Round]]="PI",0,Table1[[#This Row],[Round]]-1)</f>
        <v>2</v>
      </c>
      <c r="S1707">
        <f>Table1[[#This Row],[LAW]]-Table1[[#This Row],[LEW]]</f>
        <v>1.3680555555555556</v>
      </c>
    </row>
    <row r="1708" spans="1:19" x14ac:dyDescent="0.25">
      <c r="A1708" s="66">
        <v>40627</v>
      </c>
      <c r="B1708" s="51">
        <f>YEAR(Table1[[#This Row],[Date]])</f>
        <v>2011</v>
      </c>
      <c r="C1708" s="1">
        <v>3</v>
      </c>
      <c r="D1708" t="s">
        <v>465</v>
      </c>
      <c r="E1708" s="1">
        <v>1</v>
      </c>
      <c r="F1708" t="s">
        <v>37</v>
      </c>
      <c r="G1708" t="str">
        <f>VLOOKUP(Table1[[#This Row],[Winner]],Ranking!C:D,2,FALSE)</f>
        <v>B12</v>
      </c>
      <c r="H1708" s="1">
        <v>77</v>
      </c>
      <c r="I1708" s="1">
        <v>12</v>
      </c>
      <c r="J1708" t="s">
        <v>331</v>
      </c>
      <c r="K1708" t="str">
        <f>VLOOKUP(Table1[[#This Row],[Loser]],Ranking!C:D,2,FALSE)</f>
        <v>A10</v>
      </c>
      <c r="L1708" s="1">
        <v>57</v>
      </c>
      <c r="N1708" s="1">
        <f>Table1[[#This Row],[Winning Score]]-Table1[[#This Row],[Losing Score]]</f>
        <v>20</v>
      </c>
      <c r="O1708" s="1">
        <f>Table1[[#This Row],[Losing Seed]]-Table1[[#This Row],[Winning Seed]]</f>
        <v>11</v>
      </c>
      <c r="P1708" s="1" t="str">
        <f>IF(Table1[[#This Row],[SeD]]&lt;-2,Table1[[#This Row],[Winning Seed]]&amp; " over " &amp;Table1[[#This Row],[Losing Seed]],"")</f>
        <v/>
      </c>
      <c r="Q1708">
        <f>VLOOKUP(Table1[[#This Row],[Losing Seed]],'Seed History'!$N$4:$O$19,2)</f>
        <v>0.52083333333333337</v>
      </c>
      <c r="R1708" s="1">
        <f>IF(Table1[[#This Row],[Round]]="PI",0,Table1[[#This Row],[Round]]-1)</f>
        <v>2</v>
      </c>
      <c r="S1708">
        <f>Table1[[#This Row],[LAW]]-Table1[[#This Row],[LEW]]</f>
        <v>1.4791666666666665</v>
      </c>
    </row>
    <row r="1709" spans="1:19" x14ac:dyDescent="0.25">
      <c r="A1709" s="66">
        <v>40627</v>
      </c>
      <c r="B1709" s="51">
        <f>YEAR(Table1[[#This Row],[Date]])</f>
        <v>2011</v>
      </c>
      <c r="C1709" s="1">
        <v>3</v>
      </c>
      <c r="D1709" t="s">
        <v>465</v>
      </c>
      <c r="E1709" s="1">
        <v>11</v>
      </c>
      <c r="F1709" t="s">
        <v>47</v>
      </c>
      <c r="G1709" t="str">
        <f>VLOOKUP(Table1[[#This Row],[Winner]],Ranking!C:D,2,FALSE)</f>
        <v>A10</v>
      </c>
      <c r="H1709" s="1">
        <v>72</v>
      </c>
      <c r="I1709" s="1">
        <v>10</v>
      </c>
      <c r="J1709" t="s">
        <v>207</v>
      </c>
      <c r="K1709" t="str">
        <f>VLOOKUP(Table1[[#This Row],[Loser]],Ranking!C:D,2,FALSE)</f>
        <v>ACC</v>
      </c>
      <c r="L1709" s="1">
        <v>71</v>
      </c>
      <c r="M1709" s="1" t="s">
        <v>462</v>
      </c>
      <c r="N1709" s="1">
        <f>Table1[[#This Row],[Winning Score]]-Table1[[#This Row],[Losing Score]]</f>
        <v>1</v>
      </c>
      <c r="O1709" s="1">
        <f>Table1[[#This Row],[Losing Seed]]-Table1[[#This Row],[Winning Seed]]</f>
        <v>-1</v>
      </c>
      <c r="P1709" s="1" t="str">
        <f>IF(Table1[[#This Row],[SeD]]&lt;-2,Table1[[#This Row],[Winning Seed]]&amp; " over " &amp;Table1[[#This Row],[Losing Seed]],"")</f>
        <v/>
      </c>
      <c r="Q1709">
        <f>VLOOKUP(Table1[[#This Row],[Losing Seed]],'Seed History'!$N$4:$O$19,2)</f>
        <v>0.61805555555555558</v>
      </c>
      <c r="R1709" s="1">
        <f>IF(Table1[[#This Row],[Round]]="PI",0,Table1[[#This Row],[Round]]-1)</f>
        <v>2</v>
      </c>
      <c r="S1709">
        <f>Table1[[#This Row],[LAW]]-Table1[[#This Row],[LEW]]</f>
        <v>1.3819444444444444</v>
      </c>
    </row>
    <row r="1710" spans="1:19" x14ac:dyDescent="0.25">
      <c r="A1710" s="66">
        <v>40628</v>
      </c>
      <c r="B1710" s="51">
        <f>YEAR(Table1[[#This Row],[Date]])</f>
        <v>2011</v>
      </c>
      <c r="C1710" s="1">
        <v>4</v>
      </c>
      <c r="D1710" t="s">
        <v>461</v>
      </c>
      <c r="E1710" s="1">
        <v>8</v>
      </c>
      <c r="F1710" t="s">
        <v>33</v>
      </c>
      <c r="G1710" t="str">
        <f>VLOOKUP(Table1[[#This Row],[Winner]],Ranking!C:D,2,FALSE)</f>
        <v>BE</v>
      </c>
      <c r="H1710" s="1">
        <v>74</v>
      </c>
      <c r="I1710" s="1">
        <v>2</v>
      </c>
      <c r="J1710" t="s">
        <v>81</v>
      </c>
      <c r="K1710" t="str">
        <f>VLOOKUP(Table1[[#This Row],[Loser]],Ranking!C:D,2,FALSE)</f>
        <v>SEC</v>
      </c>
      <c r="L1710" s="1">
        <v>71</v>
      </c>
      <c r="M1710" s="1" t="s">
        <v>462</v>
      </c>
      <c r="N1710" s="1">
        <f>Table1[[#This Row],[Winning Score]]-Table1[[#This Row],[Losing Score]]</f>
        <v>3</v>
      </c>
      <c r="O1710" s="1">
        <f>Table1[[#This Row],[Losing Seed]]-Table1[[#This Row],[Winning Seed]]</f>
        <v>-6</v>
      </c>
      <c r="P1710" s="1" t="str">
        <f>IF(Table1[[#This Row],[SeD]]&lt;-2,Table1[[#This Row],[Winning Seed]]&amp; " over " &amp;Table1[[#This Row],[Losing Seed]],"")</f>
        <v>8 over 2</v>
      </c>
      <c r="Q1710">
        <f>VLOOKUP(Table1[[#This Row],[Losing Seed]],'Seed History'!$N$4:$O$19,2)</f>
        <v>2.3472222222222223</v>
      </c>
      <c r="R1710" s="1">
        <f>IF(Table1[[#This Row],[Round]]="PI",0,Table1[[#This Row],[Round]]-1)</f>
        <v>3</v>
      </c>
      <c r="S1710">
        <f>Table1[[#This Row],[LAW]]-Table1[[#This Row],[LEW]]</f>
        <v>0.65277777777777768</v>
      </c>
    </row>
    <row r="1711" spans="1:19" x14ac:dyDescent="0.25">
      <c r="A1711" s="66">
        <v>40628</v>
      </c>
      <c r="B1711" s="51">
        <f>YEAR(Table1[[#This Row],[Date]])</f>
        <v>2011</v>
      </c>
      <c r="C1711" s="1">
        <v>4</v>
      </c>
      <c r="D1711" t="s">
        <v>38</v>
      </c>
      <c r="E1711" s="1">
        <v>3</v>
      </c>
      <c r="F1711" t="s">
        <v>80</v>
      </c>
      <c r="G1711" t="str">
        <f>VLOOKUP(Table1[[#This Row],[Winner]],Ranking!C:D,2,FALSE)</f>
        <v>BE</v>
      </c>
      <c r="H1711" s="1">
        <v>65</v>
      </c>
      <c r="I1711" s="1">
        <v>5</v>
      </c>
      <c r="J1711" t="s">
        <v>48</v>
      </c>
      <c r="K1711" t="str">
        <f>VLOOKUP(Table1[[#This Row],[Loser]],Ranking!C:D,2,FALSE)</f>
        <v>P12</v>
      </c>
      <c r="L1711" s="1">
        <v>63</v>
      </c>
      <c r="N1711" s="1">
        <f>Table1[[#This Row],[Winning Score]]-Table1[[#This Row],[Losing Score]]</f>
        <v>2</v>
      </c>
      <c r="O1711" s="1">
        <f>Table1[[#This Row],[Losing Seed]]-Table1[[#This Row],[Winning Seed]]</f>
        <v>2</v>
      </c>
      <c r="P1711" s="1" t="str">
        <f>IF(Table1[[#This Row],[SeD]]&lt;-2,Table1[[#This Row],[Winning Seed]]&amp; " over " &amp;Table1[[#This Row],[Losing Seed]],"")</f>
        <v/>
      </c>
      <c r="Q1711">
        <f>VLOOKUP(Table1[[#This Row],[Losing Seed]],'Seed History'!$N$4:$O$19,2)</f>
        <v>1.1180555555555556</v>
      </c>
      <c r="R1711" s="1">
        <f>IF(Table1[[#This Row],[Round]]="PI",0,Table1[[#This Row],[Round]]-1)</f>
        <v>3</v>
      </c>
      <c r="S1711">
        <f>Table1[[#This Row],[LAW]]-Table1[[#This Row],[LEW]]</f>
        <v>1.8819444444444444</v>
      </c>
    </row>
    <row r="1712" spans="1:19" x14ac:dyDescent="0.25">
      <c r="A1712" s="66">
        <v>40629</v>
      </c>
      <c r="B1712" s="51">
        <f>YEAR(Table1[[#This Row],[Date]])</f>
        <v>2011</v>
      </c>
      <c r="C1712" s="1">
        <v>4</v>
      </c>
      <c r="D1712" t="s">
        <v>465</v>
      </c>
      <c r="E1712" s="1">
        <v>11</v>
      </c>
      <c r="F1712" t="s">
        <v>47</v>
      </c>
      <c r="G1712" t="str">
        <f>VLOOKUP(Table1[[#This Row],[Winner]],Ranking!C:D,2,FALSE)</f>
        <v>A10</v>
      </c>
      <c r="H1712" s="1">
        <v>71</v>
      </c>
      <c r="I1712" s="1">
        <v>1</v>
      </c>
      <c r="J1712" t="s">
        <v>37</v>
      </c>
      <c r="K1712" t="str">
        <f>VLOOKUP(Table1[[#This Row],[Loser]],Ranking!C:D,2,FALSE)</f>
        <v>B12</v>
      </c>
      <c r="L1712" s="1">
        <v>61</v>
      </c>
      <c r="N1712" s="1">
        <f>Table1[[#This Row],[Winning Score]]-Table1[[#This Row],[Losing Score]]</f>
        <v>10</v>
      </c>
      <c r="O1712" s="1">
        <f>Table1[[#This Row],[Losing Seed]]-Table1[[#This Row],[Winning Seed]]</f>
        <v>-10</v>
      </c>
      <c r="P1712" s="1" t="str">
        <f>IF(Table1[[#This Row],[SeD]]&lt;-2,Table1[[#This Row],[Winning Seed]]&amp; " over " &amp;Table1[[#This Row],[Losing Seed]],"")</f>
        <v>11 over 1</v>
      </c>
      <c r="Q1712">
        <f>VLOOKUP(Table1[[#This Row],[Losing Seed]],'Seed History'!$N$4:$O$19,2)</f>
        <v>3.3263888888888888</v>
      </c>
      <c r="R1712" s="1">
        <f>IF(Table1[[#This Row],[Round]]="PI",0,Table1[[#This Row],[Round]]-1)</f>
        <v>3</v>
      </c>
      <c r="S1712">
        <f>Table1[[#This Row],[LAW]]-Table1[[#This Row],[LEW]]</f>
        <v>-0.32638888888888884</v>
      </c>
    </row>
    <row r="1713" spans="1:19" x14ac:dyDescent="0.25">
      <c r="A1713" s="66">
        <v>40629</v>
      </c>
      <c r="B1713" s="51">
        <f>YEAR(Table1[[#This Row],[Date]])</f>
        <v>2011</v>
      </c>
      <c r="C1713" s="1">
        <v>4</v>
      </c>
      <c r="D1713" t="s">
        <v>49</v>
      </c>
      <c r="E1713" s="1">
        <v>4</v>
      </c>
      <c r="F1713" t="s">
        <v>26</v>
      </c>
      <c r="G1713" t="str">
        <f>VLOOKUP(Table1[[#This Row],[Winner]],Ranking!C:D,2,FALSE)</f>
        <v>SEC</v>
      </c>
      <c r="H1713" s="1">
        <v>76</v>
      </c>
      <c r="I1713" s="1">
        <v>2</v>
      </c>
      <c r="J1713" t="s">
        <v>298</v>
      </c>
      <c r="K1713" t="str">
        <f>VLOOKUP(Table1[[#This Row],[Loser]],Ranking!C:D,2,FALSE)</f>
        <v>ACC</v>
      </c>
      <c r="L1713" s="1">
        <v>69</v>
      </c>
      <c r="N1713" s="1">
        <f>Table1[[#This Row],[Winning Score]]-Table1[[#This Row],[Losing Score]]</f>
        <v>7</v>
      </c>
      <c r="O1713" s="1">
        <f>Table1[[#This Row],[Losing Seed]]-Table1[[#This Row],[Winning Seed]]</f>
        <v>-2</v>
      </c>
      <c r="P1713" s="1" t="str">
        <f>IF(Table1[[#This Row],[SeD]]&lt;-2,Table1[[#This Row],[Winning Seed]]&amp; " over " &amp;Table1[[#This Row],[Losing Seed]],"")</f>
        <v/>
      </c>
      <c r="Q1713">
        <f>VLOOKUP(Table1[[#This Row],[Losing Seed]],'Seed History'!$N$4:$O$19,2)</f>
        <v>2.3472222222222223</v>
      </c>
      <c r="R1713" s="1">
        <f>IF(Table1[[#This Row],[Round]]="PI",0,Table1[[#This Row],[Round]]-1)</f>
        <v>3</v>
      </c>
      <c r="S1713">
        <f>Table1[[#This Row],[LAW]]-Table1[[#This Row],[LEW]]</f>
        <v>0.65277777777777768</v>
      </c>
    </row>
    <row r="1714" spans="1:19" x14ac:dyDescent="0.25">
      <c r="A1714" s="66">
        <v>40635</v>
      </c>
      <c r="B1714" s="51">
        <f>YEAR(Table1[[#This Row],[Date]])</f>
        <v>2011</v>
      </c>
      <c r="C1714" s="1">
        <v>5</v>
      </c>
      <c r="D1714" t="s">
        <v>467</v>
      </c>
      <c r="E1714" s="1">
        <v>3</v>
      </c>
      <c r="F1714" t="s">
        <v>80</v>
      </c>
      <c r="G1714" t="str">
        <f>VLOOKUP(Table1[[#This Row],[Winner]],Ranking!C:D,2,FALSE)</f>
        <v>BE</v>
      </c>
      <c r="H1714" s="1">
        <v>56</v>
      </c>
      <c r="I1714" s="1">
        <v>4</v>
      </c>
      <c r="J1714" t="s">
        <v>26</v>
      </c>
      <c r="K1714" t="str">
        <f>VLOOKUP(Table1[[#This Row],[Loser]],Ranking!C:D,2,FALSE)</f>
        <v>SEC</v>
      </c>
      <c r="L1714" s="1">
        <v>55</v>
      </c>
      <c r="N1714" s="1">
        <f>Table1[[#This Row],[Winning Score]]-Table1[[#This Row],[Losing Score]]</f>
        <v>1</v>
      </c>
      <c r="O1714" s="1">
        <f>Table1[[#This Row],[Losing Seed]]-Table1[[#This Row],[Winning Seed]]</f>
        <v>1</v>
      </c>
      <c r="P1714" s="1" t="str">
        <f>IF(Table1[[#This Row],[SeD]]&lt;-2,Table1[[#This Row],[Winning Seed]]&amp; " over " &amp;Table1[[#This Row],[Losing Seed]],"")</f>
        <v/>
      </c>
      <c r="Q1714">
        <f>VLOOKUP(Table1[[#This Row],[Losing Seed]],'Seed History'!$N$4:$O$19,2)</f>
        <v>1.5208333333333333</v>
      </c>
      <c r="R1714" s="1">
        <f>IF(Table1[[#This Row],[Round]]="PI",0,Table1[[#This Row],[Round]]-1)</f>
        <v>4</v>
      </c>
      <c r="S1714">
        <f>Table1[[#This Row],[LAW]]-Table1[[#This Row],[LEW]]</f>
        <v>2.479166666666667</v>
      </c>
    </row>
    <row r="1715" spans="1:19" x14ac:dyDescent="0.25">
      <c r="A1715" s="66">
        <v>40635</v>
      </c>
      <c r="B1715" s="51">
        <f>YEAR(Table1[[#This Row],[Date]])</f>
        <v>2011</v>
      </c>
      <c r="C1715" s="1">
        <v>5</v>
      </c>
      <c r="D1715" t="s">
        <v>467</v>
      </c>
      <c r="E1715" s="1">
        <v>8</v>
      </c>
      <c r="F1715" t="s">
        <v>33</v>
      </c>
      <c r="G1715" t="str">
        <f>VLOOKUP(Table1[[#This Row],[Winner]],Ranking!C:D,2,FALSE)</f>
        <v>BE</v>
      </c>
      <c r="H1715" s="1">
        <v>70</v>
      </c>
      <c r="I1715" s="1">
        <v>11</v>
      </c>
      <c r="J1715" t="s">
        <v>47</v>
      </c>
      <c r="K1715" t="str">
        <f>VLOOKUP(Table1[[#This Row],[Loser]],Ranking!C:D,2,FALSE)</f>
        <v>A10</v>
      </c>
      <c r="L1715" s="1">
        <v>62</v>
      </c>
      <c r="N1715" s="1">
        <f>Table1[[#This Row],[Winning Score]]-Table1[[#This Row],[Losing Score]]</f>
        <v>8</v>
      </c>
      <c r="O1715" s="1">
        <f>Table1[[#This Row],[Losing Seed]]-Table1[[#This Row],[Winning Seed]]</f>
        <v>3</v>
      </c>
      <c r="P1715" s="1" t="str">
        <f>IF(Table1[[#This Row],[SeD]]&lt;-2,Table1[[#This Row],[Winning Seed]]&amp; " over " &amp;Table1[[#This Row],[Losing Seed]],"")</f>
        <v/>
      </c>
      <c r="Q1715">
        <f>VLOOKUP(Table1[[#This Row],[Losing Seed]],'Seed History'!$N$4:$O$19,2)</f>
        <v>0.63194444444444442</v>
      </c>
      <c r="R1715" s="1">
        <f>IF(Table1[[#This Row],[Round]]="PI",0,Table1[[#This Row],[Round]]-1)</f>
        <v>4</v>
      </c>
      <c r="S1715">
        <f>Table1[[#This Row],[LAW]]-Table1[[#This Row],[LEW]]</f>
        <v>3.3680555555555554</v>
      </c>
    </row>
    <row r="1716" spans="1:19" x14ac:dyDescent="0.25">
      <c r="A1716" s="66">
        <v>40637</v>
      </c>
      <c r="B1716" s="51">
        <f>YEAR(Table1[[#This Row],[Date]])</f>
        <v>2011</v>
      </c>
      <c r="C1716" s="1">
        <v>6</v>
      </c>
      <c r="D1716" t="s">
        <v>468</v>
      </c>
      <c r="E1716" s="1">
        <v>3</v>
      </c>
      <c r="F1716" t="s">
        <v>80</v>
      </c>
      <c r="G1716" t="str">
        <f>VLOOKUP(Table1[[#This Row],[Winner]],Ranking!C:D,2,FALSE)</f>
        <v>BE</v>
      </c>
      <c r="H1716" s="1">
        <v>53</v>
      </c>
      <c r="I1716" s="1">
        <v>8</v>
      </c>
      <c r="J1716" t="s">
        <v>33</v>
      </c>
      <c r="K1716" t="str">
        <f>VLOOKUP(Table1[[#This Row],[Loser]],Ranking!C:D,2,FALSE)</f>
        <v>BE</v>
      </c>
      <c r="L1716" s="1">
        <v>41</v>
      </c>
      <c r="N1716" s="1">
        <f>Table1[[#This Row],[Winning Score]]-Table1[[#This Row],[Losing Score]]</f>
        <v>12</v>
      </c>
      <c r="O1716" s="1">
        <f>Table1[[#This Row],[Losing Seed]]-Table1[[#This Row],[Winning Seed]]</f>
        <v>5</v>
      </c>
      <c r="P1716" s="1" t="str">
        <f>IF(Table1[[#This Row],[SeD]]&lt;-2,Table1[[#This Row],[Winning Seed]]&amp; " over " &amp;Table1[[#This Row],[Losing Seed]],"")</f>
        <v/>
      </c>
      <c r="Q1716">
        <f>VLOOKUP(Table1[[#This Row],[Losing Seed]],'Seed History'!$N$4:$O$19,2)</f>
        <v>0.70833333333333337</v>
      </c>
      <c r="R1716" s="1">
        <f>IF(Table1[[#This Row],[Round]]="PI",0,Table1[[#This Row],[Round]]-1)</f>
        <v>5</v>
      </c>
      <c r="S1716">
        <f>Table1[[#This Row],[LAW]]-Table1[[#This Row],[LEW]]</f>
        <v>4.291666666666667</v>
      </c>
    </row>
    <row r="1717" spans="1:19" x14ac:dyDescent="0.25">
      <c r="A1717" s="66">
        <v>40981</v>
      </c>
      <c r="B1717" s="51">
        <f>YEAR(Table1[[#This Row],[Date]])</f>
        <v>2012</v>
      </c>
      <c r="C1717" s="1" t="s">
        <v>476</v>
      </c>
      <c r="D1717" t="s">
        <v>63</v>
      </c>
      <c r="E1717" s="1">
        <v>16</v>
      </c>
      <c r="F1717" t="s">
        <v>415</v>
      </c>
      <c r="G1717" t="str">
        <f>VLOOKUP(Table1[[#This Row],[Winner]],Ranking!C:D,2,FALSE)</f>
        <v>CUSA</v>
      </c>
      <c r="H1717" s="1">
        <v>59</v>
      </c>
      <c r="I1717" s="1">
        <v>16</v>
      </c>
      <c r="J1717" t="s">
        <v>276</v>
      </c>
      <c r="K1717" t="str">
        <f>VLOOKUP(Table1[[#This Row],[Loser]],Ranking!C:D,2,FALSE)</f>
        <v>SWAC</v>
      </c>
      <c r="L1717" s="1">
        <v>58</v>
      </c>
      <c r="N1717" s="1">
        <f>Table1[[#This Row],[Winning Score]]-Table1[[#This Row],[Losing Score]]</f>
        <v>1</v>
      </c>
      <c r="O1717" s="1">
        <f>Table1[[#This Row],[Losing Seed]]-Table1[[#This Row],[Winning Seed]]</f>
        <v>0</v>
      </c>
      <c r="P1717" s="1" t="str">
        <f>IF(Table1[[#This Row],[SeD]]&lt;-2,Table1[[#This Row],[Winning Seed]]&amp; " over " &amp;Table1[[#This Row],[Losing Seed]],"")</f>
        <v/>
      </c>
      <c r="Q1717">
        <f>VLOOKUP(Table1[[#This Row],[Losing Seed]],'Seed History'!$N$4:$O$19,2)</f>
        <v>6.9444444444444441E-3</v>
      </c>
      <c r="R1717" s="1">
        <f>IF(Table1[[#This Row],[Round]]="PI",0,Table1[[#This Row],[Round]]-1)</f>
        <v>0</v>
      </c>
      <c r="S1717">
        <f>Table1[[#This Row],[LAW]]-Table1[[#This Row],[LEW]]</f>
        <v>-6.9444444444444441E-3</v>
      </c>
    </row>
    <row r="1718" spans="1:19" x14ac:dyDescent="0.25">
      <c r="A1718" s="66">
        <v>40981</v>
      </c>
      <c r="B1718" s="51">
        <f>YEAR(Table1[[#This Row],[Date]])</f>
        <v>2012</v>
      </c>
      <c r="C1718" s="1" t="s">
        <v>476</v>
      </c>
      <c r="D1718" t="s">
        <v>38</v>
      </c>
      <c r="E1718" s="1">
        <v>14</v>
      </c>
      <c r="F1718" t="s">
        <v>72</v>
      </c>
      <c r="G1718" t="str">
        <f>VLOOKUP(Table1[[#This Row],[Winner]],Ranking!C:D,2,FALSE)</f>
        <v>WCC</v>
      </c>
      <c r="H1718" s="1">
        <v>78</v>
      </c>
      <c r="I1718" s="1">
        <v>14</v>
      </c>
      <c r="J1718" t="s">
        <v>236</v>
      </c>
      <c r="K1718" t="str">
        <f>VLOOKUP(Table1[[#This Row],[Loser]],Ranking!C:D,2,FALSE)</f>
        <v>MAAC</v>
      </c>
      <c r="L1718" s="1">
        <v>72</v>
      </c>
      <c r="N1718" s="1">
        <f>Table1[[#This Row],[Winning Score]]-Table1[[#This Row],[Losing Score]]</f>
        <v>6</v>
      </c>
      <c r="O1718" s="1">
        <f>Table1[[#This Row],[Losing Seed]]-Table1[[#This Row],[Winning Seed]]</f>
        <v>0</v>
      </c>
      <c r="P1718" s="1" t="str">
        <f>IF(Table1[[#This Row],[SeD]]&lt;-2,Table1[[#This Row],[Winning Seed]]&amp; " over " &amp;Table1[[#This Row],[Losing Seed]],"")</f>
        <v/>
      </c>
      <c r="Q1718">
        <f>VLOOKUP(Table1[[#This Row],[Losing Seed]],'Seed History'!$N$4:$O$19,2)</f>
        <v>0.16666666666666666</v>
      </c>
      <c r="R1718" s="1">
        <f>IF(Table1[[#This Row],[Round]]="PI",0,Table1[[#This Row],[Round]]-1)</f>
        <v>0</v>
      </c>
      <c r="S1718">
        <f>Table1[[#This Row],[LAW]]-Table1[[#This Row],[LEW]]</f>
        <v>-0.16666666666666666</v>
      </c>
    </row>
    <row r="1719" spans="1:19" x14ac:dyDescent="0.25">
      <c r="A1719" s="66">
        <v>40982</v>
      </c>
      <c r="B1719" s="51">
        <f>YEAR(Table1[[#This Row],[Date]])</f>
        <v>2012</v>
      </c>
      <c r="C1719" s="1" t="s">
        <v>476</v>
      </c>
      <c r="D1719" t="s">
        <v>439</v>
      </c>
      <c r="E1719" s="1">
        <v>12</v>
      </c>
      <c r="F1719" t="s">
        <v>358</v>
      </c>
      <c r="G1719" t="str">
        <f>VLOOKUP(Table1[[#This Row],[Winner]],Ranking!C:D,2,FALSE)</f>
        <v>Amer</v>
      </c>
      <c r="H1719" s="1">
        <v>65</v>
      </c>
      <c r="I1719" s="1">
        <v>12</v>
      </c>
      <c r="J1719" t="s">
        <v>84</v>
      </c>
      <c r="K1719" t="str">
        <f>VLOOKUP(Table1[[#This Row],[Loser]],Ranking!C:D,2,FALSE)</f>
        <v>P12</v>
      </c>
      <c r="L1719" s="1">
        <v>54</v>
      </c>
      <c r="N1719" s="1">
        <f>Table1[[#This Row],[Winning Score]]-Table1[[#This Row],[Losing Score]]</f>
        <v>11</v>
      </c>
      <c r="O1719" s="1">
        <f>Table1[[#This Row],[Losing Seed]]-Table1[[#This Row],[Winning Seed]]</f>
        <v>0</v>
      </c>
      <c r="P1719" s="1" t="str">
        <f>IF(Table1[[#This Row],[SeD]]&lt;-2,Table1[[#This Row],[Winning Seed]]&amp; " over " &amp;Table1[[#This Row],[Losing Seed]],"")</f>
        <v/>
      </c>
      <c r="Q1719">
        <f>VLOOKUP(Table1[[#This Row],[Losing Seed]],'Seed History'!$N$4:$O$19,2)</f>
        <v>0.52083333333333337</v>
      </c>
      <c r="R1719" s="1">
        <f>IF(Table1[[#This Row],[Round]]="PI",0,Table1[[#This Row],[Round]]-1)</f>
        <v>0</v>
      </c>
      <c r="S1719">
        <f>Table1[[#This Row],[LAW]]-Table1[[#This Row],[LEW]]</f>
        <v>-0.52083333333333337</v>
      </c>
    </row>
    <row r="1720" spans="1:19" x14ac:dyDescent="0.25">
      <c r="A1720" s="66">
        <v>40982</v>
      </c>
      <c r="B1720" s="51">
        <f>YEAR(Table1[[#This Row],[Date]])</f>
        <v>2012</v>
      </c>
      <c r="C1720" s="1" t="s">
        <v>476</v>
      </c>
      <c r="D1720" t="s">
        <v>439</v>
      </c>
      <c r="E1720" s="1">
        <v>16</v>
      </c>
      <c r="F1720" t="s">
        <v>404</v>
      </c>
      <c r="G1720" t="str">
        <f>VLOOKUP(Table1[[#This Row],[Winner]],Ranking!C:D,2,FALSE)</f>
        <v>AE</v>
      </c>
      <c r="H1720" s="1">
        <v>71</v>
      </c>
      <c r="I1720" s="1">
        <v>16</v>
      </c>
      <c r="J1720" t="s">
        <v>247</v>
      </c>
      <c r="K1720" t="str">
        <f>VLOOKUP(Table1[[#This Row],[Loser]],Ranking!C:D,2,FALSE)</f>
        <v>Slnd</v>
      </c>
      <c r="L1720" s="1">
        <v>59</v>
      </c>
      <c r="N1720" s="1">
        <f>Table1[[#This Row],[Winning Score]]-Table1[[#This Row],[Losing Score]]</f>
        <v>12</v>
      </c>
      <c r="O1720" s="1">
        <f>Table1[[#This Row],[Losing Seed]]-Table1[[#This Row],[Winning Seed]]</f>
        <v>0</v>
      </c>
      <c r="P1720" s="1" t="str">
        <f>IF(Table1[[#This Row],[SeD]]&lt;-2,Table1[[#This Row],[Winning Seed]]&amp; " over " &amp;Table1[[#This Row],[Losing Seed]],"")</f>
        <v/>
      </c>
      <c r="Q1720">
        <f>VLOOKUP(Table1[[#This Row],[Losing Seed]],'Seed History'!$N$4:$O$19,2)</f>
        <v>6.9444444444444441E-3</v>
      </c>
      <c r="R1720" s="1">
        <f>IF(Table1[[#This Row],[Round]]="PI",0,Table1[[#This Row],[Round]]-1)</f>
        <v>0</v>
      </c>
      <c r="S1720">
        <f>Table1[[#This Row],[LAW]]-Table1[[#This Row],[LEW]]</f>
        <v>-6.9444444444444441E-3</v>
      </c>
    </row>
    <row r="1721" spans="1:19" x14ac:dyDescent="0.25">
      <c r="A1721" s="66">
        <v>40983</v>
      </c>
      <c r="B1721" s="51">
        <f>YEAR(Table1[[#This Row],[Date]])</f>
        <v>2012</v>
      </c>
      <c r="C1721" s="1">
        <v>1</v>
      </c>
      <c r="D1721" t="s">
        <v>63</v>
      </c>
      <c r="E1721" s="1">
        <v>12</v>
      </c>
      <c r="F1721" t="s">
        <v>47</v>
      </c>
      <c r="G1721" t="str">
        <f>VLOOKUP(Table1[[#This Row],[Winner]],Ranking!C:D,2,FALSE)</f>
        <v>A10</v>
      </c>
      <c r="H1721" s="1">
        <v>62</v>
      </c>
      <c r="I1721" s="1">
        <v>5</v>
      </c>
      <c r="J1721" t="s">
        <v>417</v>
      </c>
      <c r="K1721" t="str">
        <f>VLOOKUP(Table1[[#This Row],[Loser]],Ranking!C:D,2,FALSE)</f>
        <v>Amer</v>
      </c>
      <c r="L1721" s="1">
        <v>59</v>
      </c>
      <c r="N1721" s="1">
        <f>Table1[[#This Row],[Winning Score]]-Table1[[#This Row],[Losing Score]]</f>
        <v>3</v>
      </c>
      <c r="O1721" s="1">
        <f>Table1[[#This Row],[Losing Seed]]-Table1[[#This Row],[Winning Seed]]</f>
        <v>-7</v>
      </c>
      <c r="P1721" s="1" t="str">
        <f>IF(Table1[[#This Row],[SeD]]&lt;-2,Table1[[#This Row],[Winning Seed]]&amp; " over " &amp;Table1[[#This Row],[Losing Seed]],"")</f>
        <v>12 over 5</v>
      </c>
      <c r="Q1721">
        <f>VLOOKUP(Table1[[#This Row],[Losing Seed]],'Seed History'!$N$4:$O$19,2)</f>
        <v>1.1180555555555556</v>
      </c>
      <c r="R1721" s="1">
        <f>IF(Table1[[#This Row],[Round]]="PI",0,Table1[[#This Row],[Round]]-1)</f>
        <v>0</v>
      </c>
      <c r="S1721">
        <f>Table1[[#This Row],[LAW]]-Table1[[#This Row],[LEW]]</f>
        <v>-1.1180555555555556</v>
      </c>
    </row>
    <row r="1722" spans="1:19" x14ac:dyDescent="0.25">
      <c r="A1722" s="66">
        <v>40983</v>
      </c>
      <c r="B1722" s="51">
        <f>YEAR(Table1[[#This Row],[Date]])</f>
        <v>2012</v>
      </c>
      <c r="C1722" s="1">
        <v>1</v>
      </c>
      <c r="D1722" t="s">
        <v>63</v>
      </c>
      <c r="E1722" s="1">
        <v>11</v>
      </c>
      <c r="F1722" t="s">
        <v>95</v>
      </c>
      <c r="G1722" t="str">
        <f>VLOOKUP(Table1[[#This Row],[Winner]],Ranking!C:D,2,FALSE)</f>
        <v>P12</v>
      </c>
      <c r="H1722" s="1">
        <v>68</v>
      </c>
      <c r="I1722" s="1">
        <v>6</v>
      </c>
      <c r="J1722" t="s">
        <v>396</v>
      </c>
      <c r="K1722" t="str">
        <f>VLOOKUP(Table1[[#This Row],[Loser]],Ranking!C:D,2,FALSE)</f>
        <v>MWC</v>
      </c>
      <c r="L1722" s="1">
        <v>64</v>
      </c>
      <c r="N1722" s="1">
        <f>Table1[[#This Row],[Winning Score]]-Table1[[#This Row],[Losing Score]]</f>
        <v>4</v>
      </c>
      <c r="O1722" s="1">
        <f>Table1[[#This Row],[Losing Seed]]-Table1[[#This Row],[Winning Seed]]</f>
        <v>-5</v>
      </c>
      <c r="P1722" s="1" t="str">
        <f>IF(Table1[[#This Row],[SeD]]&lt;-2,Table1[[#This Row],[Winning Seed]]&amp; " over " &amp;Table1[[#This Row],[Losing Seed]],"")</f>
        <v>11 over 6</v>
      </c>
      <c r="Q1722">
        <f>VLOOKUP(Table1[[#This Row],[Losing Seed]],'Seed History'!$N$4:$O$19,2)</f>
        <v>1.0625</v>
      </c>
      <c r="R1722" s="1">
        <f>IF(Table1[[#This Row],[Round]]="PI",0,Table1[[#This Row],[Round]]-1)</f>
        <v>0</v>
      </c>
      <c r="S1722">
        <f>Table1[[#This Row],[LAW]]-Table1[[#This Row],[LEW]]</f>
        <v>-1.0625</v>
      </c>
    </row>
    <row r="1723" spans="1:19" x14ac:dyDescent="0.25">
      <c r="A1723" s="66">
        <v>40983</v>
      </c>
      <c r="B1723" s="51">
        <f>YEAR(Table1[[#This Row],[Date]])</f>
        <v>2012</v>
      </c>
      <c r="C1723" s="1">
        <v>1</v>
      </c>
      <c r="D1723" t="s">
        <v>49</v>
      </c>
      <c r="E1723" s="1">
        <v>1</v>
      </c>
      <c r="F1723" t="s">
        <v>86</v>
      </c>
      <c r="G1723" t="str">
        <f>VLOOKUP(Table1[[#This Row],[Winner]],Ranking!C:D,2,FALSE)</f>
        <v>ACC</v>
      </c>
      <c r="H1723" s="1">
        <v>72</v>
      </c>
      <c r="I1723" s="1">
        <v>16</v>
      </c>
      <c r="J1723" t="s">
        <v>393</v>
      </c>
      <c r="K1723" t="str">
        <f>VLOOKUP(Table1[[#This Row],[Loser]],Ranking!C:D,2,FALSE)</f>
        <v>BSth</v>
      </c>
      <c r="L1723" s="1">
        <v>65</v>
      </c>
      <c r="N1723" s="1">
        <f>Table1[[#This Row],[Winning Score]]-Table1[[#This Row],[Losing Score]]</f>
        <v>7</v>
      </c>
      <c r="O1723" s="1">
        <f>Table1[[#This Row],[Losing Seed]]-Table1[[#This Row],[Winning Seed]]</f>
        <v>15</v>
      </c>
      <c r="P1723" s="1" t="str">
        <f>IF(Table1[[#This Row],[SeD]]&lt;-2,Table1[[#This Row],[Winning Seed]]&amp; " over " &amp;Table1[[#This Row],[Losing Seed]],"")</f>
        <v/>
      </c>
      <c r="Q1723">
        <f>VLOOKUP(Table1[[#This Row],[Losing Seed]],'Seed History'!$N$4:$O$19,2)</f>
        <v>6.9444444444444441E-3</v>
      </c>
      <c r="R1723" s="1">
        <f>IF(Table1[[#This Row],[Round]]="PI",0,Table1[[#This Row],[Round]]-1)</f>
        <v>0</v>
      </c>
      <c r="S1723">
        <f>Table1[[#This Row],[LAW]]-Table1[[#This Row],[LEW]]</f>
        <v>-6.9444444444444441E-3</v>
      </c>
    </row>
    <row r="1724" spans="1:19" x14ac:dyDescent="0.25">
      <c r="A1724" s="66">
        <v>40983</v>
      </c>
      <c r="B1724" s="51">
        <f>YEAR(Table1[[#This Row],[Date]])</f>
        <v>2012</v>
      </c>
      <c r="C1724" s="1">
        <v>1</v>
      </c>
      <c r="D1724" t="s">
        <v>49</v>
      </c>
      <c r="E1724" s="1">
        <v>2</v>
      </c>
      <c r="F1724" t="s">
        <v>315</v>
      </c>
      <c r="G1724" t="str">
        <f>VLOOKUP(Table1[[#This Row],[Winner]],Ranking!C:D,2,FALSE)</f>
        <v>B10</v>
      </c>
      <c r="H1724" s="1">
        <v>78</v>
      </c>
      <c r="I1724" s="1">
        <v>15</v>
      </c>
      <c r="J1724" t="s">
        <v>259</v>
      </c>
      <c r="K1724" t="str">
        <f>VLOOKUP(Table1[[#This Row],[Loser]],Ranking!C:D,2,FALSE)</f>
        <v>Pat</v>
      </c>
      <c r="L1724" s="1">
        <v>59</v>
      </c>
      <c r="N1724" s="1">
        <f>Table1[[#This Row],[Winning Score]]-Table1[[#This Row],[Losing Score]]</f>
        <v>19</v>
      </c>
      <c r="O1724" s="1">
        <f>Table1[[#This Row],[Losing Seed]]-Table1[[#This Row],[Winning Seed]]</f>
        <v>13</v>
      </c>
      <c r="P1724" s="1" t="str">
        <f>IF(Table1[[#This Row],[SeD]]&lt;-2,Table1[[#This Row],[Winning Seed]]&amp; " over " &amp;Table1[[#This Row],[Losing Seed]],"")</f>
        <v/>
      </c>
      <c r="Q1724">
        <f>VLOOKUP(Table1[[#This Row],[Losing Seed]],'Seed History'!$N$4:$O$19,2)</f>
        <v>7.6388888888888895E-2</v>
      </c>
      <c r="R1724" s="1">
        <f>IF(Table1[[#This Row],[Round]]="PI",0,Table1[[#This Row],[Round]]-1)</f>
        <v>0</v>
      </c>
      <c r="S1724">
        <f>Table1[[#This Row],[LAW]]-Table1[[#This Row],[LEW]]</f>
        <v>-7.6388888888888895E-2</v>
      </c>
    </row>
    <row r="1725" spans="1:19" x14ac:dyDescent="0.25">
      <c r="A1725" s="66">
        <v>40983</v>
      </c>
      <c r="B1725" s="51">
        <f>YEAR(Table1[[#This Row],[Date]])</f>
        <v>2012</v>
      </c>
      <c r="C1725" s="1">
        <v>1</v>
      </c>
      <c r="D1725" t="s">
        <v>49</v>
      </c>
      <c r="E1725" s="1">
        <v>4</v>
      </c>
      <c r="F1725" t="s">
        <v>39</v>
      </c>
      <c r="G1725" t="str">
        <f>VLOOKUP(Table1[[#This Row],[Winner]],Ranking!C:D,2,FALSE)</f>
        <v>B10</v>
      </c>
      <c r="H1725" s="1">
        <v>73</v>
      </c>
      <c r="I1725" s="1">
        <v>13</v>
      </c>
      <c r="J1725" t="s">
        <v>280</v>
      </c>
      <c r="K1725" t="str">
        <f>VLOOKUP(Table1[[#This Row],[Loser]],Ranking!C:D,2,FALSE)</f>
        <v>BSky</v>
      </c>
      <c r="L1725" s="1">
        <v>49</v>
      </c>
      <c r="N1725" s="1">
        <f>Table1[[#This Row],[Winning Score]]-Table1[[#This Row],[Losing Score]]</f>
        <v>24</v>
      </c>
      <c r="O1725" s="1">
        <f>Table1[[#This Row],[Losing Seed]]-Table1[[#This Row],[Winning Seed]]</f>
        <v>9</v>
      </c>
      <c r="P1725" s="1" t="str">
        <f>IF(Table1[[#This Row],[SeD]]&lt;-2,Table1[[#This Row],[Winning Seed]]&amp; " over " &amp;Table1[[#This Row],[Losing Seed]],"")</f>
        <v/>
      </c>
      <c r="Q1725">
        <f>VLOOKUP(Table1[[#This Row],[Losing Seed]],'Seed History'!$N$4:$O$19,2)</f>
        <v>0.25694444444444442</v>
      </c>
      <c r="R1725" s="1">
        <f>IF(Table1[[#This Row],[Round]]="PI",0,Table1[[#This Row],[Round]]-1)</f>
        <v>0</v>
      </c>
      <c r="S1725">
        <f>Table1[[#This Row],[LAW]]-Table1[[#This Row],[LEW]]</f>
        <v>-0.25694444444444442</v>
      </c>
    </row>
    <row r="1726" spans="1:19" x14ac:dyDescent="0.25">
      <c r="A1726" s="66">
        <v>40983</v>
      </c>
      <c r="B1726" s="51">
        <f>YEAR(Table1[[#This Row],[Date]])</f>
        <v>2012</v>
      </c>
      <c r="C1726" s="1">
        <v>1</v>
      </c>
      <c r="D1726" t="s">
        <v>49</v>
      </c>
      <c r="E1726" s="1">
        <v>5</v>
      </c>
      <c r="F1726" t="s">
        <v>78</v>
      </c>
      <c r="G1726" t="str">
        <f>VLOOKUP(Table1[[#This Row],[Winner]],Ranking!C:D,2,FALSE)</f>
        <v>SEC</v>
      </c>
      <c r="H1726" s="1">
        <v>79</v>
      </c>
      <c r="I1726" s="1">
        <v>12</v>
      </c>
      <c r="J1726" t="s">
        <v>43</v>
      </c>
      <c r="K1726" t="str">
        <f>VLOOKUP(Table1[[#This Row],[Loser]],Ranking!C:D,2,FALSE)</f>
        <v>Ivy</v>
      </c>
      <c r="L1726" s="1">
        <v>70</v>
      </c>
      <c r="N1726" s="1">
        <f>Table1[[#This Row],[Winning Score]]-Table1[[#This Row],[Losing Score]]</f>
        <v>9</v>
      </c>
      <c r="O1726" s="1">
        <f>Table1[[#This Row],[Losing Seed]]-Table1[[#This Row],[Winning Seed]]</f>
        <v>7</v>
      </c>
      <c r="P1726" s="1" t="str">
        <f>IF(Table1[[#This Row],[SeD]]&lt;-2,Table1[[#This Row],[Winning Seed]]&amp; " over " &amp;Table1[[#This Row],[Losing Seed]],"")</f>
        <v/>
      </c>
      <c r="Q1726">
        <f>VLOOKUP(Table1[[#This Row],[Losing Seed]],'Seed History'!$N$4:$O$19,2)</f>
        <v>0.52083333333333337</v>
      </c>
      <c r="R1726" s="1">
        <f>IF(Table1[[#This Row],[Round]]="PI",0,Table1[[#This Row],[Round]]-1)</f>
        <v>0</v>
      </c>
      <c r="S1726">
        <f>Table1[[#This Row],[LAW]]-Table1[[#This Row],[LEW]]</f>
        <v>-0.52083333333333337</v>
      </c>
    </row>
    <row r="1727" spans="1:19" x14ac:dyDescent="0.25">
      <c r="A1727" s="66">
        <v>40983</v>
      </c>
      <c r="B1727" s="51">
        <f>YEAR(Table1[[#This Row],[Date]])</f>
        <v>2012</v>
      </c>
      <c r="C1727" s="1">
        <v>1</v>
      </c>
      <c r="D1727" t="s">
        <v>49</v>
      </c>
      <c r="E1727" s="1">
        <v>7</v>
      </c>
      <c r="F1727" t="s">
        <v>71</v>
      </c>
      <c r="G1727" t="str">
        <f>VLOOKUP(Table1[[#This Row],[Winner]],Ranking!C:D,2,FALSE)</f>
        <v>WCC</v>
      </c>
      <c r="H1727" s="1">
        <v>77</v>
      </c>
      <c r="I1727" s="1">
        <v>10</v>
      </c>
      <c r="J1727" t="s">
        <v>412</v>
      </c>
      <c r="K1727" t="str">
        <f>VLOOKUP(Table1[[#This Row],[Loser]],Ranking!C:D,2,FALSE)</f>
        <v>B12</v>
      </c>
      <c r="L1727" s="1">
        <v>54</v>
      </c>
      <c r="N1727" s="1">
        <f>Table1[[#This Row],[Winning Score]]-Table1[[#This Row],[Losing Score]]</f>
        <v>23</v>
      </c>
      <c r="O1727" s="1">
        <f>Table1[[#This Row],[Losing Seed]]-Table1[[#This Row],[Winning Seed]]</f>
        <v>3</v>
      </c>
      <c r="P1727" s="1" t="str">
        <f>IF(Table1[[#This Row],[SeD]]&lt;-2,Table1[[#This Row],[Winning Seed]]&amp; " over " &amp;Table1[[#This Row],[Losing Seed]],"")</f>
        <v/>
      </c>
      <c r="Q1727">
        <f>VLOOKUP(Table1[[#This Row],[Losing Seed]],'Seed History'!$N$4:$O$19,2)</f>
        <v>0.61805555555555558</v>
      </c>
      <c r="R1727" s="1">
        <f>IF(Table1[[#This Row],[Round]]="PI",0,Table1[[#This Row],[Round]]-1)</f>
        <v>0</v>
      </c>
      <c r="S1727">
        <f>Table1[[#This Row],[LAW]]-Table1[[#This Row],[LEW]]</f>
        <v>-0.61805555555555558</v>
      </c>
    </row>
    <row r="1728" spans="1:19" x14ac:dyDescent="0.25">
      <c r="A1728" s="66">
        <v>40983</v>
      </c>
      <c r="B1728" s="51">
        <f>YEAR(Table1[[#This Row],[Date]])</f>
        <v>2012</v>
      </c>
      <c r="C1728" s="1">
        <v>1</v>
      </c>
      <c r="D1728" t="s">
        <v>49</v>
      </c>
      <c r="E1728" s="1">
        <v>8</v>
      </c>
      <c r="F1728" t="s">
        <v>243</v>
      </c>
      <c r="G1728" t="str">
        <f>VLOOKUP(Table1[[#This Row],[Winner]],Ranking!C:D,2,FALSE)</f>
        <v>B12</v>
      </c>
      <c r="H1728" s="1">
        <v>70</v>
      </c>
      <c r="I1728" s="1">
        <v>9</v>
      </c>
      <c r="J1728" t="s">
        <v>363</v>
      </c>
      <c r="K1728" t="str">
        <f>VLOOKUP(Table1[[#This Row],[Loser]],Ranking!C:D,2,FALSE)</f>
        <v>CUSA</v>
      </c>
      <c r="L1728" s="1">
        <v>64</v>
      </c>
      <c r="N1728" s="1">
        <f>Table1[[#This Row],[Winning Score]]-Table1[[#This Row],[Losing Score]]</f>
        <v>6</v>
      </c>
      <c r="O1728" s="1">
        <f>Table1[[#This Row],[Losing Seed]]-Table1[[#This Row],[Winning Seed]]</f>
        <v>1</v>
      </c>
      <c r="P1728" s="1" t="str">
        <f>IF(Table1[[#This Row],[SeD]]&lt;-2,Table1[[#This Row],[Winning Seed]]&amp; " over " &amp;Table1[[#This Row],[Losing Seed]],"")</f>
        <v/>
      </c>
      <c r="Q1728">
        <f>VLOOKUP(Table1[[#This Row],[Losing Seed]],'Seed History'!$N$4:$O$19,2)</f>
        <v>0.59027777777777779</v>
      </c>
      <c r="R1728" s="1">
        <f>IF(Table1[[#This Row],[Round]]="PI",0,Table1[[#This Row],[Round]]-1)</f>
        <v>0</v>
      </c>
      <c r="S1728">
        <f>Table1[[#This Row],[LAW]]-Table1[[#This Row],[LEW]]</f>
        <v>-0.59027777777777779</v>
      </c>
    </row>
    <row r="1729" spans="1:19" x14ac:dyDescent="0.25">
      <c r="A1729" s="66">
        <v>40983</v>
      </c>
      <c r="B1729" s="51">
        <f>YEAR(Table1[[#This Row],[Date]])</f>
        <v>2012</v>
      </c>
      <c r="C1729" s="1">
        <v>1</v>
      </c>
      <c r="D1729" t="s">
        <v>63</v>
      </c>
      <c r="E1729" s="1">
        <v>1</v>
      </c>
      <c r="F1729" t="s">
        <v>26</v>
      </c>
      <c r="G1729" t="str">
        <f>VLOOKUP(Table1[[#This Row],[Winner]],Ranking!C:D,2,FALSE)</f>
        <v>SEC</v>
      </c>
      <c r="H1729" s="1">
        <v>81</v>
      </c>
      <c r="I1729" s="1">
        <v>16</v>
      </c>
      <c r="J1729" t="s">
        <v>415</v>
      </c>
      <c r="K1729" t="str">
        <f>VLOOKUP(Table1[[#This Row],[Loser]],Ranking!C:D,2,FALSE)</f>
        <v>CUSA</v>
      </c>
      <c r="L1729" s="1">
        <v>66</v>
      </c>
      <c r="N1729" s="1">
        <f>Table1[[#This Row],[Winning Score]]-Table1[[#This Row],[Losing Score]]</f>
        <v>15</v>
      </c>
      <c r="O1729" s="1">
        <f>Table1[[#This Row],[Losing Seed]]-Table1[[#This Row],[Winning Seed]]</f>
        <v>15</v>
      </c>
      <c r="P1729" s="1" t="str">
        <f>IF(Table1[[#This Row],[SeD]]&lt;-2,Table1[[#This Row],[Winning Seed]]&amp; " over " &amp;Table1[[#This Row],[Losing Seed]],"")</f>
        <v/>
      </c>
      <c r="Q1729">
        <f>VLOOKUP(Table1[[#This Row],[Losing Seed]],'Seed History'!$N$4:$O$19,2)</f>
        <v>6.9444444444444441E-3</v>
      </c>
      <c r="R1729" s="1">
        <f>IF(Table1[[#This Row],[Round]]="PI",0,Table1[[#This Row],[Round]]-1)</f>
        <v>0</v>
      </c>
      <c r="S1729">
        <f>Table1[[#This Row],[LAW]]-Table1[[#This Row],[LEW]]</f>
        <v>-6.9444444444444441E-3</v>
      </c>
    </row>
    <row r="1730" spans="1:19" x14ac:dyDescent="0.25">
      <c r="A1730" s="66">
        <v>40983</v>
      </c>
      <c r="B1730" s="51">
        <f>YEAR(Table1[[#This Row],[Date]])</f>
        <v>2012</v>
      </c>
      <c r="C1730" s="1">
        <v>1</v>
      </c>
      <c r="D1730" t="s">
        <v>63</v>
      </c>
      <c r="E1730" s="1">
        <v>3</v>
      </c>
      <c r="F1730" t="s">
        <v>46</v>
      </c>
      <c r="G1730" t="str">
        <f>VLOOKUP(Table1[[#This Row],[Winner]],Ranking!C:D,2,FALSE)</f>
        <v>B12</v>
      </c>
      <c r="H1730" s="1">
        <v>68</v>
      </c>
      <c r="I1730" s="1">
        <v>14</v>
      </c>
      <c r="J1730" t="s">
        <v>357</v>
      </c>
      <c r="K1730" t="str">
        <f>VLOOKUP(Table1[[#This Row],[Loser]],Ranking!C:D,2,FALSE)</f>
        <v>Sum</v>
      </c>
      <c r="L1730" s="1">
        <v>60</v>
      </c>
      <c r="N1730" s="1">
        <f>Table1[[#This Row],[Winning Score]]-Table1[[#This Row],[Losing Score]]</f>
        <v>8</v>
      </c>
      <c r="O1730" s="1">
        <f>Table1[[#This Row],[Losing Seed]]-Table1[[#This Row],[Winning Seed]]</f>
        <v>11</v>
      </c>
      <c r="P1730" s="1" t="str">
        <f>IF(Table1[[#This Row],[SeD]]&lt;-2,Table1[[#This Row],[Winning Seed]]&amp; " over " &amp;Table1[[#This Row],[Losing Seed]],"")</f>
        <v/>
      </c>
      <c r="Q1730">
        <f>VLOOKUP(Table1[[#This Row],[Losing Seed]],'Seed History'!$N$4:$O$19,2)</f>
        <v>0.16666666666666666</v>
      </c>
      <c r="R1730" s="1">
        <f>IF(Table1[[#This Row],[Round]]="PI",0,Table1[[#This Row],[Round]]-1)</f>
        <v>0</v>
      </c>
      <c r="S1730">
        <f>Table1[[#This Row],[LAW]]-Table1[[#This Row],[LEW]]</f>
        <v>-0.16666666666666666</v>
      </c>
    </row>
    <row r="1731" spans="1:19" x14ac:dyDescent="0.25">
      <c r="A1731" s="66">
        <v>40983</v>
      </c>
      <c r="B1731" s="51">
        <f>YEAR(Table1[[#This Row],[Date]])</f>
        <v>2012</v>
      </c>
      <c r="C1731" s="1">
        <v>1</v>
      </c>
      <c r="D1731" t="s">
        <v>63</v>
      </c>
      <c r="E1731" s="1">
        <v>4</v>
      </c>
      <c r="F1731" t="s">
        <v>36</v>
      </c>
      <c r="G1731" t="str">
        <f>VLOOKUP(Table1[[#This Row],[Winner]],Ranking!C:D,2,FALSE)</f>
        <v>B10</v>
      </c>
      <c r="H1731" s="1">
        <v>79</v>
      </c>
      <c r="I1731" s="1">
        <v>13</v>
      </c>
      <c r="J1731" t="s">
        <v>292</v>
      </c>
      <c r="K1731" t="str">
        <f>VLOOKUP(Table1[[#This Row],[Loser]],Ranking!C:D,2,FALSE)</f>
        <v>WAC</v>
      </c>
      <c r="L1731" s="1">
        <v>66</v>
      </c>
      <c r="N1731" s="1">
        <f>Table1[[#This Row],[Winning Score]]-Table1[[#This Row],[Losing Score]]</f>
        <v>13</v>
      </c>
      <c r="O1731" s="1">
        <f>Table1[[#This Row],[Losing Seed]]-Table1[[#This Row],[Winning Seed]]</f>
        <v>9</v>
      </c>
      <c r="P1731" s="1" t="str">
        <f>IF(Table1[[#This Row],[SeD]]&lt;-2,Table1[[#This Row],[Winning Seed]]&amp; " over " &amp;Table1[[#This Row],[Losing Seed]],"")</f>
        <v/>
      </c>
      <c r="Q1731">
        <f>VLOOKUP(Table1[[#This Row],[Losing Seed]],'Seed History'!$N$4:$O$19,2)</f>
        <v>0.25694444444444442</v>
      </c>
      <c r="R1731" s="1">
        <f>IF(Table1[[#This Row],[Round]]="PI",0,Table1[[#This Row],[Round]]-1)</f>
        <v>0</v>
      </c>
      <c r="S1731">
        <f>Table1[[#This Row],[LAW]]-Table1[[#This Row],[LEW]]</f>
        <v>-0.25694444444444442</v>
      </c>
    </row>
    <row r="1732" spans="1:19" x14ac:dyDescent="0.25">
      <c r="A1732" s="66">
        <v>40983</v>
      </c>
      <c r="B1732" s="51">
        <f>YEAR(Table1[[#This Row],[Date]])</f>
        <v>2012</v>
      </c>
      <c r="C1732" s="1">
        <v>1</v>
      </c>
      <c r="D1732" t="s">
        <v>63</v>
      </c>
      <c r="E1732" s="1">
        <v>8</v>
      </c>
      <c r="F1732" t="s">
        <v>237</v>
      </c>
      <c r="G1732" t="str">
        <f>VLOOKUP(Table1[[#This Row],[Winner]],Ranking!C:D,2,FALSE)</f>
        <v>B12</v>
      </c>
      <c r="H1732" s="1">
        <v>77</v>
      </c>
      <c r="I1732" s="1">
        <v>9</v>
      </c>
      <c r="J1732" t="s">
        <v>80</v>
      </c>
      <c r="K1732" t="str">
        <f>VLOOKUP(Table1[[#This Row],[Loser]],Ranking!C:D,2,FALSE)</f>
        <v>BE</v>
      </c>
      <c r="L1732" s="1">
        <v>64</v>
      </c>
      <c r="N1732" s="1">
        <f>Table1[[#This Row],[Winning Score]]-Table1[[#This Row],[Losing Score]]</f>
        <v>13</v>
      </c>
      <c r="O1732" s="1">
        <f>Table1[[#This Row],[Losing Seed]]-Table1[[#This Row],[Winning Seed]]</f>
        <v>1</v>
      </c>
      <c r="P1732" s="1" t="str">
        <f>IF(Table1[[#This Row],[SeD]]&lt;-2,Table1[[#This Row],[Winning Seed]]&amp; " over " &amp;Table1[[#This Row],[Losing Seed]],"")</f>
        <v/>
      </c>
      <c r="Q1732">
        <f>VLOOKUP(Table1[[#This Row],[Losing Seed]],'Seed History'!$N$4:$O$19,2)</f>
        <v>0.59027777777777779</v>
      </c>
      <c r="R1732" s="1">
        <f>IF(Table1[[#This Row],[Round]]="PI",0,Table1[[#This Row],[Round]]-1)</f>
        <v>0</v>
      </c>
      <c r="S1732">
        <f>Table1[[#This Row],[LAW]]-Table1[[#This Row],[LEW]]</f>
        <v>-0.59027777777777779</v>
      </c>
    </row>
    <row r="1733" spans="1:19" x14ac:dyDescent="0.25">
      <c r="A1733" s="66">
        <v>40983</v>
      </c>
      <c r="B1733" s="51">
        <f>YEAR(Table1[[#This Row],[Date]])</f>
        <v>2012</v>
      </c>
      <c r="C1733" s="1">
        <v>1</v>
      </c>
      <c r="D1733" t="s">
        <v>38</v>
      </c>
      <c r="E1733" s="1">
        <v>3</v>
      </c>
      <c r="F1733" t="s">
        <v>262</v>
      </c>
      <c r="G1733" t="str">
        <f>VLOOKUP(Table1[[#This Row],[Winner]],Ranking!C:D,2,FALSE)</f>
        <v>BE</v>
      </c>
      <c r="H1733" s="1">
        <v>88</v>
      </c>
      <c r="I1733" s="1">
        <v>14</v>
      </c>
      <c r="J1733" t="s">
        <v>72</v>
      </c>
      <c r="K1733" t="str">
        <f>VLOOKUP(Table1[[#This Row],[Loser]],Ranking!C:D,2,FALSE)</f>
        <v>WCC</v>
      </c>
      <c r="L1733" s="1">
        <v>68</v>
      </c>
      <c r="N1733" s="1">
        <f>Table1[[#This Row],[Winning Score]]-Table1[[#This Row],[Losing Score]]</f>
        <v>20</v>
      </c>
      <c r="O1733" s="1">
        <f>Table1[[#This Row],[Losing Seed]]-Table1[[#This Row],[Winning Seed]]</f>
        <v>11</v>
      </c>
      <c r="P1733" s="1" t="str">
        <f>IF(Table1[[#This Row],[SeD]]&lt;-2,Table1[[#This Row],[Winning Seed]]&amp; " over " &amp;Table1[[#This Row],[Losing Seed]],"")</f>
        <v/>
      </c>
      <c r="Q1733">
        <f>VLOOKUP(Table1[[#This Row],[Losing Seed]],'Seed History'!$N$4:$O$19,2)</f>
        <v>0.16666666666666666</v>
      </c>
      <c r="R1733" s="1">
        <f>IF(Table1[[#This Row],[Round]]="PI",0,Table1[[#This Row],[Round]]-1)</f>
        <v>0</v>
      </c>
      <c r="S1733">
        <f>Table1[[#This Row],[LAW]]-Table1[[#This Row],[LEW]]</f>
        <v>-0.16666666666666666</v>
      </c>
    </row>
    <row r="1734" spans="1:19" x14ac:dyDescent="0.25">
      <c r="A1734" s="66">
        <v>40983</v>
      </c>
      <c r="B1734" s="51">
        <f>YEAR(Table1[[#This Row],[Date]])</f>
        <v>2012</v>
      </c>
      <c r="C1734" s="1">
        <v>1</v>
      </c>
      <c r="D1734" t="s">
        <v>38</v>
      </c>
      <c r="E1734" s="1">
        <v>4</v>
      </c>
      <c r="F1734" t="s">
        <v>54</v>
      </c>
      <c r="G1734" t="str">
        <f>VLOOKUP(Table1[[#This Row],[Winner]],Ranking!C:D,2,FALSE)</f>
        <v>ACC</v>
      </c>
      <c r="H1734" s="1">
        <v>69</v>
      </c>
      <c r="I1734" s="1">
        <v>13</v>
      </c>
      <c r="J1734" t="s">
        <v>70</v>
      </c>
      <c r="K1734" t="str">
        <f>VLOOKUP(Table1[[#This Row],[Loser]],Ranking!C:D,2,FALSE)</f>
        <v>A10</v>
      </c>
      <c r="L1734" s="1">
        <v>62</v>
      </c>
      <c r="N1734" s="1">
        <f>Table1[[#This Row],[Winning Score]]-Table1[[#This Row],[Losing Score]]</f>
        <v>7</v>
      </c>
      <c r="O1734" s="1">
        <f>Table1[[#This Row],[Losing Seed]]-Table1[[#This Row],[Winning Seed]]</f>
        <v>9</v>
      </c>
      <c r="P1734" s="1" t="str">
        <f>IF(Table1[[#This Row],[SeD]]&lt;-2,Table1[[#This Row],[Winning Seed]]&amp; " over " &amp;Table1[[#This Row],[Losing Seed]],"")</f>
        <v/>
      </c>
      <c r="Q1734">
        <f>VLOOKUP(Table1[[#This Row],[Losing Seed]],'Seed History'!$N$4:$O$19,2)</f>
        <v>0.25694444444444442</v>
      </c>
      <c r="R1734" s="1">
        <f>IF(Table1[[#This Row],[Round]]="PI",0,Table1[[#This Row],[Round]]-1)</f>
        <v>0</v>
      </c>
      <c r="S1734">
        <f>Table1[[#This Row],[LAW]]-Table1[[#This Row],[LEW]]</f>
        <v>-0.25694444444444442</v>
      </c>
    </row>
    <row r="1735" spans="1:19" x14ac:dyDescent="0.25">
      <c r="A1735" s="66">
        <v>40983</v>
      </c>
      <c r="B1735" s="51">
        <f>YEAR(Table1[[#This Row],[Date]])</f>
        <v>2012</v>
      </c>
      <c r="C1735" s="1">
        <v>1</v>
      </c>
      <c r="D1735" t="s">
        <v>38</v>
      </c>
      <c r="E1735" s="1">
        <v>5</v>
      </c>
      <c r="F1735" t="s">
        <v>291</v>
      </c>
      <c r="G1735" t="str">
        <f>VLOOKUP(Table1[[#This Row],[Winner]],Ranking!C:D,2,FALSE)</f>
        <v>MWC</v>
      </c>
      <c r="H1735" s="1">
        <v>75</v>
      </c>
      <c r="I1735" s="1">
        <v>12</v>
      </c>
      <c r="J1735" t="s">
        <v>252</v>
      </c>
      <c r="K1735" t="str">
        <f>VLOOKUP(Table1[[#This Row],[Loser]],Ranking!C:D,2,FALSE)</f>
        <v>BW</v>
      </c>
      <c r="L1735" s="1">
        <v>68</v>
      </c>
      <c r="N1735" s="1">
        <f>Table1[[#This Row],[Winning Score]]-Table1[[#This Row],[Losing Score]]</f>
        <v>7</v>
      </c>
      <c r="O1735" s="1">
        <f>Table1[[#This Row],[Losing Seed]]-Table1[[#This Row],[Winning Seed]]</f>
        <v>7</v>
      </c>
      <c r="P1735" s="1" t="str">
        <f>IF(Table1[[#This Row],[SeD]]&lt;-2,Table1[[#This Row],[Winning Seed]]&amp; " over " &amp;Table1[[#This Row],[Losing Seed]],"")</f>
        <v/>
      </c>
      <c r="Q1735">
        <f>VLOOKUP(Table1[[#This Row],[Losing Seed]],'Seed History'!$N$4:$O$19,2)</f>
        <v>0.52083333333333337</v>
      </c>
      <c r="R1735" s="1">
        <f>IF(Table1[[#This Row],[Round]]="PI",0,Table1[[#This Row],[Round]]-1)</f>
        <v>0</v>
      </c>
      <c r="S1735">
        <f>Table1[[#This Row],[LAW]]-Table1[[#This Row],[LEW]]</f>
        <v>-0.52083333333333337</v>
      </c>
    </row>
    <row r="1736" spans="1:19" x14ac:dyDescent="0.25">
      <c r="A1736" s="66">
        <v>40983</v>
      </c>
      <c r="B1736" s="51">
        <f>YEAR(Table1[[#This Row],[Date]])</f>
        <v>2012</v>
      </c>
      <c r="C1736" s="1">
        <v>1</v>
      </c>
      <c r="D1736" t="s">
        <v>38</v>
      </c>
      <c r="E1736" s="1">
        <v>6</v>
      </c>
      <c r="F1736" t="s">
        <v>285</v>
      </c>
      <c r="G1736" t="str">
        <f>VLOOKUP(Table1[[#This Row],[Winner]],Ranking!C:D,2,FALSE)</f>
        <v>OVC</v>
      </c>
      <c r="H1736" s="1">
        <v>58</v>
      </c>
      <c r="I1736" s="1">
        <v>11</v>
      </c>
      <c r="J1736" t="s">
        <v>176</v>
      </c>
      <c r="K1736" t="str">
        <f>VLOOKUP(Table1[[#This Row],[Loser]],Ranking!C:D,2,FALSE)</f>
        <v>MWC</v>
      </c>
      <c r="L1736" s="1">
        <v>41</v>
      </c>
      <c r="N1736" s="1">
        <f>Table1[[#This Row],[Winning Score]]-Table1[[#This Row],[Losing Score]]</f>
        <v>17</v>
      </c>
      <c r="O1736" s="1">
        <f>Table1[[#This Row],[Losing Seed]]-Table1[[#This Row],[Winning Seed]]</f>
        <v>5</v>
      </c>
      <c r="P1736" s="1" t="str">
        <f>IF(Table1[[#This Row],[SeD]]&lt;-2,Table1[[#This Row],[Winning Seed]]&amp; " over " &amp;Table1[[#This Row],[Losing Seed]],"")</f>
        <v/>
      </c>
      <c r="Q1736">
        <f>VLOOKUP(Table1[[#This Row],[Losing Seed]],'Seed History'!$N$4:$O$19,2)</f>
        <v>0.63194444444444442</v>
      </c>
      <c r="R1736" s="1">
        <f>IF(Table1[[#This Row],[Round]]="PI",0,Table1[[#This Row],[Round]]-1)</f>
        <v>0</v>
      </c>
      <c r="S1736">
        <f>Table1[[#This Row],[LAW]]-Table1[[#This Row],[LEW]]</f>
        <v>-0.63194444444444442</v>
      </c>
    </row>
    <row r="1737" spans="1:19" x14ac:dyDescent="0.25">
      <c r="A1737" s="66">
        <v>40984</v>
      </c>
      <c r="B1737" s="51">
        <f>YEAR(Table1[[#This Row],[Date]])</f>
        <v>2012</v>
      </c>
      <c r="C1737" s="1">
        <v>1</v>
      </c>
      <c r="D1737" t="s">
        <v>63</v>
      </c>
      <c r="E1737" s="1">
        <v>15</v>
      </c>
      <c r="F1737" t="s">
        <v>248</v>
      </c>
      <c r="G1737" t="str">
        <f>VLOOKUP(Table1[[#This Row],[Winner]],Ranking!C:D,2,FALSE)</f>
        <v>Pat</v>
      </c>
      <c r="H1737" s="1">
        <v>75</v>
      </c>
      <c r="I1737" s="1">
        <v>2</v>
      </c>
      <c r="J1737" t="s">
        <v>64</v>
      </c>
      <c r="K1737" t="str">
        <f>VLOOKUP(Table1[[#This Row],[Loser]],Ranking!C:D,2,FALSE)</f>
        <v>ACC</v>
      </c>
      <c r="L1737" s="1">
        <v>70</v>
      </c>
      <c r="N1737" s="1">
        <f>Table1[[#This Row],[Winning Score]]-Table1[[#This Row],[Losing Score]]</f>
        <v>5</v>
      </c>
      <c r="O1737" s="1">
        <f>Table1[[#This Row],[Losing Seed]]-Table1[[#This Row],[Winning Seed]]</f>
        <v>-13</v>
      </c>
      <c r="P1737" s="1" t="str">
        <f>IF(Table1[[#This Row],[SeD]]&lt;-2,Table1[[#This Row],[Winning Seed]]&amp; " over " &amp;Table1[[#This Row],[Losing Seed]],"")</f>
        <v>15 over 2</v>
      </c>
      <c r="Q1737">
        <f>VLOOKUP(Table1[[#This Row],[Losing Seed]],'Seed History'!$N$4:$O$19,2)</f>
        <v>2.3472222222222223</v>
      </c>
      <c r="R1737" s="1">
        <f>IF(Table1[[#This Row],[Round]]="PI",0,Table1[[#This Row],[Round]]-1)</f>
        <v>0</v>
      </c>
      <c r="S1737">
        <f>Table1[[#This Row],[LAW]]-Table1[[#This Row],[LEW]]</f>
        <v>-2.3472222222222223</v>
      </c>
    </row>
    <row r="1738" spans="1:19" x14ac:dyDescent="0.25">
      <c r="A1738" s="66">
        <v>40984</v>
      </c>
      <c r="B1738" s="51">
        <f>YEAR(Table1[[#This Row],[Date]])</f>
        <v>2012</v>
      </c>
      <c r="C1738" s="1">
        <v>1</v>
      </c>
      <c r="D1738" t="s">
        <v>38</v>
      </c>
      <c r="E1738" s="1">
        <v>15</v>
      </c>
      <c r="F1738" t="s">
        <v>297</v>
      </c>
      <c r="G1738" t="str">
        <f>VLOOKUP(Table1[[#This Row],[Winner]],Ranking!C:D,2,FALSE)</f>
        <v>MEAC</v>
      </c>
      <c r="H1738" s="1">
        <v>86</v>
      </c>
      <c r="I1738" s="1">
        <v>2</v>
      </c>
      <c r="J1738" t="s">
        <v>277</v>
      </c>
      <c r="K1738" t="str">
        <f>VLOOKUP(Table1[[#This Row],[Loser]],Ranking!C:D,2,FALSE)</f>
        <v>SEC</v>
      </c>
      <c r="L1738" s="1">
        <v>84</v>
      </c>
      <c r="N1738" s="1">
        <f>Table1[[#This Row],[Winning Score]]-Table1[[#This Row],[Losing Score]]</f>
        <v>2</v>
      </c>
      <c r="O1738" s="1">
        <f>Table1[[#This Row],[Losing Seed]]-Table1[[#This Row],[Winning Seed]]</f>
        <v>-13</v>
      </c>
      <c r="P1738" s="1" t="str">
        <f>IF(Table1[[#This Row],[SeD]]&lt;-2,Table1[[#This Row],[Winning Seed]]&amp; " over " &amp;Table1[[#This Row],[Losing Seed]],"")</f>
        <v>15 over 2</v>
      </c>
      <c r="Q1738">
        <f>VLOOKUP(Table1[[#This Row],[Losing Seed]],'Seed History'!$N$4:$O$19,2)</f>
        <v>2.3472222222222223</v>
      </c>
      <c r="R1738" s="1">
        <f>IF(Table1[[#This Row],[Round]]="PI",0,Table1[[#This Row],[Round]]-1)</f>
        <v>0</v>
      </c>
      <c r="S1738">
        <f>Table1[[#This Row],[LAW]]-Table1[[#This Row],[LEW]]</f>
        <v>-2.3472222222222223</v>
      </c>
    </row>
    <row r="1739" spans="1:19" x14ac:dyDescent="0.25">
      <c r="A1739" s="66">
        <v>40984</v>
      </c>
      <c r="B1739" s="51">
        <f>YEAR(Table1[[#This Row],[Date]])</f>
        <v>2012</v>
      </c>
      <c r="C1739" s="1">
        <v>1</v>
      </c>
      <c r="D1739" t="s">
        <v>439</v>
      </c>
      <c r="E1739" s="1">
        <v>13</v>
      </c>
      <c r="F1739" t="s">
        <v>314</v>
      </c>
      <c r="G1739" t="str">
        <f>VLOOKUP(Table1[[#This Row],[Winner]],Ranking!C:D,2,FALSE)</f>
        <v>MAC</v>
      </c>
      <c r="H1739" s="1">
        <v>65</v>
      </c>
      <c r="I1739" s="1">
        <v>4</v>
      </c>
      <c r="J1739" t="s">
        <v>82</v>
      </c>
      <c r="K1739" t="str">
        <f>VLOOKUP(Table1[[#This Row],[Loser]],Ranking!C:D,2,FALSE)</f>
        <v>B10</v>
      </c>
      <c r="L1739" s="1">
        <v>60</v>
      </c>
      <c r="N1739" s="1">
        <f>Table1[[#This Row],[Winning Score]]-Table1[[#This Row],[Losing Score]]</f>
        <v>5</v>
      </c>
      <c r="O1739" s="1">
        <f>Table1[[#This Row],[Losing Seed]]-Table1[[#This Row],[Winning Seed]]</f>
        <v>-9</v>
      </c>
      <c r="P1739" s="1" t="str">
        <f>IF(Table1[[#This Row],[SeD]]&lt;-2,Table1[[#This Row],[Winning Seed]]&amp; " over " &amp;Table1[[#This Row],[Losing Seed]],"")</f>
        <v>13 over 4</v>
      </c>
      <c r="Q1739">
        <f>VLOOKUP(Table1[[#This Row],[Losing Seed]],'Seed History'!$N$4:$O$19,2)</f>
        <v>1.5208333333333333</v>
      </c>
      <c r="R1739" s="1">
        <f>IF(Table1[[#This Row],[Round]]="PI",0,Table1[[#This Row],[Round]]-1)</f>
        <v>0</v>
      </c>
      <c r="S1739">
        <f>Table1[[#This Row],[LAW]]-Table1[[#This Row],[LEW]]</f>
        <v>-1.5208333333333333</v>
      </c>
    </row>
    <row r="1740" spans="1:19" x14ac:dyDescent="0.25">
      <c r="A1740" s="66">
        <v>40984</v>
      </c>
      <c r="B1740" s="51">
        <f>YEAR(Table1[[#This Row],[Date]])</f>
        <v>2012</v>
      </c>
      <c r="C1740" s="1">
        <v>1</v>
      </c>
      <c r="D1740" t="s">
        <v>439</v>
      </c>
      <c r="E1740" s="1">
        <v>12</v>
      </c>
      <c r="F1740" t="s">
        <v>358</v>
      </c>
      <c r="G1740" t="str">
        <f>VLOOKUP(Table1[[#This Row],[Winner]],Ranking!C:D,2,FALSE)</f>
        <v>Amer</v>
      </c>
      <c r="H1740" s="1">
        <v>58</v>
      </c>
      <c r="I1740" s="1">
        <v>5</v>
      </c>
      <c r="J1740" t="s">
        <v>373</v>
      </c>
      <c r="K1740" t="str">
        <f>VLOOKUP(Table1[[#This Row],[Loser]],Ranking!C:D,2,FALSE)</f>
        <v>Amer</v>
      </c>
      <c r="L1740" s="1">
        <v>44</v>
      </c>
      <c r="N1740" s="1">
        <f>Table1[[#This Row],[Winning Score]]-Table1[[#This Row],[Losing Score]]</f>
        <v>14</v>
      </c>
      <c r="O1740" s="1">
        <f>Table1[[#This Row],[Losing Seed]]-Table1[[#This Row],[Winning Seed]]</f>
        <v>-7</v>
      </c>
      <c r="P1740" s="1" t="str">
        <f>IF(Table1[[#This Row],[SeD]]&lt;-2,Table1[[#This Row],[Winning Seed]]&amp; " over " &amp;Table1[[#This Row],[Losing Seed]],"")</f>
        <v>12 over 5</v>
      </c>
      <c r="Q1740">
        <f>VLOOKUP(Table1[[#This Row],[Losing Seed]],'Seed History'!$N$4:$O$19,2)</f>
        <v>1.1180555555555556</v>
      </c>
      <c r="R1740" s="1">
        <f>IF(Table1[[#This Row],[Round]]="PI",0,Table1[[#This Row],[Round]]-1)</f>
        <v>0</v>
      </c>
      <c r="S1740">
        <f>Table1[[#This Row],[LAW]]-Table1[[#This Row],[LEW]]</f>
        <v>-1.1180555555555556</v>
      </c>
    </row>
    <row r="1741" spans="1:19" x14ac:dyDescent="0.25">
      <c r="A1741" s="66">
        <v>40984</v>
      </c>
      <c r="B1741" s="51">
        <f>YEAR(Table1[[#This Row],[Date]])</f>
        <v>2012</v>
      </c>
      <c r="C1741" s="1">
        <v>1</v>
      </c>
      <c r="D1741" t="s">
        <v>439</v>
      </c>
      <c r="E1741" s="1">
        <v>11</v>
      </c>
      <c r="F1741" t="s">
        <v>301</v>
      </c>
      <c r="G1741" t="e">
        <f>VLOOKUP(Table1[[#This Row],[Winner]],Ranking!C:D,2,FALSE)</f>
        <v>#N/A</v>
      </c>
      <c r="H1741" s="1">
        <v>79</v>
      </c>
      <c r="I1741" s="1">
        <v>6</v>
      </c>
      <c r="J1741" t="s">
        <v>344</v>
      </c>
      <c r="K1741" t="str">
        <f>VLOOKUP(Table1[[#This Row],[Loser]],Ranking!C:D,2,FALSE)</f>
        <v>MWC</v>
      </c>
      <c r="L1741" s="1">
        <v>65</v>
      </c>
      <c r="N1741" s="1">
        <f>Table1[[#This Row],[Winning Score]]-Table1[[#This Row],[Losing Score]]</f>
        <v>14</v>
      </c>
      <c r="O1741" s="1">
        <f>Table1[[#This Row],[Losing Seed]]-Table1[[#This Row],[Winning Seed]]</f>
        <v>-5</v>
      </c>
      <c r="P1741" s="1" t="str">
        <f>IF(Table1[[#This Row],[SeD]]&lt;-2,Table1[[#This Row],[Winning Seed]]&amp; " over " &amp;Table1[[#This Row],[Losing Seed]],"")</f>
        <v>11 over 6</v>
      </c>
      <c r="Q1741">
        <f>VLOOKUP(Table1[[#This Row],[Losing Seed]],'Seed History'!$N$4:$O$19,2)</f>
        <v>1.0625</v>
      </c>
      <c r="R1741" s="1">
        <f>IF(Table1[[#This Row],[Round]]="PI",0,Table1[[#This Row],[Round]]-1)</f>
        <v>0</v>
      </c>
      <c r="S1741">
        <f>Table1[[#This Row],[LAW]]-Table1[[#This Row],[LEW]]</f>
        <v>-1.0625</v>
      </c>
    </row>
    <row r="1742" spans="1:19" x14ac:dyDescent="0.25">
      <c r="A1742" s="66">
        <v>40984</v>
      </c>
      <c r="B1742" s="51">
        <f>YEAR(Table1[[#This Row],[Date]])</f>
        <v>2012</v>
      </c>
      <c r="C1742" s="1">
        <v>1</v>
      </c>
      <c r="D1742" t="s">
        <v>439</v>
      </c>
      <c r="E1742" s="1">
        <v>10</v>
      </c>
      <c r="F1742" t="s">
        <v>29</v>
      </c>
      <c r="G1742" t="str">
        <f>VLOOKUP(Table1[[#This Row],[Winner]],Ranking!C:D,2,FALSE)</f>
        <v>B10</v>
      </c>
      <c r="H1742" s="1">
        <v>72</v>
      </c>
      <c r="I1742" s="1">
        <v>7</v>
      </c>
      <c r="J1742" t="s">
        <v>339</v>
      </c>
      <c r="K1742" t="str">
        <f>VLOOKUP(Table1[[#This Row],[Loser]],Ranking!C:D,2,FALSE)</f>
        <v>WCC</v>
      </c>
      <c r="L1742" s="1">
        <v>69</v>
      </c>
      <c r="N1742" s="1">
        <f>Table1[[#This Row],[Winning Score]]-Table1[[#This Row],[Losing Score]]</f>
        <v>3</v>
      </c>
      <c r="O1742" s="1">
        <f>Table1[[#This Row],[Losing Seed]]-Table1[[#This Row],[Winning Seed]]</f>
        <v>-3</v>
      </c>
      <c r="P1742" s="1" t="str">
        <f>IF(Table1[[#This Row],[SeD]]&lt;-2,Table1[[#This Row],[Winning Seed]]&amp; " over " &amp;Table1[[#This Row],[Losing Seed]],"")</f>
        <v>10 over 7</v>
      </c>
      <c r="Q1742">
        <f>VLOOKUP(Table1[[#This Row],[Losing Seed]],'Seed History'!$N$4:$O$19,2)</f>
        <v>0.90277777777777779</v>
      </c>
      <c r="R1742" s="1">
        <f>IF(Table1[[#This Row],[Round]]="PI",0,Table1[[#This Row],[Round]]-1)</f>
        <v>0</v>
      </c>
      <c r="S1742">
        <f>Table1[[#This Row],[LAW]]-Table1[[#This Row],[LEW]]</f>
        <v>-0.90277777777777779</v>
      </c>
    </row>
    <row r="1743" spans="1:19" x14ac:dyDescent="0.25">
      <c r="A1743" s="66">
        <v>40984</v>
      </c>
      <c r="B1743" s="51">
        <f>YEAR(Table1[[#This Row],[Date]])</f>
        <v>2012</v>
      </c>
      <c r="C1743" s="1">
        <v>1</v>
      </c>
      <c r="D1743" t="s">
        <v>63</v>
      </c>
      <c r="E1743" s="1">
        <v>10</v>
      </c>
      <c r="F1743" t="s">
        <v>44</v>
      </c>
      <c r="G1743" t="str">
        <f>VLOOKUP(Table1[[#This Row],[Winner]],Ranking!C:D,2,FALSE)</f>
        <v>BE</v>
      </c>
      <c r="H1743" s="1">
        <v>67</v>
      </c>
      <c r="I1743" s="1">
        <v>7</v>
      </c>
      <c r="J1743" t="s">
        <v>35</v>
      </c>
      <c r="K1743" t="str">
        <f>VLOOKUP(Table1[[#This Row],[Loser]],Ranking!C:D,2,FALSE)</f>
        <v>ACC</v>
      </c>
      <c r="L1743" s="1">
        <v>63</v>
      </c>
      <c r="N1743" s="1">
        <f>Table1[[#This Row],[Winning Score]]-Table1[[#This Row],[Losing Score]]</f>
        <v>4</v>
      </c>
      <c r="O1743" s="1">
        <f>Table1[[#This Row],[Losing Seed]]-Table1[[#This Row],[Winning Seed]]</f>
        <v>-3</v>
      </c>
      <c r="P1743" s="1" t="str">
        <f>IF(Table1[[#This Row],[SeD]]&lt;-2,Table1[[#This Row],[Winning Seed]]&amp; " over " &amp;Table1[[#This Row],[Losing Seed]],"")</f>
        <v>10 over 7</v>
      </c>
      <c r="Q1743">
        <f>VLOOKUP(Table1[[#This Row],[Losing Seed]],'Seed History'!$N$4:$O$19,2)</f>
        <v>0.90277777777777779</v>
      </c>
      <c r="R1743" s="1">
        <f>IF(Table1[[#This Row],[Round]]="PI",0,Table1[[#This Row],[Round]]-1)</f>
        <v>0</v>
      </c>
      <c r="S1743">
        <f>Table1[[#This Row],[LAW]]-Table1[[#This Row],[LEW]]</f>
        <v>-0.90277777777777779</v>
      </c>
    </row>
    <row r="1744" spans="1:19" x14ac:dyDescent="0.25">
      <c r="A1744" s="66">
        <v>40984</v>
      </c>
      <c r="B1744" s="51">
        <f>YEAR(Table1[[#This Row],[Date]])</f>
        <v>2012</v>
      </c>
      <c r="C1744" s="1">
        <v>1</v>
      </c>
      <c r="D1744" t="s">
        <v>49</v>
      </c>
      <c r="E1744" s="1">
        <v>3</v>
      </c>
      <c r="F1744" t="s">
        <v>207</v>
      </c>
      <c r="G1744" t="str">
        <f>VLOOKUP(Table1[[#This Row],[Winner]],Ranking!C:D,2,FALSE)</f>
        <v>ACC</v>
      </c>
      <c r="H1744" s="1">
        <v>66</v>
      </c>
      <c r="I1744" s="1">
        <v>14</v>
      </c>
      <c r="J1744" t="s">
        <v>365</v>
      </c>
      <c r="K1744" t="str">
        <f>VLOOKUP(Table1[[#This Row],[Loser]],Ranking!C:D,2,FALSE)</f>
        <v>A10</v>
      </c>
      <c r="L1744" s="1">
        <v>63</v>
      </c>
      <c r="N1744" s="1">
        <f>Table1[[#This Row],[Winning Score]]-Table1[[#This Row],[Losing Score]]</f>
        <v>3</v>
      </c>
      <c r="O1744" s="1">
        <f>Table1[[#This Row],[Losing Seed]]-Table1[[#This Row],[Winning Seed]]</f>
        <v>11</v>
      </c>
      <c r="P1744" s="1" t="str">
        <f>IF(Table1[[#This Row],[SeD]]&lt;-2,Table1[[#This Row],[Winning Seed]]&amp; " over " &amp;Table1[[#This Row],[Losing Seed]],"")</f>
        <v/>
      </c>
      <c r="Q1744">
        <f>VLOOKUP(Table1[[#This Row],[Losing Seed]],'Seed History'!$N$4:$O$19,2)</f>
        <v>0.16666666666666666</v>
      </c>
      <c r="R1744" s="1">
        <f>IF(Table1[[#This Row],[Round]]="PI",0,Table1[[#This Row],[Round]]-1)</f>
        <v>0</v>
      </c>
      <c r="S1744">
        <f>Table1[[#This Row],[LAW]]-Table1[[#This Row],[LEW]]</f>
        <v>-0.16666666666666666</v>
      </c>
    </row>
    <row r="1745" spans="1:19" x14ac:dyDescent="0.25">
      <c r="A1745" s="66">
        <v>40984</v>
      </c>
      <c r="B1745" s="51">
        <f>YEAR(Table1[[#This Row],[Date]])</f>
        <v>2012</v>
      </c>
      <c r="C1745" s="1">
        <v>1</v>
      </c>
      <c r="D1745" t="s">
        <v>49</v>
      </c>
      <c r="E1745" s="1">
        <v>6</v>
      </c>
      <c r="F1745" t="s">
        <v>28</v>
      </c>
      <c r="G1745" t="str">
        <f>VLOOKUP(Table1[[#This Row],[Winner]],Ranking!C:D,2,FALSE)</f>
        <v>Amer</v>
      </c>
      <c r="H1745" s="1">
        <v>65</v>
      </c>
      <c r="I1745" s="1">
        <v>11</v>
      </c>
      <c r="J1745" t="s">
        <v>34</v>
      </c>
      <c r="K1745" t="str">
        <f>VLOOKUP(Table1[[#This Row],[Loser]],Ranking!C:D,2,FALSE)</f>
        <v>B12</v>
      </c>
      <c r="L1745" s="1">
        <v>59</v>
      </c>
      <c r="N1745" s="1">
        <f>Table1[[#This Row],[Winning Score]]-Table1[[#This Row],[Losing Score]]</f>
        <v>6</v>
      </c>
      <c r="O1745" s="1">
        <f>Table1[[#This Row],[Losing Seed]]-Table1[[#This Row],[Winning Seed]]</f>
        <v>5</v>
      </c>
      <c r="P1745" s="1" t="str">
        <f>IF(Table1[[#This Row],[SeD]]&lt;-2,Table1[[#This Row],[Winning Seed]]&amp; " over " &amp;Table1[[#This Row],[Losing Seed]],"")</f>
        <v/>
      </c>
      <c r="Q1745">
        <f>VLOOKUP(Table1[[#This Row],[Losing Seed]],'Seed History'!$N$4:$O$19,2)</f>
        <v>0.63194444444444442</v>
      </c>
      <c r="R1745" s="1">
        <f>IF(Table1[[#This Row],[Round]]="PI",0,Table1[[#This Row],[Round]]-1)</f>
        <v>0</v>
      </c>
      <c r="S1745">
        <f>Table1[[#This Row],[LAW]]-Table1[[#This Row],[LEW]]</f>
        <v>-0.63194444444444442</v>
      </c>
    </row>
    <row r="1746" spans="1:19" x14ac:dyDescent="0.25">
      <c r="A1746" s="66">
        <v>40984</v>
      </c>
      <c r="B1746" s="51">
        <f>YEAR(Table1[[#This Row],[Date]])</f>
        <v>2012</v>
      </c>
      <c r="C1746" s="1">
        <v>1</v>
      </c>
      <c r="D1746" t="s">
        <v>439</v>
      </c>
      <c r="E1746" s="1">
        <v>1</v>
      </c>
      <c r="F1746" t="s">
        <v>298</v>
      </c>
      <c r="G1746" t="str">
        <f>VLOOKUP(Table1[[#This Row],[Winner]],Ranking!C:D,2,FALSE)</f>
        <v>ACC</v>
      </c>
      <c r="H1746" s="1">
        <v>77</v>
      </c>
      <c r="I1746" s="1">
        <v>16</v>
      </c>
      <c r="J1746" t="s">
        <v>404</v>
      </c>
      <c r="K1746" t="str">
        <f>VLOOKUP(Table1[[#This Row],[Loser]],Ranking!C:D,2,FALSE)</f>
        <v>AE</v>
      </c>
      <c r="L1746" s="1">
        <v>58</v>
      </c>
      <c r="N1746" s="1">
        <f>Table1[[#This Row],[Winning Score]]-Table1[[#This Row],[Losing Score]]</f>
        <v>19</v>
      </c>
      <c r="O1746" s="1">
        <f>Table1[[#This Row],[Losing Seed]]-Table1[[#This Row],[Winning Seed]]</f>
        <v>15</v>
      </c>
      <c r="P1746" s="1" t="str">
        <f>IF(Table1[[#This Row],[SeD]]&lt;-2,Table1[[#This Row],[Winning Seed]]&amp; " over " &amp;Table1[[#This Row],[Losing Seed]],"")</f>
        <v/>
      </c>
      <c r="Q1746">
        <f>VLOOKUP(Table1[[#This Row],[Losing Seed]],'Seed History'!$N$4:$O$19,2)</f>
        <v>6.9444444444444441E-3</v>
      </c>
      <c r="R1746" s="1">
        <f>IF(Table1[[#This Row],[Round]]="PI",0,Table1[[#This Row],[Round]]-1)</f>
        <v>0</v>
      </c>
      <c r="S1746">
        <f>Table1[[#This Row],[LAW]]-Table1[[#This Row],[LEW]]</f>
        <v>-6.9444444444444441E-3</v>
      </c>
    </row>
    <row r="1747" spans="1:19" x14ac:dyDescent="0.25">
      <c r="A1747" s="66">
        <v>40984</v>
      </c>
      <c r="B1747" s="51">
        <f>YEAR(Table1[[#This Row],[Date]])</f>
        <v>2012</v>
      </c>
      <c r="C1747" s="1">
        <v>1</v>
      </c>
      <c r="D1747" t="s">
        <v>439</v>
      </c>
      <c r="E1747" s="1">
        <v>2</v>
      </c>
      <c r="F1747" t="s">
        <v>37</v>
      </c>
      <c r="G1747" t="str">
        <f>VLOOKUP(Table1[[#This Row],[Winner]],Ranking!C:D,2,FALSE)</f>
        <v>B12</v>
      </c>
      <c r="H1747" s="1">
        <v>65</v>
      </c>
      <c r="I1747" s="1">
        <v>15</v>
      </c>
      <c r="J1747" t="s">
        <v>187</v>
      </c>
      <c r="K1747" t="str">
        <f>VLOOKUP(Table1[[#This Row],[Loser]],Ranking!C:D,2,FALSE)</f>
        <v>Horz</v>
      </c>
      <c r="L1747" s="1">
        <v>50</v>
      </c>
      <c r="N1747" s="1">
        <f>Table1[[#This Row],[Winning Score]]-Table1[[#This Row],[Losing Score]]</f>
        <v>15</v>
      </c>
      <c r="O1747" s="1">
        <f>Table1[[#This Row],[Losing Seed]]-Table1[[#This Row],[Winning Seed]]</f>
        <v>13</v>
      </c>
      <c r="P1747" s="1" t="str">
        <f>IF(Table1[[#This Row],[SeD]]&lt;-2,Table1[[#This Row],[Winning Seed]]&amp; " over " &amp;Table1[[#This Row],[Losing Seed]],"")</f>
        <v/>
      </c>
      <c r="Q1747">
        <f>VLOOKUP(Table1[[#This Row],[Losing Seed]],'Seed History'!$N$4:$O$19,2)</f>
        <v>7.6388888888888895E-2</v>
      </c>
      <c r="R1747" s="1">
        <f>IF(Table1[[#This Row],[Round]]="PI",0,Table1[[#This Row],[Round]]-1)</f>
        <v>0</v>
      </c>
      <c r="S1747">
        <f>Table1[[#This Row],[LAW]]-Table1[[#This Row],[LEW]]</f>
        <v>-7.6388888888888895E-2</v>
      </c>
    </row>
    <row r="1748" spans="1:19" x14ac:dyDescent="0.25">
      <c r="A1748" s="66">
        <v>40984</v>
      </c>
      <c r="B1748" s="51">
        <f>YEAR(Table1[[#This Row],[Date]])</f>
        <v>2012</v>
      </c>
      <c r="C1748" s="1">
        <v>1</v>
      </c>
      <c r="D1748" t="s">
        <v>439</v>
      </c>
      <c r="E1748" s="1">
        <v>3</v>
      </c>
      <c r="F1748" t="s">
        <v>66</v>
      </c>
      <c r="G1748" t="str">
        <f>VLOOKUP(Table1[[#This Row],[Winner]],Ranking!C:D,2,FALSE)</f>
        <v>BE</v>
      </c>
      <c r="H1748" s="1">
        <v>74</v>
      </c>
      <c r="I1748" s="1">
        <v>14</v>
      </c>
      <c r="J1748" t="s">
        <v>62</v>
      </c>
      <c r="K1748" t="str">
        <f>VLOOKUP(Table1[[#This Row],[Loser]],Ranking!C:D,2,FALSE)</f>
        <v>OVC</v>
      </c>
      <c r="L1748" s="1">
        <v>59</v>
      </c>
      <c r="N1748" s="1">
        <f>Table1[[#This Row],[Winning Score]]-Table1[[#This Row],[Losing Score]]</f>
        <v>15</v>
      </c>
      <c r="O1748" s="1">
        <f>Table1[[#This Row],[Losing Seed]]-Table1[[#This Row],[Winning Seed]]</f>
        <v>11</v>
      </c>
      <c r="P1748" s="1" t="str">
        <f>IF(Table1[[#This Row],[SeD]]&lt;-2,Table1[[#This Row],[Winning Seed]]&amp; " over " &amp;Table1[[#This Row],[Losing Seed]],"")</f>
        <v/>
      </c>
      <c r="Q1748">
        <f>VLOOKUP(Table1[[#This Row],[Losing Seed]],'Seed History'!$N$4:$O$19,2)</f>
        <v>0.16666666666666666</v>
      </c>
      <c r="R1748" s="1">
        <f>IF(Table1[[#This Row],[Round]]="PI",0,Table1[[#This Row],[Round]]-1)</f>
        <v>0</v>
      </c>
      <c r="S1748">
        <f>Table1[[#This Row],[LAW]]-Table1[[#This Row],[LEW]]</f>
        <v>-0.16666666666666666</v>
      </c>
    </row>
    <row r="1749" spans="1:19" x14ac:dyDescent="0.25">
      <c r="A1749" s="66">
        <v>40984</v>
      </c>
      <c r="B1749" s="51">
        <f>YEAR(Table1[[#This Row],[Date]])</f>
        <v>2012</v>
      </c>
      <c r="C1749" s="1">
        <v>1</v>
      </c>
      <c r="D1749" t="s">
        <v>439</v>
      </c>
      <c r="E1749" s="1">
        <v>8</v>
      </c>
      <c r="F1749" t="s">
        <v>88</v>
      </c>
      <c r="G1749" t="str">
        <f>VLOOKUP(Table1[[#This Row],[Winner]],Ranking!C:D,2,FALSE)</f>
        <v>BE</v>
      </c>
      <c r="H1749" s="1">
        <v>58</v>
      </c>
      <c r="I1749" s="1">
        <v>9</v>
      </c>
      <c r="J1749" t="s">
        <v>113</v>
      </c>
      <c r="K1749" t="str">
        <f>VLOOKUP(Table1[[#This Row],[Loser]],Ranking!C:D,2,FALSE)</f>
        <v>SEC</v>
      </c>
      <c r="L1749" s="1">
        <v>57</v>
      </c>
      <c r="N1749" s="1">
        <f>Table1[[#This Row],[Winning Score]]-Table1[[#This Row],[Losing Score]]</f>
        <v>1</v>
      </c>
      <c r="O1749" s="1">
        <f>Table1[[#This Row],[Losing Seed]]-Table1[[#This Row],[Winning Seed]]</f>
        <v>1</v>
      </c>
      <c r="P1749" s="1" t="str">
        <f>IF(Table1[[#This Row],[SeD]]&lt;-2,Table1[[#This Row],[Winning Seed]]&amp; " over " &amp;Table1[[#This Row],[Losing Seed]],"")</f>
        <v/>
      </c>
      <c r="Q1749">
        <f>VLOOKUP(Table1[[#This Row],[Losing Seed]],'Seed History'!$N$4:$O$19,2)</f>
        <v>0.59027777777777779</v>
      </c>
      <c r="R1749" s="1">
        <f>IF(Table1[[#This Row],[Round]]="PI",0,Table1[[#This Row],[Round]]-1)</f>
        <v>0</v>
      </c>
      <c r="S1749">
        <f>Table1[[#This Row],[LAW]]-Table1[[#This Row],[LEW]]</f>
        <v>-0.59027777777777779</v>
      </c>
    </row>
    <row r="1750" spans="1:19" x14ac:dyDescent="0.25">
      <c r="A1750" s="66">
        <v>40984</v>
      </c>
      <c r="B1750" s="51">
        <f>YEAR(Table1[[#This Row],[Date]])</f>
        <v>2012</v>
      </c>
      <c r="C1750" s="1">
        <v>1</v>
      </c>
      <c r="D1750" t="s">
        <v>38</v>
      </c>
      <c r="E1750" s="1">
        <v>1</v>
      </c>
      <c r="F1750" t="s">
        <v>271</v>
      </c>
      <c r="G1750" t="str">
        <f>VLOOKUP(Table1[[#This Row],[Winner]],Ranking!C:D,2,FALSE)</f>
        <v>B10</v>
      </c>
      <c r="H1750" s="1">
        <v>89</v>
      </c>
      <c r="I1750" s="1">
        <v>16</v>
      </c>
      <c r="J1750" t="s">
        <v>251</v>
      </c>
      <c r="K1750" t="e">
        <f>VLOOKUP(Table1[[#This Row],[Loser]],Ranking!C:D,2,FALSE)</f>
        <v>#N/A</v>
      </c>
      <c r="L1750" s="1">
        <v>67</v>
      </c>
      <c r="N1750" s="1">
        <f>Table1[[#This Row],[Winning Score]]-Table1[[#This Row],[Losing Score]]</f>
        <v>22</v>
      </c>
      <c r="O1750" s="1">
        <f>Table1[[#This Row],[Losing Seed]]-Table1[[#This Row],[Winning Seed]]</f>
        <v>15</v>
      </c>
      <c r="P1750" s="1" t="str">
        <f>IF(Table1[[#This Row],[SeD]]&lt;-2,Table1[[#This Row],[Winning Seed]]&amp; " over " &amp;Table1[[#This Row],[Losing Seed]],"")</f>
        <v/>
      </c>
      <c r="Q1750">
        <f>VLOOKUP(Table1[[#This Row],[Losing Seed]],'Seed History'!$N$4:$O$19,2)</f>
        <v>6.9444444444444441E-3</v>
      </c>
      <c r="R1750" s="1">
        <f>IF(Table1[[#This Row],[Round]]="PI",0,Table1[[#This Row],[Round]]-1)</f>
        <v>0</v>
      </c>
      <c r="S1750">
        <f>Table1[[#This Row],[LAW]]-Table1[[#This Row],[LEW]]</f>
        <v>-6.9444444444444441E-3</v>
      </c>
    </row>
    <row r="1751" spans="1:19" x14ac:dyDescent="0.25">
      <c r="A1751" s="66">
        <v>40984</v>
      </c>
      <c r="B1751" s="51">
        <f>YEAR(Table1[[#This Row],[Date]])</f>
        <v>2012</v>
      </c>
      <c r="C1751" s="1">
        <v>1</v>
      </c>
      <c r="D1751" t="s">
        <v>38</v>
      </c>
      <c r="E1751" s="1">
        <v>7</v>
      </c>
      <c r="F1751" t="s">
        <v>81</v>
      </c>
      <c r="G1751" t="str">
        <f>VLOOKUP(Table1[[#This Row],[Winner]],Ranking!C:D,2,FALSE)</f>
        <v>SEC</v>
      </c>
      <c r="H1751" s="1">
        <v>71</v>
      </c>
      <c r="I1751" s="1">
        <v>10</v>
      </c>
      <c r="J1751" t="s">
        <v>61</v>
      </c>
      <c r="K1751" t="str">
        <f>VLOOKUP(Table1[[#This Row],[Loser]],Ranking!C:D,2,FALSE)</f>
        <v>ACC</v>
      </c>
      <c r="L1751" s="1">
        <v>45</v>
      </c>
      <c r="N1751" s="1">
        <f>Table1[[#This Row],[Winning Score]]-Table1[[#This Row],[Losing Score]]</f>
        <v>26</v>
      </c>
      <c r="O1751" s="1">
        <f>Table1[[#This Row],[Losing Seed]]-Table1[[#This Row],[Winning Seed]]</f>
        <v>3</v>
      </c>
      <c r="P1751" s="1" t="str">
        <f>IF(Table1[[#This Row],[SeD]]&lt;-2,Table1[[#This Row],[Winning Seed]]&amp; " over " &amp;Table1[[#This Row],[Losing Seed]],"")</f>
        <v/>
      </c>
      <c r="Q1751">
        <f>VLOOKUP(Table1[[#This Row],[Losing Seed]],'Seed History'!$N$4:$O$19,2)</f>
        <v>0.61805555555555558</v>
      </c>
      <c r="R1751" s="1">
        <f>IF(Table1[[#This Row],[Round]]="PI",0,Table1[[#This Row],[Round]]-1)</f>
        <v>0</v>
      </c>
      <c r="S1751">
        <f>Table1[[#This Row],[LAW]]-Table1[[#This Row],[LEW]]</f>
        <v>-0.61805555555555558</v>
      </c>
    </row>
    <row r="1752" spans="1:19" x14ac:dyDescent="0.25">
      <c r="A1752" s="66">
        <v>40984</v>
      </c>
      <c r="B1752" s="51">
        <f>YEAR(Table1[[#This Row],[Date]])</f>
        <v>2012</v>
      </c>
      <c r="C1752" s="1">
        <v>1</v>
      </c>
      <c r="D1752" t="s">
        <v>38</v>
      </c>
      <c r="E1752" s="1">
        <v>9</v>
      </c>
      <c r="F1752" t="s">
        <v>338</v>
      </c>
      <c r="G1752" t="str">
        <f>VLOOKUP(Table1[[#This Row],[Winner]],Ranking!C:D,2,FALSE)</f>
        <v>A10</v>
      </c>
      <c r="H1752" s="1">
        <v>61</v>
      </c>
      <c r="I1752" s="1">
        <v>8</v>
      </c>
      <c r="J1752" t="s">
        <v>267</v>
      </c>
      <c r="K1752" t="str">
        <f>VLOOKUP(Table1[[#This Row],[Loser]],Ranking!C:D,2,FALSE)</f>
        <v>Amer</v>
      </c>
      <c r="L1752" s="1">
        <v>54</v>
      </c>
      <c r="N1752" s="1">
        <f>Table1[[#This Row],[Winning Score]]-Table1[[#This Row],[Losing Score]]</f>
        <v>7</v>
      </c>
      <c r="O1752" s="1">
        <f>Table1[[#This Row],[Losing Seed]]-Table1[[#This Row],[Winning Seed]]</f>
        <v>-1</v>
      </c>
      <c r="P1752" s="1" t="str">
        <f>IF(Table1[[#This Row],[SeD]]&lt;-2,Table1[[#This Row],[Winning Seed]]&amp; " over " &amp;Table1[[#This Row],[Losing Seed]],"")</f>
        <v/>
      </c>
      <c r="Q1752">
        <f>VLOOKUP(Table1[[#This Row],[Losing Seed]],'Seed History'!$N$4:$O$19,2)</f>
        <v>0.70833333333333337</v>
      </c>
      <c r="R1752" s="1">
        <f>IF(Table1[[#This Row],[Round]]="PI",0,Table1[[#This Row],[Round]]-1)</f>
        <v>0</v>
      </c>
      <c r="S1752">
        <f>Table1[[#This Row],[LAW]]-Table1[[#This Row],[LEW]]</f>
        <v>-0.70833333333333337</v>
      </c>
    </row>
    <row r="1753" spans="1:19" x14ac:dyDescent="0.25">
      <c r="A1753" s="66">
        <v>40985</v>
      </c>
      <c r="B1753" s="51">
        <f>YEAR(Table1[[#This Row],[Date]])</f>
        <v>2012</v>
      </c>
      <c r="C1753" s="1">
        <v>2</v>
      </c>
      <c r="D1753" t="s">
        <v>49</v>
      </c>
      <c r="E1753" s="1">
        <v>1</v>
      </c>
      <c r="F1753" t="s">
        <v>86</v>
      </c>
      <c r="G1753" t="str">
        <f>VLOOKUP(Table1[[#This Row],[Winner]],Ranking!C:D,2,FALSE)</f>
        <v>ACC</v>
      </c>
      <c r="H1753" s="1">
        <v>75</v>
      </c>
      <c r="I1753" s="1">
        <v>8</v>
      </c>
      <c r="J1753" t="s">
        <v>243</v>
      </c>
      <c r="K1753" t="str">
        <f>VLOOKUP(Table1[[#This Row],[Loser]],Ranking!C:D,2,FALSE)</f>
        <v>B12</v>
      </c>
      <c r="L1753" s="1">
        <v>59</v>
      </c>
      <c r="N1753" s="1">
        <f>Table1[[#This Row],[Winning Score]]-Table1[[#This Row],[Losing Score]]</f>
        <v>16</v>
      </c>
      <c r="O1753" s="1">
        <f>Table1[[#This Row],[Losing Seed]]-Table1[[#This Row],[Winning Seed]]</f>
        <v>7</v>
      </c>
      <c r="P1753" s="1" t="str">
        <f>IF(Table1[[#This Row],[SeD]]&lt;-2,Table1[[#This Row],[Winning Seed]]&amp; " over " &amp;Table1[[#This Row],[Losing Seed]],"")</f>
        <v/>
      </c>
      <c r="Q1753">
        <f>VLOOKUP(Table1[[#This Row],[Losing Seed]],'Seed History'!$N$4:$O$19,2)</f>
        <v>0.70833333333333337</v>
      </c>
      <c r="R1753" s="1">
        <f>IF(Table1[[#This Row],[Round]]="PI",0,Table1[[#This Row],[Round]]-1)</f>
        <v>1</v>
      </c>
      <c r="S1753">
        <f>Table1[[#This Row],[LAW]]-Table1[[#This Row],[LEW]]</f>
        <v>0.29166666666666663</v>
      </c>
    </row>
    <row r="1754" spans="1:19" x14ac:dyDescent="0.25">
      <c r="A1754" s="66">
        <v>40985</v>
      </c>
      <c r="B1754" s="51">
        <f>YEAR(Table1[[#This Row],[Date]])</f>
        <v>2012</v>
      </c>
      <c r="C1754" s="1">
        <v>2</v>
      </c>
      <c r="D1754" t="s">
        <v>49</v>
      </c>
      <c r="E1754" s="1">
        <v>2</v>
      </c>
      <c r="F1754" t="s">
        <v>315</v>
      </c>
      <c r="G1754" t="str">
        <f>VLOOKUP(Table1[[#This Row],[Winner]],Ranking!C:D,2,FALSE)</f>
        <v>B10</v>
      </c>
      <c r="H1754" s="1">
        <v>73</v>
      </c>
      <c r="I1754" s="1">
        <v>7</v>
      </c>
      <c r="J1754" t="s">
        <v>71</v>
      </c>
      <c r="K1754" t="str">
        <f>VLOOKUP(Table1[[#This Row],[Loser]],Ranking!C:D,2,FALSE)</f>
        <v>WCC</v>
      </c>
      <c r="L1754" s="1">
        <v>66</v>
      </c>
      <c r="N1754" s="1">
        <f>Table1[[#This Row],[Winning Score]]-Table1[[#This Row],[Losing Score]]</f>
        <v>7</v>
      </c>
      <c r="O1754" s="1">
        <f>Table1[[#This Row],[Losing Seed]]-Table1[[#This Row],[Winning Seed]]</f>
        <v>5</v>
      </c>
      <c r="P1754" s="1" t="str">
        <f>IF(Table1[[#This Row],[SeD]]&lt;-2,Table1[[#This Row],[Winning Seed]]&amp; " over " &amp;Table1[[#This Row],[Losing Seed]],"")</f>
        <v/>
      </c>
      <c r="Q1754">
        <f>VLOOKUP(Table1[[#This Row],[Losing Seed]],'Seed History'!$N$4:$O$19,2)</f>
        <v>0.90277777777777779</v>
      </c>
      <c r="R1754" s="1">
        <f>IF(Table1[[#This Row],[Round]]="PI",0,Table1[[#This Row],[Round]]-1)</f>
        <v>1</v>
      </c>
      <c r="S1754">
        <f>Table1[[#This Row],[LAW]]-Table1[[#This Row],[LEW]]</f>
        <v>9.722222222222221E-2</v>
      </c>
    </row>
    <row r="1755" spans="1:19" x14ac:dyDescent="0.25">
      <c r="A1755" s="66">
        <v>40985</v>
      </c>
      <c r="B1755" s="51">
        <f>YEAR(Table1[[#This Row],[Date]])</f>
        <v>2012</v>
      </c>
      <c r="C1755" s="1">
        <v>2</v>
      </c>
      <c r="D1755" t="s">
        <v>49</v>
      </c>
      <c r="E1755" s="1">
        <v>4</v>
      </c>
      <c r="F1755" t="s">
        <v>39</v>
      </c>
      <c r="G1755" t="str">
        <f>VLOOKUP(Table1[[#This Row],[Winner]],Ranking!C:D,2,FALSE)</f>
        <v>B10</v>
      </c>
      <c r="H1755" s="1">
        <v>60</v>
      </c>
      <c r="I1755" s="1">
        <v>5</v>
      </c>
      <c r="J1755" t="s">
        <v>78</v>
      </c>
      <c r="K1755" t="str">
        <f>VLOOKUP(Table1[[#This Row],[Loser]],Ranking!C:D,2,FALSE)</f>
        <v>SEC</v>
      </c>
      <c r="L1755" s="1">
        <v>57</v>
      </c>
      <c r="N1755" s="1">
        <f>Table1[[#This Row],[Winning Score]]-Table1[[#This Row],[Losing Score]]</f>
        <v>3</v>
      </c>
      <c r="O1755" s="1">
        <f>Table1[[#This Row],[Losing Seed]]-Table1[[#This Row],[Winning Seed]]</f>
        <v>1</v>
      </c>
      <c r="P1755" s="1" t="str">
        <f>IF(Table1[[#This Row],[SeD]]&lt;-2,Table1[[#This Row],[Winning Seed]]&amp; " over " &amp;Table1[[#This Row],[Losing Seed]],"")</f>
        <v/>
      </c>
      <c r="Q1755">
        <f>VLOOKUP(Table1[[#This Row],[Losing Seed]],'Seed History'!$N$4:$O$19,2)</f>
        <v>1.1180555555555556</v>
      </c>
      <c r="R1755" s="1">
        <f>IF(Table1[[#This Row],[Round]]="PI",0,Table1[[#This Row],[Round]]-1)</f>
        <v>1</v>
      </c>
      <c r="S1755">
        <f>Table1[[#This Row],[LAW]]-Table1[[#This Row],[LEW]]</f>
        <v>-0.11805555555555558</v>
      </c>
    </row>
    <row r="1756" spans="1:19" x14ac:dyDescent="0.25">
      <c r="A1756" s="66">
        <v>40985</v>
      </c>
      <c r="B1756" s="51">
        <f>YEAR(Table1[[#This Row],[Date]])</f>
        <v>2012</v>
      </c>
      <c r="C1756" s="1">
        <v>2</v>
      </c>
      <c r="D1756" t="s">
        <v>63</v>
      </c>
      <c r="E1756" s="1">
        <v>1</v>
      </c>
      <c r="F1756" t="s">
        <v>26</v>
      </c>
      <c r="G1756" t="str">
        <f>VLOOKUP(Table1[[#This Row],[Winner]],Ranking!C:D,2,FALSE)</f>
        <v>SEC</v>
      </c>
      <c r="H1756" s="1">
        <v>87</v>
      </c>
      <c r="I1756" s="1">
        <v>8</v>
      </c>
      <c r="J1756" t="s">
        <v>237</v>
      </c>
      <c r="K1756" t="str">
        <f>VLOOKUP(Table1[[#This Row],[Loser]],Ranking!C:D,2,FALSE)</f>
        <v>B12</v>
      </c>
      <c r="L1756" s="1">
        <v>71</v>
      </c>
      <c r="N1756" s="1">
        <f>Table1[[#This Row],[Winning Score]]-Table1[[#This Row],[Losing Score]]</f>
        <v>16</v>
      </c>
      <c r="O1756" s="1">
        <f>Table1[[#This Row],[Losing Seed]]-Table1[[#This Row],[Winning Seed]]</f>
        <v>7</v>
      </c>
      <c r="P1756" s="1" t="str">
        <f>IF(Table1[[#This Row],[SeD]]&lt;-2,Table1[[#This Row],[Winning Seed]]&amp; " over " &amp;Table1[[#This Row],[Losing Seed]],"")</f>
        <v/>
      </c>
      <c r="Q1756">
        <f>VLOOKUP(Table1[[#This Row],[Losing Seed]],'Seed History'!$N$4:$O$19,2)</f>
        <v>0.70833333333333337</v>
      </c>
      <c r="R1756" s="1">
        <f>IF(Table1[[#This Row],[Round]]="PI",0,Table1[[#This Row],[Round]]-1)</f>
        <v>1</v>
      </c>
      <c r="S1756">
        <f>Table1[[#This Row],[LAW]]-Table1[[#This Row],[LEW]]</f>
        <v>0.29166666666666663</v>
      </c>
    </row>
    <row r="1757" spans="1:19" x14ac:dyDescent="0.25">
      <c r="A1757" s="66">
        <v>40985</v>
      </c>
      <c r="B1757" s="51">
        <f>YEAR(Table1[[#This Row],[Date]])</f>
        <v>2012</v>
      </c>
      <c r="C1757" s="1">
        <v>2</v>
      </c>
      <c r="D1757" t="s">
        <v>63</v>
      </c>
      <c r="E1757" s="1">
        <v>3</v>
      </c>
      <c r="F1757" t="s">
        <v>46</v>
      </c>
      <c r="G1757" t="str">
        <f>VLOOKUP(Table1[[#This Row],[Winner]],Ranking!C:D,2,FALSE)</f>
        <v>B12</v>
      </c>
      <c r="H1757" s="1">
        <v>80</v>
      </c>
      <c r="I1757" s="1">
        <v>11</v>
      </c>
      <c r="J1757" t="s">
        <v>95</v>
      </c>
      <c r="K1757" t="str">
        <f>VLOOKUP(Table1[[#This Row],[Loser]],Ranking!C:D,2,FALSE)</f>
        <v>P12</v>
      </c>
      <c r="L1757" s="1">
        <v>63</v>
      </c>
      <c r="N1757" s="1">
        <f>Table1[[#This Row],[Winning Score]]-Table1[[#This Row],[Losing Score]]</f>
        <v>17</v>
      </c>
      <c r="O1757" s="1">
        <f>Table1[[#This Row],[Losing Seed]]-Table1[[#This Row],[Winning Seed]]</f>
        <v>8</v>
      </c>
      <c r="P1757" s="1" t="str">
        <f>IF(Table1[[#This Row],[SeD]]&lt;-2,Table1[[#This Row],[Winning Seed]]&amp; " over " &amp;Table1[[#This Row],[Losing Seed]],"")</f>
        <v/>
      </c>
      <c r="Q1757">
        <f>VLOOKUP(Table1[[#This Row],[Losing Seed]],'Seed History'!$N$4:$O$19,2)</f>
        <v>0.63194444444444442</v>
      </c>
      <c r="R1757" s="1">
        <f>IF(Table1[[#This Row],[Round]]="PI",0,Table1[[#This Row],[Round]]-1)</f>
        <v>1</v>
      </c>
      <c r="S1757">
        <f>Table1[[#This Row],[LAW]]-Table1[[#This Row],[LEW]]</f>
        <v>0.36805555555555558</v>
      </c>
    </row>
    <row r="1758" spans="1:19" x14ac:dyDescent="0.25">
      <c r="A1758" s="66">
        <v>40985</v>
      </c>
      <c r="B1758" s="51">
        <f>YEAR(Table1[[#This Row],[Date]])</f>
        <v>2012</v>
      </c>
      <c r="C1758" s="1">
        <v>2</v>
      </c>
      <c r="D1758" t="s">
        <v>63</v>
      </c>
      <c r="E1758" s="1">
        <v>4</v>
      </c>
      <c r="F1758" t="s">
        <v>36</v>
      </c>
      <c r="G1758" t="str">
        <f>VLOOKUP(Table1[[#This Row],[Winner]],Ranking!C:D,2,FALSE)</f>
        <v>B10</v>
      </c>
      <c r="H1758" s="1">
        <v>63</v>
      </c>
      <c r="I1758" s="1">
        <v>12</v>
      </c>
      <c r="J1758" t="s">
        <v>47</v>
      </c>
      <c r="K1758" t="str">
        <f>VLOOKUP(Table1[[#This Row],[Loser]],Ranking!C:D,2,FALSE)</f>
        <v>A10</v>
      </c>
      <c r="L1758" s="1">
        <v>61</v>
      </c>
      <c r="N1758" s="1">
        <f>Table1[[#This Row],[Winning Score]]-Table1[[#This Row],[Losing Score]]</f>
        <v>2</v>
      </c>
      <c r="O1758" s="1">
        <f>Table1[[#This Row],[Losing Seed]]-Table1[[#This Row],[Winning Seed]]</f>
        <v>8</v>
      </c>
      <c r="P1758" s="1" t="str">
        <f>IF(Table1[[#This Row],[SeD]]&lt;-2,Table1[[#This Row],[Winning Seed]]&amp; " over " &amp;Table1[[#This Row],[Losing Seed]],"")</f>
        <v/>
      </c>
      <c r="Q1758">
        <f>VLOOKUP(Table1[[#This Row],[Losing Seed]],'Seed History'!$N$4:$O$19,2)</f>
        <v>0.52083333333333337</v>
      </c>
      <c r="R1758" s="1">
        <f>IF(Table1[[#This Row],[Round]]="PI",0,Table1[[#This Row],[Round]]-1)</f>
        <v>1</v>
      </c>
      <c r="S1758">
        <f>Table1[[#This Row],[LAW]]-Table1[[#This Row],[LEW]]</f>
        <v>0.47916666666666663</v>
      </c>
    </row>
    <row r="1759" spans="1:19" x14ac:dyDescent="0.25">
      <c r="A1759" s="66">
        <v>40985</v>
      </c>
      <c r="B1759" s="51">
        <f>YEAR(Table1[[#This Row],[Date]])</f>
        <v>2012</v>
      </c>
      <c r="C1759" s="1">
        <v>2</v>
      </c>
      <c r="D1759" t="s">
        <v>38</v>
      </c>
      <c r="E1759" s="1">
        <v>3</v>
      </c>
      <c r="F1759" t="s">
        <v>262</v>
      </c>
      <c r="G1759" t="str">
        <f>VLOOKUP(Table1[[#This Row],[Winner]],Ranking!C:D,2,FALSE)</f>
        <v>BE</v>
      </c>
      <c r="H1759" s="1">
        <v>62</v>
      </c>
      <c r="I1759" s="1">
        <v>6</v>
      </c>
      <c r="J1759" t="s">
        <v>285</v>
      </c>
      <c r="K1759" t="str">
        <f>VLOOKUP(Table1[[#This Row],[Loser]],Ranking!C:D,2,FALSE)</f>
        <v>OVC</v>
      </c>
      <c r="L1759" s="1">
        <v>53</v>
      </c>
      <c r="N1759" s="1">
        <f>Table1[[#This Row],[Winning Score]]-Table1[[#This Row],[Losing Score]]</f>
        <v>9</v>
      </c>
      <c r="O1759" s="1">
        <f>Table1[[#This Row],[Losing Seed]]-Table1[[#This Row],[Winning Seed]]</f>
        <v>3</v>
      </c>
      <c r="P1759" s="1" t="str">
        <f>IF(Table1[[#This Row],[SeD]]&lt;-2,Table1[[#This Row],[Winning Seed]]&amp; " over " &amp;Table1[[#This Row],[Losing Seed]],"")</f>
        <v/>
      </c>
      <c r="Q1759">
        <f>VLOOKUP(Table1[[#This Row],[Losing Seed]],'Seed History'!$N$4:$O$19,2)</f>
        <v>1.0625</v>
      </c>
      <c r="R1759" s="1">
        <f>IF(Table1[[#This Row],[Round]]="PI",0,Table1[[#This Row],[Round]]-1)</f>
        <v>1</v>
      </c>
      <c r="S1759">
        <f>Table1[[#This Row],[LAW]]-Table1[[#This Row],[LEW]]</f>
        <v>-6.25E-2</v>
      </c>
    </row>
    <row r="1760" spans="1:19" x14ac:dyDescent="0.25">
      <c r="A1760" s="66">
        <v>40985</v>
      </c>
      <c r="B1760" s="51">
        <f>YEAR(Table1[[#This Row],[Date]])</f>
        <v>2012</v>
      </c>
      <c r="C1760" s="1">
        <v>2</v>
      </c>
      <c r="D1760" t="s">
        <v>38</v>
      </c>
      <c r="E1760" s="1">
        <v>4</v>
      </c>
      <c r="F1760" t="s">
        <v>54</v>
      </c>
      <c r="G1760" t="str">
        <f>VLOOKUP(Table1[[#This Row],[Winner]],Ranking!C:D,2,FALSE)</f>
        <v>ACC</v>
      </c>
      <c r="H1760" s="1">
        <v>59</v>
      </c>
      <c r="I1760" s="1">
        <v>5</v>
      </c>
      <c r="J1760" t="s">
        <v>291</v>
      </c>
      <c r="K1760" t="str">
        <f>VLOOKUP(Table1[[#This Row],[Loser]],Ranking!C:D,2,FALSE)</f>
        <v>MWC</v>
      </c>
      <c r="L1760" s="1">
        <v>56</v>
      </c>
      <c r="N1760" s="1">
        <f>Table1[[#This Row],[Winning Score]]-Table1[[#This Row],[Losing Score]]</f>
        <v>3</v>
      </c>
      <c r="O1760" s="1">
        <f>Table1[[#This Row],[Losing Seed]]-Table1[[#This Row],[Winning Seed]]</f>
        <v>1</v>
      </c>
      <c r="P1760" s="1" t="str">
        <f>IF(Table1[[#This Row],[SeD]]&lt;-2,Table1[[#This Row],[Winning Seed]]&amp; " over " &amp;Table1[[#This Row],[Losing Seed]],"")</f>
        <v/>
      </c>
      <c r="Q1760">
        <f>VLOOKUP(Table1[[#This Row],[Losing Seed]],'Seed History'!$N$4:$O$19,2)</f>
        <v>1.1180555555555556</v>
      </c>
      <c r="R1760" s="1">
        <f>IF(Table1[[#This Row],[Round]]="PI",0,Table1[[#This Row],[Round]]-1)</f>
        <v>1</v>
      </c>
      <c r="S1760">
        <f>Table1[[#This Row],[LAW]]-Table1[[#This Row],[LEW]]</f>
        <v>-0.11805555555555558</v>
      </c>
    </row>
    <row r="1761" spans="1:19" x14ac:dyDescent="0.25">
      <c r="A1761" s="66">
        <v>40986</v>
      </c>
      <c r="B1761" s="51">
        <f>YEAR(Table1[[#This Row],[Date]])</f>
        <v>2012</v>
      </c>
      <c r="C1761" s="1">
        <v>2</v>
      </c>
      <c r="D1761" t="s">
        <v>439</v>
      </c>
      <c r="E1761" s="1">
        <v>11</v>
      </c>
      <c r="F1761" t="s">
        <v>301</v>
      </c>
      <c r="G1761" t="e">
        <f>VLOOKUP(Table1[[#This Row],[Winner]],Ranking!C:D,2,FALSE)</f>
        <v>#N/A</v>
      </c>
      <c r="H1761" s="1">
        <v>66</v>
      </c>
      <c r="I1761" s="1">
        <v>3</v>
      </c>
      <c r="J1761" t="s">
        <v>66</v>
      </c>
      <c r="K1761" t="str">
        <f>VLOOKUP(Table1[[#This Row],[Loser]],Ranking!C:D,2,FALSE)</f>
        <v>BE</v>
      </c>
      <c r="L1761" s="1">
        <v>63</v>
      </c>
      <c r="N1761" s="1">
        <f>Table1[[#This Row],[Winning Score]]-Table1[[#This Row],[Losing Score]]</f>
        <v>3</v>
      </c>
      <c r="O1761" s="1">
        <f>Table1[[#This Row],[Losing Seed]]-Table1[[#This Row],[Winning Seed]]</f>
        <v>-8</v>
      </c>
      <c r="P1761" s="1" t="str">
        <f>IF(Table1[[#This Row],[SeD]]&lt;-2,Table1[[#This Row],[Winning Seed]]&amp; " over " &amp;Table1[[#This Row],[Losing Seed]],"")</f>
        <v>11 over 3</v>
      </c>
      <c r="Q1761">
        <f>VLOOKUP(Table1[[#This Row],[Losing Seed]],'Seed History'!$N$4:$O$19,2)</f>
        <v>1.8472222222222223</v>
      </c>
      <c r="R1761" s="1">
        <f>IF(Table1[[#This Row],[Round]]="PI",0,Table1[[#This Row],[Round]]-1)</f>
        <v>1</v>
      </c>
      <c r="S1761">
        <f>Table1[[#This Row],[LAW]]-Table1[[#This Row],[LEW]]</f>
        <v>-0.84722222222222232</v>
      </c>
    </row>
    <row r="1762" spans="1:19" x14ac:dyDescent="0.25">
      <c r="A1762" s="66">
        <v>40986</v>
      </c>
      <c r="B1762" s="51">
        <f>YEAR(Table1[[#This Row],[Date]])</f>
        <v>2012</v>
      </c>
      <c r="C1762" s="1">
        <v>2</v>
      </c>
      <c r="D1762" t="s">
        <v>49</v>
      </c>
      <c r="E1762" s="1">
        <v>6</v>
      </c>
      <c r="F1762" t="s">
        <v>28</v>
      </c>
      <c r="G1762" t="str">
        <f>VLOOKUP(Table1[[#This Row],[Winner]],Ranking!C:D,2,FALSE)</f>
        <v>Amer</v>
      </c>
      <c r="H1762" s="1">
        <v>62</v>
      </c>
      <c r="I1762" s="1">
        <v>3</v>
      </c>
      <c r="J1762" t="s">
        <v>207</v>
      </c>
      <c r="K1762" t="str">
        <f>VLOOKUP(Table1[[#This Row],[Loser]],Ranking!C:D,2,FALSE)</f>
        <v>ACC</v>
      </c>
      <c r="L1762" s="1">
        <v>56</v>
      </c>
      <c r="N1762" s="1">
        <f>Table1[[#This Row],[Winning Score]]-Table1[[#This Row],[Losing Score]]</f>
        <v>6</v>
      </c>
      <c r="O1762" s="1">
        <f>Table1[[#This Row],[Losing Seed]]-Table1[[#This Row],[Winning Seed]]</f>
        <v>-3</v>
      </c>
      <c r="P1762" s="1" t="str">
        <f>IF(Table1[[#This Row],[SeD]]&lt;-2,Table1[[#This Row],[Winning Seed]]&amp; " over " &amp;Table1[[#This Row],[Losing Seed]],"")</f>
        <v>6 over 3</v>
      </c>
      <c r="Q1762">
        <f>VLOOKUP(Table1[[#This Row],[Losing Seed]],'Seed History'!$N$4:$O$19,2)</f>
        <v>1.8472222222222223</v>
      </c>
      <c r="R1762" s="1">
        <f>IF(Table1[[#This Row],[Round]]="PI",0,Table1[[#This Row],[Round]]-1)</f>
        <v>1</v>
      </c>
      <c r="S1762">
        <f>Table1[[#This Row],[LAW]]-Table1[[#This Row],[LEW]]</f>
        <v>-0.84722222222222232</v>
      </c>
    </row>
    <row r="1763" spans="1:19" x14ac:dyDescent="0.25">
      <c r="A1763" s="66">
        <v>40986</v>
      </c>
      <c r="B1763" s="51">
        <f>YEAR(Table1[[#This Row],[Date]])</f>
        <v>2012</v>
      </c>
      <c r="C1763" s="1">
        <v>2</v>
      </c>
      <c r="D1763" t="s">
        <v>439</v>
      </c>
      <c r="E1763" s="1">
        <v>1</v>
      </c>
      <c r="F1763" t="s">
        <v>298</v>
      </c>
      <c r="G1763" t="str">
        <f>VLOOKUP(Table1[[#This Row],[Winner]],Ranking!C:D,2,FALSE)</f>
        <v>ACC</v>
      </c>
      <c r="H1763" s="1">
        <v>87</v>
      </c>
      <c r="I1763" s="1">
        <v>8</v>
      </c>
      <c r="J1763" t="s">
        <v>88</v>
      </c>
      <c r="K1763" t="str">
        <f>VLOOKUP(Table1[[#This Row],[Loser]],Ranking!C:D,2,FALSE)</f>
        <v>BE</v>
      </c>
      <c r="L1763" s="1">
        <v>73</v>
      </c>
      <c r="N1763" s="1">
        <f>Table1[[#This Row],[Winning Score]]-Table1[[#This Row],[Losing Score]]</f>
        <v>14</v>
      </c>
      <c r="O1763" s="1">
        <f>Table1[[#This Row],[Losing Seed]]-Table1[[#This Row],[Winning Seed]]</f>
        <v>7</v>
      </c>
      <c r="P1763" s="1" t="str">
        <f>IF(Table1[[#This Row],[SeD]]&lt;-2,Table1[[#This Row],[Winning Seed]]&amp; " over " &amp;Table1[[#This Row],[Losing Seed]],"")</f>
        <v/>
      </c>
      <c r="Q1763">
        <f>VLOOKUP(Table1[[#This Row],[Losing Seed]],'Seed History'!$N$4:$O$19,2)</f>
        <v>0.70833333333333337</v>
      </c>
      <c r="R1763" s="1">
        <f>IF(Table1[[#This Row],[Round]]="PI",0,Table1[[#This Row],[Round]]-1)</f>
        <v>1</v>
      </c>
      <c r="S1763">
        <f>Table1[[#This Row],[LAW]]-Table1[[#This Row],[LEW]]</f>
        <v>0.29166666666666663</v>
      </c>
    </row>
    <row r="1764" spans="1:19" x14ac:dyDescent="0.25">
      <c r="A1764" s="66">
        <v>40986</v>
      </c>
      <c r="B1764" s="51">
        <f>YEAR(Table1[[#This Row],[Date]])</f>
        <v>2012</v>
      </c>
      <c r="C1764" s="1">
        <v>2</v>
      </c>
      <c r="D1764" t="s">
        <v>439</v>
      </c>
      <c r="E1764" s="1">
        <v>2</v>
      </c>
      <c r="F1764" t="s">
        <v>37</v>
      </c>
      <c r="G1764" t="str">
        <f>VLOOKUP(Table1[[#This Row],[Winner]],Ranking!C:D,2,FALSE)</f>
        <v>B12</v>
      </c>
      <c r="H1764" s="1">
        <v>63</v>
      </c>
      <c r="I1764" s="1">
        <v>10</v>
      </c>
      <c r="J1764" t="s">
        <v>29</v>
      </c>
      <c r="K1764" t="str">
        <f>VLOOKUP(Table1[[#This Row],[Loser]],Ranking!C:D,2,FALSE)</f>
        <v>B10</v>
      </c>
      <c r="L1764" s="1">
        <v>60</v>
      </c>
      <c r="N1764" s="1">
        <f>Table1[[#This Row],[Winning Score]]-Table1[[#This Row],[Losing Score]]</f>
        <v>3</v>
      </c>
      <c r="O1764" s="1">
        <f>Table1[[#This Row],[Losing Seed]]-Table1[[#This Row],[Winning Seed]]</f>
        <v>8</v>
      </c>
      <c r="P1764" s="1" t="str">
        <f>IF(Table1[[#This Row],[SeD]]&lt;-2,Table1[[#This Row],[Winning Seed]]&amp; " over " &amp;Table1[[#This Row],[Losing Seed]],"")</f>
        <v/>
      </c>
      <c r="Q1764">
        <f>VLOOKUP(Table1[[#This Row],[Losing Seed]],'Seed History'!$N$4:$O$19,2)</f>
        <v>0.61805555555555558</v>
      </c>
      <c r="R1764" s="1">
        <f>IF(Table1[[#This Row],[Round]]="PI",0,Table1[[#This Row],[Round]]-1)</f>
        <v>1</v>
      </c>
      <c r="S1764">
        <f>Table1[[#This Row],[LAW]]-Table1[[#This Row],[LEW]]</f>
        <v>0.38194444444444442</v>
      </c>
    </row>
    <row r="1765" spans="1:19" x14ac:dyDescent="0.25">
      <c r="A1765" s="66">
        <v>40986</v>
      </c>
      <c r="B1765" s="51">
        <f>YEAR(Table1[[#This Row],[Date]])</f>
        <v>2012</v>
      </c>
      <c r="C1765" s="1">
        <v>2</v>
      </c>
      <c r="D1765" t="s">
        <v>63</v>
      </c>
      <c r="E1765" s="1">
        <v>10</v>
      </c>
      <c r="F1765" t="s">
        <v>44</v>
      </c>
      <c r="G1765" t="str">
        <f>VLOOKUP(Table1[[#This Row],[Winner]],Ranking!C:D,2,FALSE)</f>
        <v>BE</v>
      </c>
      <c r="H1765" s="1">
        <v>70</v>
      </c>
      <c r="I1765" s="1">
        <v>15</v>
      </c>
      <c r="J1765" t="s">
        <v>248</v>
      </c>
      <c r="K1765" t="str">
        <f>VLOOKUP(Table1[[#This Row],[Loser]],Ranking!C:D,2,FALSE)</f>
        <v>Pat</v>
      </c>
      <c r="L1765" s="1">
        <v>58</v>
      </c>
      <c r="N1765" s="1">
        <f>Table1[[#This Row],[Winning Score]]-Table1[[#This Row],[Losing Score]]</f>
        <v>12</v>
      </c>
      <c r="O1765" s="1">
        <f>Table1[[#This Row],[Losing Seed]]-Table1[[#This Row],[Winning Seed]]</f>
        <v>5</v>
      </c>
      <c r="P1765" s="1" t="str">
        <f>IF(Table1[[#This Row],[SeD]]&lt;-2,Table1[[#This Row],[Winning Seed]]&amp; " over " &amp;Table1[[#This Row],[Losing Seed]],"")</f>
        <v/>
      </c>
      <c r="Q1765">
        <f>VLOOKUP(Table1[[#This Row],[Losing Seed]],'Seed History'!$N$4:$O$19,2)</f>
        <v>7.6388888888888895E-2</v>
      </c>
      <c r="R1765" s="1">
        <f>IF(Table1[[#This Row],[Round]]="PI",0,Table1[[#This Row],[Round]]-1)</f>
        <v>1</v>
      </c>
      <c r="S1765">
        <f>Table1[[#This Row],[LAW]]-Table1[[#This Row],[LEW]]</f>
        <v>0.92361111111111116</v>
      </c>
    </row>
    <row r="1766" spans="1:19" x14ac:dyDescent="0.25">
      <c r="A1766" s="66">
        <v>40986</v>
      </c>
      <c r="B1766" s="51">
        <f>YEAR(Table1[[#This Row],[Date]])</f>
        <v>2012</v>
      </c>
      <c r="C1766" s="1">
        <v>2</v>
      </c>
      <c r="D1766" t="s">
        <v>38</v>
      </c>
      <c r="E1766" s="1">
        <v>1</v>
      </c>
      <c r="F1766" t="s">
        <v>271</v>
      </c>
      <c r="G1766" t="str">
        <f>VLOOKUP(Table1[[#This Row],[Winner]],Ranking!C:D,2,FALSE)</f>
        <v>B10</v>
      </c>
      <c r="H1766" s="1">
        <v>65</v>
      </c>
      <c r="I1766" s="1">
        <v>9</v>
      </c>
      <c r="J1766" t="s">
        <v>338</v>
      </c>
      <c r="K1766" t="str">
        <f>VLOOKUP(Table1[[#This Row],[Loser]],Ranking!C:D,2,FALSE)</f>
        <v>A10</v>
      </c>
      <c r="L1766" s="1">
        <v>61</v>
      </c>
      <c r="N1766" s="1">
        <f>Table1[[#This Row],[Winning Score]]-Table1[[#This Row],[Losing Score]]</f>
        <v>4</v>
      </c>
      <c r="O1766" s="1">
        <f>Table1[[#This Row],[Losing Seed]]-Table1[[#This Row],[Winning Seed]]</f>
        <v>8</v>
      </c>
      <c r="P1766" s="1" t="str">
        <f>IF(Table1[[#This Row],[SeD]]&lt;-2,Table1[[#This Row],[Winning Seed]]&amp; " over " &amp;Table1[[#This Row],[Losing Seed]],"")</f>
        <v/>
      </c>
      <c r="Q1766">
        <f>VLOOKUP(Table1[[#This Row],[Losing Seed]],'Seed History'!$N$4:$O$19,2)</f>
        <v>0.59027777777777779</v>
      </c>
      <c r="R1766" s="1">
        <f>IF(Table1[[#This Row],[Round]]="PI",0,Table1[[#This Row],[Round]]-1)</f>
        <v>1</v>
      </c>
      <c r="S1766">
        <f>Table1[[#This Row],[LAW]]-Table1[[#This Row],[LEW]]</f>
        <v>0.40972222222222221</v>
      </c>
    </row>
    <row r="1767" spans="1:19" x14ac:dyDescent="0.25">
      <c r="A1767" s="66">
        <v>40986</v>
      </c>
      <c r="B1767" s="51">
        <f>YEAR(Table1[[#This Row],[Date]])</f>
        <v>2012</v>
      </c>
      <c r="C1767" s="1">
        <v>2</v>
      </c>
      <c r="D1767" t="s">
        <v>38</v>
      </c>
      <c r="E1767" s="1">
        <v>7</v>
      </c>
      <c r="F1767" t="s">
        <v>81</v>
      </c>
      <c r="G1767" t="str">
        <f>VLOOKUP(Table1[[#This Row],[Winner]],Ranking!C:D,2,FALSE)</f>
        <v>SEC</v>
      </c>
      <c r="H1767" s="1">
        <v>84</v>
      </c>
      <c r="I1767" s="1">
        <v>15</v>
      </c>
      <c r="J1767" t="s">
        <v>297</v>
      </c>
      <c r="K1767" t="str">
        <f>VLOOKUP(Table1[[#This Row],[Loser]],Ranking!C:D,2,FALSE)</f>
        <v>MEAC</v>
      </c>
      <c r="L1767" s="1">
        <v>50</v>
      </c>
      <c r="N1767" s="1">
        <f>Table1[[#This Row],[Winning Score]]-Table1[[#This Row],[Losing Score]]</f>
        <v>34</v>
      </c>
      <c r="O1767" s="1">
        <f>Table1[[#This Row],[Losing Seed]]-Table1[[#This Row],[Winning Seed]]</f>
        <v>8</v>
      </c>
      <c r="P1767" s="1" t="str">
        <f>IF(Table1[[#This Row],[SeD]]&lt;-2,Table1[[#This Row],[Winning Seed]]&amp; " over " &amp;Table1[[#This Row],[Losing Seed]],"")</f>
        <v/>
      </c>
      <c r="Q1767">
        <f>VLOOKUP(Table1[[#This Row],[Losing Seed]],'Seed History'!$N$4:$O$19,2)</f>
        <v>7.6388888888888895E-2</v>
      </c>
      <c r="R1767" s="1">
        <f>IF(Table1[[#This Row],[Round]]="PI",0,Table1[[#This Row],[Round]]-1)</f>
        <v>1</v>
      </c>
      <c r="S1767">
        <f>Table1[[#This Row],[LAW]]-Table1[[#This Row],[LEW]]</f>
        <v>0.92361111111111116</v>
      </c>
    </row>
    <row r="1768" spans="1:19" x14ac:dyDescent="0.25">
      <c r="A1768" s="66">
        <v>40986</v>
      </c>
      <c r="B1768" s="51">
        <f>YEAR(Table1[[#This Row],[Date]])</f>
        <v>2012</v>
      </c>
      <c r="C1768" s="1">
        <v>2</v>
      </c>
      <c r="D1768" t="s">
        <v>439</v>
      </c>
      <c r="E1768" s="1">
        <v>13</v>
      </c>
      <c r="F1768" t="s">
        <v>314</v>
      </c>
      <c r="G1768" t="str">
        <f>VLOOKUP(Table1[[#This Row],[Winner]],Ranking!C:D,2,FALSE)</f>
        <v>MAC</v>
      </c>
      <c r="H1768" s="1">
        <v>62</v>
      </c>
      <c r="I1768" s="1">
        <v>12</v>
      </c>
      <c r="J1768" t="s">
        <v>358</v>
      </c>
      <c r="K1768" t="str">
        <f>VLOOKUP(Table1[[#This Row],[Loser]],Ranking!C:D,2,FALSE)</f>
        <v>Amer</v>
      </c>
      <c r="L1768" s="1">
        <v>56</v>
      </c>
      <c r="N1768" s="1">
        <f>Table1[[#This Row],[Winning Score]]-Table1[[#This Row],[Losing Score]]</f>
        <v>6</v>
      </c>
      <c r="O1768" s="1">
        <f>Table1[[#This Row],[Losing Seed]]-Table1[[#This Row],[Winning Seed]]</f>
        <v>-1</v>
      </c>
      <c r="P1768" s="1" t="str">
        <f>IF(Table1[[#This Row],[SeD]]&lt;-2,Table1[[#This Row],[Winning Seed]]&amp; " over " &amp;Table1[[#This Row],[Losing Seed]],"")</f>
        <v/>
      </c>
      <c r="Q1768">
        <f>VLOOKUP(Table1[[#This Row],[Losing Seed]],'Seed History'!$N$4:$O$19,2)</f>
        <v>0.52083333333333337</v>
      </c>
      <c r="R1768" s="1">
        <f>IF(Table1[[#This Row],[Round]]="PI",0,Table1[[#This Row],[Round]]-1)</f>
        <v>1</v>
      </c>
      <c r="S1768">
        <f>Table1[[#This Row],[LAW]]-Table1[[#This Row],[LEW]]</f>
        <v>0.47916666666666663</v>
      </c>
    </row>
    <row r="1769" spans="1:19" x14ac:dyDescent="0.25">
      <c r="A1769" s="66">
        <v>40990</v>
      </c>
      <c r="B1769" s="51">
        <f>YEAR(Table1[[#This Row],[Date]])</f>
        <v>2012</v>
      </c>
      <c r="C1769" s="1">
        <v>3</v>
      </c>
      <c r="D1769" t="s">
        <v>38</v>
      </c>
      <c r="E1769" s="1">
        <v>7</v>
      </c>
      <c r="F1769" t="s">
        <v>81</v>
      </c>
      <c r="G1769" t="str">
        <f>VLOOKUP(Table1[[#This Row],[Winner]],Ranking!C:D,2,FALSE)</f>
        <v>SEC</v>
      </c>
      <c r="H1769" s="1">
        <v>68</v>
      </c>
      <c r="I1769" s="1">
        <v>3</v>
      </c>
      <c r="J1769" t="s">
        <v>262</v>
      </c>
      <c r="K1769" t="str">
        <f>VLOOKUP(Table1[[#This Row],[Loser]],Ranking!C:D,2,FALSE)</f>
        <v>BE</v>
      </c>
      <c r="L1769" s="1">
        <v>58</v>
      </c>
      <c r="N1769" s="1">
        <f>Table1[[#This Row],[Winning Score]]-Table1[[#This Row],[Losing Score]]</f>
        <v>10</v>
      </c>
      <c r="O1769" s="1">
        <f>Table1[[#This Row],[Losing Seed]]-Table1[[#This Row],[Winning Seed]]</f>
        <v>-4</v>
      </c>
      <c r="P1769" s="1" t="str">
        <f>IF(Table1[[#This Row],[SeD]]&lt;-2,Table1[[#This Row],[Winning Seed]]&amp; " over " &amp;Table1[[#This Row],[Losing Seed]],"")</f>
        <v>7 over 3</v>
      </c>
      <c r="Q1769">
        <f>VLOOKUP(Table1[[#This Row],[Losing Seed]],'Seed History'!$N$4:$O$19,2)</f>
        <v>1.8472222222222223</v>
      </c>
      <c r="R1769" s="1">
        <f>IF(Table1[[#This Row],[Round]]="PI",0,Table1[[#This Row],[Round]]-1)</f>
        <v>2</v>
      </c>
      <c r="S1769">
        <f>Table1[[#This Row],[LAW]]-Table1[[#This Row],[LEW]]</f>
        <v>0.15277777777777768</v>
      </c>
    </row>
    <row r="1770" spans="1:19" x14ac:dyDescent="0.25">
      <c r="A1770" s="66">
        <v>40990</v>
      </c>
      <c r="B1770" s="51">
        <f>YEAR(Table1[[#This Row],[Date]])</f>
        <v>2012</v>
      </c>
      <c r="C1770" s="1">
        <v>3</v>
      </c>
      <c r="D1770" t="s">
        <v>38</v>
      </c>
      <c r="E1770" s="1">
        <v>4</v>
      </c>
      <c r="F1770" t="s">
        <v>54</v>
      </c>
      <c r="G1770" t="str">
        <f>VLOOKUP(Table1[[#This Row],[Winner]],Ranking!C:D,2,FALSE)</f>
        <v>ACC</v>
      </c>
      <c r="H1770" s="1">
        <v>57</v>
      </c>
      <c r="I1770" s="1">
        <v>1</v>
      </c>
      <c r="J1770" t="s">
        <v>271</v>
      </c>
      <c r="K1770" t="str">
        <f>VLOOKUP(Table1[[#This Row],[Loser]],Ranking!C:D,2,FALSE)</f>
        <v>B10</v>
      </c>
      <c r="L1770" s="1">
        <v>44</v>
      </c>
      <c r="N1770" s="1">
        <f>Table1[[#This Row],[Winning Score]]-Table1[[#This Row],[Losing Score]]</f>
        <v>13</v>
      </c>
      <c r="O1770" s="1">
        <f>Table1[[#This Row],[Losing Seed]]-Table1[[#This Row],[Winning Seed]]</f>
        <v>-3</v>
      </c>
      <c r="P1770" s="1" t="str">
        <f>IF(Table1[[#This Row],[SeD]]&lt;-2,Table1[[#This Row],[Winning Seed]]&amp; " over " &amp;Table1[[#This Row],[Losing Seed]],"")</f>
        <v>4 over 1</v>
      </c>
      <c r="Q1770">
        <f>VLOOKUP(Table1[[#This Row],[Losing Seed]],'Seed History'!$N$4:$O$19,2)</f>
        <v>3.3263888888888888</v>
      </c>
      <c r="R1770" s="1">
        <f>IF(Table1[[#This Row],[Round]]="PI",0,Table1[[#This Row],[Round]]-1)</f>
        <v>2</v>
      </c>
      <c r="S1770">
        <f>Table1[[#This Row],[LAW]]-Table1[[#This Row],[LEW]]</f>
        <v>-1.3263888888888888</v>
      </c>
    </row>
    <row r="1771" spans="1:19" x14ac:dyDescent="0.25">
      <c r="A1771" s="66">
        <v>40990</v>
      </c>
      <c r="B1771" s="51">
        <f>YEAR(Table1[[#This Row],[Date]])</f>
        <v>2012</v>
      </c>
      <c r="C1771" s="1">
        <v>3</v>
      </c>
      <c r="D1771" t="s">
        <v>49</v>
      </c>
      <c r="E1771" s="1">
        <v>1</v>
      </c>
      <c r="F1771" t="s">
        <v>86</v>
      </c>
      <c r="G1771" t="str">
        <f>VLOOKUP(Table1[[#This Row],[Winner]],Ranking!C:D,2,FALSE)</f>
        <v>ACC</v>
      </c>
      <c r="H1771" s="1">
        <v>64</v>
      </c>
      <c r="I1771" s="1">
        <v>4</v>
      </c>
      <c r="J1771" t="s">
        <v>39</v>
      </c>
      <c r="K1771" t="str">
        <f>VLOOKUP(Table1[[#This Row],[Loser]],Ranking!C:D,2,FALSE)</f>
        <v>B10</v>
      </c>
      <c r="L1771" s="1">
        <v>63</v>
      </c>
      <c r="N1771" s="1">
        <f>Table1[[#This Row],[Winning Score]]-Table1[[#This Row],[Losing Score]]</f>
        <v>1</v>
      </c>
      <c r="O1771" s="1">
        <f>Table1[[#This Row],[Losing Seed]]-Table1[[#This Row],[Winning Seed]]</f>
        <v>3</v>
      </c>
      <c r="P1771" s="1" t="str">
        <f>IF(Table1[[#This Row],[SeD]]&lt;-2,Table1[[#This Row],[Winning Seed]]&amp; " over " &amp;Table1[[#This Row],[Losing Seed]],"")</f>
        <v/>
      </c>
      <c r="Q1771">
        <f>VLOOKUP(Table1[[#This Row],[Losing Seed]],'Seed History'!$N$4:$O$19,2)</f>
        <v>1.5208333333333333</v>
      </c>
      <c r="R1771" s="1">
        <f>IF(Table1[[#This Row],[Round]]="PI",0,Table1[[#This Row],[Round]]-1)</f>
        <v>2</v>
      </c>
      <c r="S1771">
        <f>Table1[[#This Row],[LAW]]-Table1[[#This Row],[LEW]]</f>
        <v>0.47916666666666674</v>
      </c>
    </row>
    <row r="1772" spans="1:19" x14ac:dyDescent="0.25">
      <c r="A1772" s="66">
        <v>40990</v>
      </c>
      <c r="B1772" s="51">
        <f>YEAR(Table1[[#This Row],[Date]])</f>
        <v>2012</v>
      </c>
      <c r="C1772" s="1">
        <v>3</v>
      </c>
      <c r="D1772" t="s">
        <v>49</v>
      </c>
      <c r="E1772" s="1">
        <v>2</v>
      </c>
      <c r="F1772" t="s">
        <v>315</v>
      </c>
      <c r="G1772" t="str">
        <f>VLOOKUP(Table1[[#This Row],[Winner]],Ranking!C:D,2,FALSE)</f>
        <v>B10</v>
      </c>
      <c r="H1772" s="1">
        <v>81</v>
      </c>
      <c r="I1772" s="1">
        <v>6</v>
      </c>
      <c r="J1772" t="s">
        <v>28</v>
      </c>
      <c r="K1772" t="str">
        <f>VLOOKUP(Table1[[#This Row],[Loser]],Ranking!C:D,2,FALSE)</f>
        <v>Amer</v>
      </c>
      <c r="L1772" s="1">
        <v>66</v>
      </c>
      <c r="N1772" s="1">
        <f>Table1[[#This Row],[Winning Score]]-Table1[[#This Row],[Losing Score]]</f>
        <v>15</v>
      </c>
      <c r="O1772" s="1">
        <f>Table1[[#This Row],[Losing Seed]]-Table1[[#This Row],[Winning Seed]]</f>
        <v>4</v>
      </c>
      <c r="P1772" s="1" t="str">
        <f>IF(Table1[[#This Row],[SeD]]&lt;-2,Table1[[#This Row],[Winning Seed]]&amp; " over " &amp;Table1[[#This Row],[Losing Seed]],"")</f>
        <v/>
      </c>
      <c r="Q1772">
        <f>VLOOKUP(Table1[[#This Row],[Losing Seed]],'Seed History'!$N$4:$O$19,2)</f>
        <v>1.0625</v>
      </c>
      <c r="R1772" s="1">
        <f>IF(Table1[[#This Row],[Round]]="PI",0,Table1[[#This Row],[Round]]-1)</f>
        <v>2</v>
      </c>
      <c r="S1772">
        <f>Table1[[#This Row],[LAW]]-Table1[[#This Row],[LEW]]</f>
        <v>0.9375</v>
      </c>
    </row>
    <row r="1773" spans="1:19" x14ac:dyDescent="0.25">
      <c r="A1773" s="66">
        <v>40991</v>
      </c>
      <c r="B1773" s="51">
        <f>YEAR(Table1[[#This Row],[Date]])</f>
        <v>2012</v>
      </c>
      <c r="C1773" s="1">
        <v>3</v>
      </c>
      <c r="D1773" t="s">
        <v>439</v>
      </c>
      <c r="E1773" s="1">
        <v>1</v>
      </c>
      <c r="F1773" t="s">
        <v>298</v>
      </c>
      <c r="G1773" t="str">
        <f>VLOOKUP(Table1[[#This Row],[Winner]],Ranking!C:D,2,FALSE)</f>
        <v>ACC</v>
      </c>
      <c r="H1773" s="1">
        <v>73</v>
      </c>
      <c r="I1773" s="1">
        <v>13</v>
      </c>
      <c r="J1773" t="s">
        <v>314</v>
      </c>
      <c r="K1773" t="str">
        <f>VLOOKUP(Table1[[#This Row],[Loser]],Ranking!C:D,2,FALSE)</f>
        <v>MAC</v>
      </c>
      <c r="L1773" s="1">
        <v>65</v>
      </c>
      <c r="M1773" s="1" t="s">
        <v>462</v>
      </c>
      <c r="N1773" s="1">
        <f>Table1[[#This Row],[Winning Score]]-Table1[[#This Row],[Losing Score]]</f>
        <v>8</v>
      </c>
      <c r="O1773" s="1">
        <f>Table1[[#This Row],[Losing Seed]]-Table1[[#This Row],[Winning Seed]]</f>
        <v>12</v>
      </c>
      <c r="P1773" s="1" t="str">
        <f>IF(Table1[[#This Row],[SeD]]&lt;-2,Table1[[#This Row],[Winning Seed]]&amp; " over " &amp;Table1[[#This Row],[Losing Seed]],"")</f>
        <v/>
      </c>
      <c r="Q1773">
        <f>VLOOKUP(Table1[[#This Row],[Losing Seed]],'Seed History'!$N$4:$O$19,2)</f>
        <v>0.25694444444444442</v>
      </c>
      <c r="R1773" s="1">
        <f>IF(Table1[[#This Row],[Round]]="PI",0,Table1[[#This Row],[Round]]-1)</f>
        <v>2</v>
      </c>
      <c r="S1773">
        <f>Table1[[#This Row],[LAW]]-Table1[[#This Row],[LEW]]</f>
        <v>1.7430555555555556</v>
      </c>
    </row>
    <row r="1774" spans="1:19" x14ac:dyDescent="0.25">
      <c r="A1774" s="66">
        <v>40991</v>
      </c>
      <c r="B1774" s="51">
        <f>YEAR(Table1[[#This Row],[Date]])</f>
        <v>2012</v>
      </c>
      <c r="C1774" s="1">
        <v>3</v>
      </c>
      <c r="D1774" t="s">
        <v>439</v>
      </c>
      <c r="E1774" s="1">
        <v>2</v>
      </c>
      <c r="F1774" t="s">
        <v>37</v>
      </c>
      <c r="G1774" t="str">
        <f>VLOOKUP(Table1[[#This Row],[Winner]],Ranking!C:D,2,FALSE)</f>
        <v>B12</v>
      </c>
      <c r="H1774" s="1">
        <v>60</v>
      </c>
      <c r="I1774" s="1">
        <v>11</v>
      </c>
      <c r="J1774" t="s">
        <v>301</v>
      </c>
      <c r="K1774" t="e">
        <f>VLOOKUP(Table1[[#This Row],[Loser]],Ranking!C:D,2,FALSE)</f>
        <v>#N/A</v>
      </c>
      <c r="L1774" s="1">
        <v>57</v>
      </c>
      <c r="N1774" s="1">
        <f>Table1[[#This Row],[Winning Score]]-Table1[[#This Row],[Losing Score]]</f>
        <v>3</v>
      </c>
      <c r="O1774" s="1">
        <f>Table1[[#This Row],[Losing Seed]]-Table1[[#This Row],[Winning Seed]]</f>
        <v>9</v>
      </c>
      <c r="P1774" s="1" t="str">
        <f>IF(Table1[[#This Row],[SeD]]&lt;-2,Table1[[#This Row],[Winning Seed]]&amp; " over " &amp;Table1[[#This Row],[Losing Seed]],"")</f>
        <v/>
      </c>
      <c r="Q1774">
        <f>VLOOKUP(Table1[[#This Row],[Losing Seed]],'Seed History'!$N$4:$O$19,2)</f>
        <v>0.63194444444444442</v>
      </c>
      <c r="R1774" s="1">
        <f>IF(Table1[[#This Row],[Round]]="PI",0,Table1[[#This Row],[Round]]-1)</f>
        <v>2</v>
      </c>
      <c r="S1774">
        <f>Table1[[#This Row],[LAW]]-Table1[[#This Row],[LEW]]</f>
        <v>1.3680555555555556</v>
      </c>
    </row>
    <row r="1775" spans="1:19" x14ac:dyDescent="0.25">
      <c r="A1775" s="66">
        <v>40991</v>
      </c>
      <c r="B1775" s="51">
        <f>YEAR(Table1[[#This Row],[Date]])</f>
        <v>2012</v>
      </c>
      <c r="C1775" s="1">
        <v>3</v>
      </c>
      <c r="D1775" t="s">
        <v>63</v>
      </c>
      <c r="E1775" s="1">
        <v>1</v>
      </c>
      <c r="F1775" t="s">
        <v>26</v>
      </c>
      <c r="G1775" t="str">
        <f>VLOOKUP(Table1[[#This Row],[Winner]],Ranking!C:D,2,FALSE)</f>
        <v>SEC</v>
      </c>
      <c r="H1775" s="1">
        <v>102</v>
      </c>
      <c r="I1775" s="1">
        <v>4</v>
      </c>
      <c r="J1775" t="s">
        <v>36</v>
      </c>
      <c r="K1775" t="str">
        <f>VLOOKUP(Table1[[#This Row],[Loser]],Ranking!C:D,2,FALSE)</f>
        <v>B10</v>
      </c>
      <c r="L1775" s="1">
        <v>90</v>
      </c>
      <c r="N1775" s="1">
        <f>Table1[[#This Row],[Winning Score]]-Table1[[#This Row],[Losing Score]]</f>
        <v>12</v>
      </c>
      <c r="O1775" s="1">
        <f>Table1[[#This Row],[Losing Seed]]-Table1[[#This Row],[Winning Seed]]</f>
        <v>3</v>
      </c>
      <c r="P1775" s="1" t="str">
        <f>IF(Table1[[#This Row],[SeD]]&lt;-2,Table1[[#This Row],[Winning Seed]]&amp; " over " &amp;Table1[[#This Row],[Losing Seed]],"")</f>
        <v/>
      </c>
      <c r="Q1775">
        <f>VLOOKUP(Table1[[#This Row],[Losing Seed]],'Seed History'!$N$4:$O$19,2)</f>
        <v>1.5208333333333333</v>
      </c>
      <c r="R1775" s="1">
        <f>IF(Table1[[#This Row],[Round]]="PI",0,Table1[[#This Row],[Round]]-1)</f>
        <v>2</v>
      </c>
      <c r="S1775">
        <f>Table1[[#This Row],[LAW]]-Table1[[#This Row],[LEW]]</f>
        <v>0.47916666666666674</v>
      </c>
    </row>
    <row r="1776" spans="1:19" x14ac:dyDescent="0.25">
      <c r="A1776" s="66">
        <v>40991</v>
      </c>
      <c r="B1776" s="51">
        <f>YEAR(Table1[[#This Row],[Date]])</f>
        <v>2012</v>
      </c>
      <c r="C1776" s="1">
        <v>3</v>
      </c>
      <c r="D1776" t="s">
        <v>63</v>
      </c>
      <c r="E1776" s="1">
        <v>3</v>
      </c>
      <c r="F1776" t="s">
        <v>46</v>
      </c>
      <c r="G1776" t="str">
        <f>VLOOKUP(Table1[[#This Row],[Winner]],Ranking!C:D,2,FALSE)</f>
        <v>B12</v>
      </c>
      <c r="H1776" s="1">
        <v>75</v>
      </c>
      <c r="I1776" s="1">
        <v>10</v>
      </c>
      <c r="J1776" t="s">
        <v>44</v>
      </c>
      <c r="K1776" t="str">
        <f>VLOOKUP(Table1[[#This Row],[Loser]],Ranking!C:D,2,FALSE)</f>
        <v>BE</v>
      </c>
      <c r="L1776" s="1">
        <v>70</v>
      </c>
      <c r="N1776" s="1">
        <f>Table1[[#This Row],[Winning Score]]-Table1[[#This Row],[Losing Score]]</f>
        <v>5</v>
      </c>
      <c r="O1776" s="1">
        <f>Table1[[#This Row],[Losing Seed]]-Table1[[#This Row],[Winning Seed]]</f>
        <v>7</v>
      </c>
      <c r="P1776" s="1" t="str">
        <f>IF(Table1[[#This Row],[SeD]]&lt;-2,Table1[[#This Row],[Winning Seed]]&amp; " over " &amp;Table1[[#This Row],[Losing Seed]],"")</f>
        <v/>
      </c>
      <c r="Q1776">
        <f>VLOOKUP(Table1[[#This Row],[Losing Seed]],'Seed History'!$N$4:$O$19,2)</f>
        <v>0.61805555555555558</v>
      </c>
      <c r="R1776" s="1">
        <f>IF(Table1[[#This Row],[Round]]="PI",0,Table1[[#This Row],[Round]]-1)</f>
        <v>2</v>
      </c>
      <c r="S1776">
        <f>Table1[[#This Row],[LAW]]-Table1[[#This Row],[LEW]]</f>
        <v>1.3819444444444444</v>
      </c>
    </row>
    <row r="1777" spans="1:19" x14ac:dyDescent="0.25">
      <c r="A1777" s="66">
        <v>40992</v>
      </c>
      <c r="B1777" s="51">
        <f>YEAR(Table1[[#This Row],[Date]])</f>
        <v>2012</v>
      </c>
      <c r="C1777" s="1">
        <v>4</v>
      </c>
      <c r="D1777" t="s">
        <v>38</v>
      </c>
      <c r="E1777" s="1">
        <v>4</v>
      </c>
      <c r="F1777" t="s">
        <v>54</v>
      </c>
      <c r="G1777" t="str">
        <f>VLOOKUP(Table1[[#This Row],[Winner]],Ranking!C:D,2,FALSE)</f>
        <v>ACC</v>
      </c>
      <c r="H1777" s="1">
        <v>72</v>
      </c>
      <c r="I1777" s="1">
        <v>7</v>
      </c>
      <c r="J1777" t="s">
        <v>81</v>
      </c>
      <c r="K1777" t="str">
        <f>VLOOKUP(Table1[[#This Row],[Loser]],Ranking!C:D,2,FALSE)</f>
        <v>SEC</v>
      </c>
      <c r="L1777" s="1">
        <v>68</v>
      </c>
      <c r="N1777" s="1">
        <f>Table1[[#This Row],[Winning Score]]-Table1[[#This Row],[Losing Score]]</f>
        <v>4</v>
      </c>
      <c r="O1777" s="1">
        <f>Table1[[#This Row],[Losing Seed]]-Table1[[#This Row],[Winning Seed]]</f>
        <v>3</v>
      </c>
      <c r="P1777" s="1" t="str">
        <f>IF(Table1[[#This Row],[SeD]]&lt;-2,Table1[[#This Row],[Winning Seed]]&amp; " over " &amp;Table1[[#This Row],[Losing Seed]],"")</f>
        <v/>
      </c>
      <c r="Q1777">
        <f>VLOOKUP(Table1[[#This Row],[Losing Seed]],'Seed History'!$N$4:$O$19,2)</f>
        <v>0.90277777777777779</v>
      </c>
      <c r="R1777" s="1">
        <f>IF(Table1[[#This Row],[Round]]="PI",0,Table1[[#This Row],[Round]]-1)</f>
        <v>3</v>
      </c>
      <c r="S1777">
        <f>Table1[[#This Row],[LAW]]-Table1[[#This Row],[LEW]]</f>
        <v>2.0972222222222223</v>
      </c>
    </row>
    <row r="1778" spans="1:19" x14ac:dyDescent="0.25">
      <c r="A1778" s="66">
        <v>40992</v>
      </c>
      <c r="B1778" s="51">
        <f>YEAR(Table1[[#This Row],[Date]])</f>
        <v>2012</v>
      </c>
      <c r="C1778" s="1">
        <v>4</v>
      </c>
      <c r="D1778" t="s">
        <v>49</v>
      </c>
      <c r="E1778" s="1">
        <v>2</v>
      </c>
      <c r="F1778" t="s">
        <v>315</v>
      </c>
      <c r="G1778" t="str">
        <f>VLOOKUP(Table1[[#This Row],[Winner]],Ranking!C:D,2,FALSE)</f>
        <v>B10</v>
      </c>
      <c r="H1778" s="1">
        <v>77</v>
      </c>
      <c r="I1778" s="1">
        <v>1</v>
      </c>
      <c r="J1778" t="s">
        <v>86</v>
      </c>
      <c r="K1778" t="str">
        <f>VLOOKUP(Table1[[#This Row],[Loser]],Ranking!C:D,2,FALSE)</f>
        <v>ACC</v>
      </c>
      <c r="L1778" s="1">
        <v>70</v>
      </c>
      <c r="N1778" s="1">
        <f>Table1[[#This Row],[Winning Score]]-Table1[[#This Row],[Losing Score]]</f>
        <v>7</v>
      </c>
      <c r="O1778" s="1">
        <f>Table1[[#This Row],[Losing Seed]]-Table1[[#This Row],[Winning Seed]]</f>
        <v>-1</v>
      </c>
      <c r="P1778" s="1" t="str">
        <f>IF(Table1[[#This Row],[SeD]]&lt;-2,Table1[[#This Row],[Winning Seed]]&amp; " over " &amp;Table1[[#This Row],[Losing Seed]],"")</f>
        <v/>
      </c>
      <c r="Q1778">
        <f>VLOOKUP(Table1[[#This Row],[Losing Seed]],'Seed History'!$N$4:$O$19,2)</f>
        <v>3.3263888888888888</v>
      </c>
      <c r="R1778" s="1">
        <f>IF(Table1[[#This Row],[Round]]="PI",0,Table1[[#This Row],[Round]]-1)</f>
        <v>3</v>
      </c>
      <c r="S1778">
        <f>Table1[[#This Row],[LAW]]-Table1[[#This Row],[LEW]]</f>
        <v>-0.32638888888888884</v>
      </c>
    </row>
    <row r="1779" spans="1:19" x14ac:dyDescent="0.25">
      <c r="A1779" s="66">
        <v>40993</v>
      </c>
      <c r="B1779" s="51">
        <f>YEAR(Table1[[#This Row],[Date]])</f>
        <v>2012</v>
      </c>
      <c r="C1779" s="1">
        <v>4</v>
      </c>
      <c r="D1779" t="s">
        <v>63</v>
      </c>
      <c r="E1779" s="1">
        <v>1</v>
      </c>
      <c r="F1779" t="s">
        <v>26</v>
      </c>
      <c r="G1779" t="str">
        <f>VLOOKUP(Table1[[#This Row],[Winner]],Ranking!C:D,2,FALSE)</f>
        <v>SEC</v>
      </c>
      <c r="H1779" s="1">
        <v>82</v>
      </c>
      <c r="I1779" s="1">
        <v>3</v>
      </c>
      <c r="J1779" t="s">
        <v>46</v>
      </c>
      <c r="K1779" t="str">
        <f>VLOOKUP(Table1[[#This Row],[Loser]],Ranking!C:D,2,FALSE)</f>
        <v>B12</v>
      </c>
      <c r="L1779" s="1">
        <v>70</v>
      </c>
      <c r="N1779" s="1">
        <f>Table1[[#This Row],[Winning Score]]-Table1[[#This Row],[Losing Score]]</f>
        <v>12</v>
      </c>
      <c r="O1779" s="1">
        <f>Table1[[#This Row],[Losing Seed]]-Table1[[#This Row],[Winning Seed]]</f>
        <v>2</v>
      </c>
      <c r="P1779" s="1" t="str">
        <f>IF(Table1[[#This Row],[SeD]]&lt;-2,Table1[[#This Row],[Winning Seed]]&amp; " over " &amp;Table1[[#This Row],[Losing Seed]],"")</f>
        <v/>
      </c>
      <c r="Q1779">
        <f>VLOOKUP(Table1[[#This Row],[Losing Seed]],'Seed History'!$N$4:$O$19,2)</f>
        <v>1.8472222222222223</v>
      </c>
      <c r="R1779" s="1">
        <f>IF(Table1[[#This Row],[Round]]="PI",0,Table1[[#This Row],[Round]]-1)</f>
        <v>3</v>
      </c>
      <c r="S1779">
        <f>Table1[[#This Row],[LAW]]-Table1[[#This Row],[LEW]]</f>
        <v>1.1527777777777777</v>
      </c>
    </row>
    <row r="1780" spans="1:19" x14ac:dyDescent="0.25">
      <c r="A1780" s="66">
        <v>40993</v>
      </c>
      <c r="B1780" s="51">
        <f>YEAR(Table1[[#This Row],[Date]])</f>
        <v>2012</v>
      </c>
      <c r="C1780" s="1">
        <v>4</v>
      </c>
      <c r="D1780" t="s">
        <v>439</v>
      </c>
      <c r="E1780" s="1">
        <v>2</v>
      </c>
      <c r="F1780" t="s">
        <v>37</v>
      </c>
      <c r="G1780" t="str">
        <f>VLOOKUP(Table1[[#This Row],[Winner]],Ranking!C:D,2,FALSE)</f>
        <v>B12</v>
      </c>
      <c r="H1780" s="1">
        <v>80</v>
      </c>
      <c r="I1780" s="1">
        <v>1</v>
      </c>
      <c r="J1780" t="s">
        <v>298</v>
      </c>
      <c r="K1780" t="str">
        <f>VLOOKUP(Table1[[#This Row],[Loser]],Ranking!C:D,2,FALSE)</f>
        <v>ACC</v>
      </c>
      <c r="L1780" s="1">
        <v>67</v>
      </c>
      <c r="N1780" s="1">
        <f>Table1[[#This Row],[Winning Score]]-Table1[[#This Row],[Losing Score]]</f>
        <v>13</v>
      </c>
      <c r="O1780" s="1">
        <f>Table1[[#This Row],[Losing Seed]]-Table1[[#This Row],[Winning Seed]]</f>
        <v>-1</v>
      </c>
      <c r="P1780" s="1" t="str">
        <f>IF(Table1[[#This Row],[SeD]]&lt;-2,Table1[[#This Row],[Winning Seed]]&amp; " over " &amp;Table1[[#This Row],[Losing Seed]],"")</f>
        <v/>
      </c>
      <c r="Q1780">
        <f>VLOOKUP(Table1[[#This Row],[Losing Seed]],'Seed History'!$N$4:$O$19,2)</f>
        <v>3.3263888888888888</v>
      </c>
      <c r="R1780" s="1">
        <f>IF(Table1[[#This Row],[Round]]="PI",0,Table1[[#This Row],[Round]]-1)</f>
        <v>3</v>
      </c>
      <c r="S1780">
        <f>Table1[[#This Row],[LAW]]-Table1[[#This Row],[LEW]]</f>
        <v>-0.32638888888888884</v>
      </c>
    </row>
    <row r="1781" spans="1:19" x14ac:dyDescent="0.25">
      <c r="A1781" s="66">
        <v>40999</v>
      </c>
      <c r="B1781" s="51">
        <f>YEAR(Table1[[#This Row],[Date]])</f>
        <v>2012</v>
      </c>
      <c r="C1781" s="1">
        <v>5</v>
      </c>
      <c r="D1781" t="s">
        <v>467</v>
      </c>
      <c r="E1781" s="1">
        <v>1</v>
      </c>
      <c r="F1781" t="s">
        <v>26</v>
      </c>
      <c r="G1781" t="str">
        <f>VLOOKUP(Table1[[#This Row],[Winner]],Ranking!C:D,2,FALSE)</f>
        <v>SEC</v>
      </c>
      <c r="H1781" s="1">
        <v>69</v>
      </c>
      <c r="I1781" s="1">
        <v>4</v>
      </c>
      <c r="J1781" t="s">
        <v>54</v>
      </c>
      <c r="K1781" t="str">
        <f>VLOOKUP(Table1[[#This Row],[Loser]],Ranking!C:D,2,FALSE)</f>
        <v>ACC</v>
      </c>
      <c r="L1781" s="1">
        <v>61</v>
      </c>
      <c r="N1781" s="1">
        <f>Table1[[#This Row],[Winning Score]]-Table1[[#This Row],[Losing Score]]</f>
        <v>8</v>
      </c>
      <c r="O1781" s="1">
        <f>Table1[[#This Row],[Losing Seed]]-Table1[[#This Row],[Winning Seed]]</f>
        <v>3</v>
      </c>
      <c r="P1781" s="1" t="str">
        <f>IF(Table1[[#This Row],[SeD]]&lt;-2,Table1[[#This Row],[Winning Seed]]&amp; " over " &amp;Table1[[#This Row],[Losing Seed]],"")</f>
        <v/>
      </c>
      <c r="Q1781">
        <f>VLOOKUP(Table1[[#This Row],[Losing Seed]],'Seed History'!$N$4:$O$19,2)</f>
        <v>1.5208333333333333</v>
      </c>
      <c r="R1781" s="1">
        <f>IF(Table1[[#This Row],[Round]]="PI",0,Table1[[#This Row],[Round]]-1)</f>
        <v>4</v>
      </c>
      <c r="S1781">
        <f>Table1[[#This Row],[LAW]]-Table1[[#This Row],[LEW]]</f>
        <v>2.479166666666667</v>
      </c>
    </row>
    <row r="1782" spans="1:19" x14ac:dyDescent="0.25">
      <c r="A1782" s="66">
        <v>40999</v>
      </c>
      <c r="B1782" s="51">
        <f>YEAR(Table1[[#This Row],[Date]])</f>
        <v>2012</v>
      </c>
      <c r="C1782" s="1">
        <v>5</v>
      </c>
      <c r="D1782" t="s">
        <v>467</v>
      </c>
      <c r="E1782" s="1">
        <v>2</v>
      </c>
      <c r="F1782" t="s">
        <v>37</v>
      </c>
      <c r="G1782" t="str">
        <f>VLOOKUP(Table1[[#This Row],[Winner]],Ranking!C:D,2,FALSE)</f>
        <v>B12</v>
      </c>
      <c r="H1782" s="1">
        <v>64</v>
      </c>
      <c r="I1782" s="1">
        <v>2</v>
      </c>
      <c r="J1782" t="s">
        <v>315</v>
      </c>
      <c r="K1782" t="str">
        <f>VLOOKUP(Table1[[#This Row],[Loser]],Ranking!C:D,2,FALSE)</f>
        <v>B10</v>
      </c>
      <c r="L1782" s="1">
        <v>62</v>
      </c>
      <c r="N1782" s="1">
        <f>Table1[[#This Row],[Winning Score]]-Table1[[#This Row],[Losing Score]]</f>
        <v>2</v>
      </c>
      <c r="O1782" s="1">
        <f>Table1[[#This Row],[Losing Seed]]-Table1[[#This Row],[Winning Seed]]</f>
        <v>0</v>
      </c>
      <c r="P1782" s="1" t="str">
        <f>IF(Table1[[#This Row],[SeD]]&lt;-2,Table1[[#This Row],[Winning Seed]]&amp; " over " &amp;Table1[[#This Row],[Losing Seed]],"")</f>
        <v/>
      </c>
      <c r="Q1782">
        <f>VLOOKUP(Table1[[#This Row],[Losing Seed]],'Seed History'!$N$4:$O$19,2)</f>
        <v>2.3472222222222223</v>
      </c>
      <c r="R1782" s="1">
        <f>IF(Table1[[#This Row],[Round]]="PI",0,Table1[[#This Row],[Round]]-1)</f>
        <v>4</v>
      </c>
      <c r="S1782">
        <f>Table1[[#This Row],[LAW]]-Table1[[#This Row],[LEW]]</f>
        <v>1.6527777777777777</v>
      </c>
    </row>
    <row r="1783" spans="1:19" x14ac:dyDescent="0.25">
      <c r="A1783" s="66">
        <v>41001</v>
      </c>
      <c r="B1783" s="51">
        <f>YEAR(Table1[[#This Row],[Date]])</f>
        <v>2012</v>
      </c>
      <c r="C1783" s="1">
        <v>6</v>
      </c>
      <c r="D1783" t="s">
        <v>468</v>
      </c>
      <c r="E1783" s="1">
        <v>1</v>
      </c>
      <c r="F1783" t="s">
        <v>26</v>
      </c>
      <c r="G1783" t="str">
        <f>VLOOKUP(Table1[[#This Row],[Winner]],Ranking!C:D,2,FALSE)</f>
        <v>SEC</v>
      </c>
      <c r="H1783" s="1">
        <v>67</v>
      </c>
      <c r="I1783" s="1">
        <v>2</v>
      </c>
      <c r="J1783" t="s">
        <v>37</v>
      </c>
      <c r="K1783" t="str">
        <f>VLOOKUP(Table1[[#This Row],[Loser]],Ranking!C:D,2,FALSE)</f>
        <v>B12</v>
      </c>
      <c r="L1783" s="1">
        <v>59</v>
      </c>
      <c r="N1783" s="1">
        <f>Table1[[#This Row],[Winning Score]]-Table1[[#This Row],[Losing Score]]</f>
        <v>8</v>
      </c>
      <c r="O1783" s="1">
        <f>Table1[[#This Row],[Losing Seed]]-Table1[[#This Row],[Winning Seed]]</f>
        <v>1</v>
      </c>
      <c r="P1783" s="1" t="str">
        <f>IF(Table1[[#This Row],[SeD]]&lt;-2,Table1[[#This Row],[Winning Seed]]&amp; " over " &amp;Table1[[#This Row],[Losing Seed]],"")</f>
        <v/>
      </c>
      <c r="Q1783">
        <f>VLOOKUP(Table1[[#This Row],[Losing Seed]],'Seed History'!$N$4:$O$19,2)</f>
        <v>2.3472222222222223</v>
      </c>
      <c r="R1783" s="1">
        <f>IF(Table1[[#This Row],[Round]]="PI",0,Table1[[#This Row],[Round]]-1)</f>
        <v>5</v>
      </c>
      <c r="S1783">
        <f>Table1[[#This Row],[LAW]]-Table1[[#This Row],[LEW]]</f>
        <v>2.6527777777777777</v>
      </c>
    </row>
    <row r="1784" spans="1:19" x14ac:dyDescent="0.25">
      <c r="A1784" s="66">
        <v>41352</v>
      </c>
      <c r="B1784" s="51">
        <f>YEAR(Table1[[#This Row],[Date]])</f>
        <v>2013</v>
      </c>
      <c r="C1784" s="1" t="s">
        <v>476</v>
      </c>
      <c r="D1784" t="s">
        <v>439</v>
      </c>
      <c r="E1784" s="1">
        <v>11</v>
      </c>
      <c r="F1784" t="s">
        <v>339</v>
      </c>
      <c r="G1784" t="str">
        <f>VLOOKUP(Table1[[#This Row],[Winner]],Ranking!C:D,2,FALSE)</f>
        <v>WCC</v>
      </c>
      <c r="H1784" s="1">
        <v>67</v>
      </c>
      <c r="I1784" s="1">
        <v>11</v>
      </c>
      <c r="J1784" t="s">
        <v>272</v>
      </c>
      <c r="K1784" t="str">
        <f>VLOOKUP(Table1[[#This Row],[Loser]],Ranking!C:D,2,FALSE)</f>
        <v>CUSA</v>
      </c>
      <c r="L1784" s="1">
        <v>54</v>
      </c>
      <c r="N1784" s="1">
        <f>Table1[[#This Row],[Winning Score]]-Table1[[#This Row],[Losing Score]]</f>
        <v>13</v>
      </c>
      <c r="O1784" s="1">
        <f>Table1[[#This Row],[Losing Seed]]-Table1[[#This Row],[Winning Seed]]</f>
        <v>0</v>
      </c>
      <c r="P1784" s="1" t="str">
        <f>IF(Table1[[#This Row],[SeD]]&lt;-2,Table1[[#This Row],[Winning Seed]]&amp; " over " &amp;Table1[[#This Row],[Losing Seed]],"")</f>
        <v/>
      </c>
      <c r="Q1784">
        <f>VLOOKUP(Table1[[#This Row],[Losing Seed]],'Seed History'!$N$4:$O$19,2)</f>
        <v>0.63194444444444442</v>
      </c>
      <c r="R1784" s="1">
        <f>IF(Table1[[#This Row],[Round]]="PI",0,Table1[[#This Row],[Round]]-1)</f>
        <v>0</v>
      </c>
      <c r="S1784">
        <f>Table1[[#This Row],[LAW]]-Table1[[#This Row],[LEW]]</f>
        <v>-0.63194444444444442</v>
      </c>
    </row>
    <row r="1785" spans="1:19" x14ac:dyDescent="0.25">
      <c r="A1785" s="66">
        <v>41352</v>
      </c>
      <c r="B1785" s="51">
        <f>YEAR(Table1[[#This Row],[Date]])</f>
        <v>2013</v>
      </c>
      <c r="C1785" s="1" t="s">
        <v>476</v>
      </c>
      <c r="D1785" t="s">
        <v>439</v>
      </c>
      <c r="E1785" s="1">
        <v>16</v>
      </c>
      <c r="F1785" t="s">
        <v>299</v>
      </c>
      <c r="G1785" t="str">
        <f>VLOOKUP(Table1[[#This Row],[Winner]],Ranking!C:D,2,FALSE)</f>
        <v>MEAC</v>
      </c>
      <c r="H1785" s="1">
        <v>73</v>
      </c>
      <c r="I1785" s="1">
        <v>16</v>
      </c>
      <c r="J1785" t="s">
        <v>249</v>
      </c>
      <c r="K1785" t="str">
        <f>VLOOKUP(Table1[[#This Row],[Loser]],Ranking!C:D,2,FALSE)</f>
        <v>ASun</v>
      </c>
      <c r="L1785" s="1">
        <v>72</v>
      </c>
      <c r="N1785" s="1">
        <f>Table1[[#This Row],[Winning Score]]-Table1[[#This Row],[Losing Score]]</f>
        <v>1</v>
      </c>
      <c r="O1785" s="1">
        <f>Table1[[#This Row],[Losing Seed]]-Table1[[#This Row],[Winning Seed]]</f>
        <v>0</v>
      </c>
      <c r="P1785" s="1" t="str">
        <f>IF(Table1[[#This Row],[SeD]]&lt;-2,Table1[[#This Row],[Winning Seed]]&amp; " over " &amp;Table1[[#This Row],[Losing Seed]],"")</f>
        <v/>
      </c>
      <c r="Q1785">
        <f>VLOOKUP(Table1[[#This Row],[Losing Seed]],'Seed History'!$N$4:$O$19,2)</f>
        <v>6.9444444444444441E-3</v>
      </c>
      <c r="R1785" s="1">
        <f>IF(Table1[[#This Row],[Round]]="PI",0,Table1[[#This Row],[Round]]-1)</f>
        <v>0</v>
      </c>
      <c r="S1785">
        <f>Table1[[#This Row],[LAW]]-Table1[[#This Row],[LEW]]</f>
        <v>-6.9444444444444441E-3</v>
      </c>
    </row>
    <row r="1786" spans="1:19" x14ac:dyDescent="0.25">
      <c r="A1786" s="66">
        <v>41353</v>
      </c>
      <c r="B1786" s="51">
        <f>YEAR(Table1[[#This Row],[Date]])</f>
        <v>2013</v>
      </c>
      <c r="C1786" s="1" t="s">
        <v>476</v>
      </c>
      <c r="D1786" t="s">
        <v>49</v>
      </c>
      <c r="E1786" s="1">
        <v>16</v>
      </c>
      <c r="F1786" t="s">
        <v>242</v>
      </c>
      <c r="G1786" t="str">
        <f>VLOOKUP(Table1[[#This Row],[Winner]],Ranking!C:D,2,FALSE)</f>
        <v>CAA</v>
      </c>
      <c r="H1786" s="1">
        <v>68</v>
      </c>
      <c r="I1786" s="1">
        <v>16</v>
      </c>
      <c r="J1786" t="s">
        <v>251</v>
      </c>
      <c r="K1786" t="e">
        <f>VLOOKUP(Table1[[#This Row],[Loser]],Ranking!C:D,2,FALSE)</f>
        <v>#N/A</v>
      </c>
      <c r="L1786" s="1">
        <v>55</v>
      </c>
      <c r="N1786" s="1">
        <f>Table1[[#This Row],[Winning Score]]-Table1[[#This Row],[Losing Score]]</f>
        <v>13</v>
      </c>
      <c r="O1786" s="1">
        <f>Table1[[#This Row],[Losing Seed]]-Table1[[#This Row],[Winning Seed]]</f>
        <v>0</v>
      </c>
      <c r="P1786" s="1" t="str">
        <f>IF(Table1[[#This Row],[SeD]]&lt;-2,Table1[[#This Row],[Winning Seed]]&amp; " over " &amp;Table1[[#This Row],[Losing Seed]],"")</f>
        <v/>
      </c>
      <c r="Q1786">
        <f>VLOOKUP(Table1[[#This Row],[Losing Seed]],'Seed History'!$N$4:$O$19,2)</f>
        <v>6.9444444444444441E-3</v>
      </c>
      <c r="R1786" s="1">
        <f>IF(Table1[[#This Row],[Round]]="PI",0,Table1[[#This Row],[Round]]-1)</f>
        <v>0</v>
      </c>
      <c r="S1786">
        <f>Table1[[#This Row],[LAW]]-Table1[[#This Row],[LEW]]</f>
        <v>-6.9444444444444441E-3</v>
      </c>
    </row>
    <row r="1787" spans="1:19" x14ac:dyDescent="0.25">
      <c r="A1787" s="66">
        <v>41353</v>
      </c>
      <c r="B1787" s="51">
        <f>YEAR(Table1[[#This Row],[Date]])</f>
        <v>2013</v>
      </c>
      <c r="C1787" s="1" t="s">
        <v>476</v>
      </c>
      <c r="D1787" t="s">
        <v>38</v>
      </c>
      <c r="E1787" s="1">
        <v>13</v>
      </c>
      <c r="F1787" t="s">
        <v>246</v>
      </c>
      <c r="G1787" t="str">
        <f>VLOOKUP(Table1[[#This Row],[Winner]],Ranking!C:D,2,FALSE)</f>
        <v>A10</v>
      </c>
      <c r="H1787" s="1">
        <v>80</v>
      </c>
      <c r="I1787" s="1">
        <v>13</v>
      </c>
      <c r="J1787" t="s">
        <v>137</v>
      </c>
      <c r="K1787" t="str">
        <f>VLOOKUP(Table1[[#This Row],[Loser]],Ranking!C:D,2,FALSE)</f>
        <v>MWC</v>
      </c>
      <c r="L1787" s="1">
        <v>71</v>
      </c>
      <c r="N1787" s="1">
        <f>Table1[[#This Row],[Winning Score]]-Table1[[#This Row],[Losing Score]]</f>
        <v>9</v>
      </c>
      <c r="O1787" s="1">
        <f>Table1[[#This Row],[Losing Seed]]-Table1[[#This Row],[Winning Seed]]</f>
        <v>0</v>
      </c>
      <c r="P1787" s="1" t="str">
        <f>IF(Table1[[#This Row],[SeD]]&lt;-2,Table1[[#This Row],[Winning Seed]]&amp; " over " &amp;Table1[[#This Row],[Losing Seed]],"")</f>
        <v/>
      </c>
      <c r="Q1787">
        <f>VLOOKUP(Table1[[#This Row],[Losing Seed]],'Seed History'!$N$4:$O$19,2)</f>
        <v>0.25694444444444442</v>
      </c>
      <c r="R1787" s="1">
        <f>IF(Table1[[#This Row],[Round]]="PI",0,Table1[[#This Row],[Round]]-1)</f>
        <v>0</v>
      </c>
      <c r="S1787">
        <f>Table1[[#This Row],[LAW]]-Table1[[#This Row],[LEW]]</f>
        <v>-0.25694444444444442</v>
      </c>
    </row>
    <row r="1788" spans="1:19" x14ac:dyDescent="0.25">
      <c r="A1788" s="66">
        <v>41354</v>
      </c>
      <c r="B1788" s="51">
        <f>YEAR(Table1[[#This Row],[Date]])</f>
        <v>2013</v>
      </c>
      <c r="C1788" s="1">
        <v>1</v>
      </c>
      <c r="D1788" t="s">
        <v>38</v>
      </c>
      <c r="E1788" s="1">
        <v>14</v>
      </c>
      <c r="F1788" t="s">
        <v>43</v>
      </c>
      <c r="G1788" t="str">
        <f>VLOOKUP(Table1[[#This Row],[Winner]],Ranking!C:D,2,FALSE)</f>
        <v>Ivy</v>
      </c>
      <c r="H1788" s="1">
        <v>68</v>
      </c>
      <c r="I1788" s="1">
        <v>3</v>
      </c>
      <c r="J1788" t="s">
        <v>291</v>
      </c>
      <c r="K1788" t="str">
        <f>VLOOKUP(Table1[[#This Row],[Loser]],Ranking!C:D,2,FALSE)</f>
        <v>MWC</v>
      </c>
      <c r="L1788" s="1">
        <v>62</v>
      </c>
      <c r="N1788" s="1">
        <f>Table1[[#This Row],[Winning Score]]-Table1[[#This Row],[Losing Score]]</f>
        <v>6</v>
      </c>
      <c r="O1788" s="1">
        <f>Table1[[#This Row],[Losing Seed]]-Table1[[#This Row],[Winning Seed]]</f>
        <v>-11</v>
      </c>
      <c r="P1788" s="1" t="str">
        <f>IF(Table1[[#This Row],[SeD]]&lt;-2,Table1[[#This Row],[Winning Seed]]&amp; " over " &amp;Table1[[#This Row],[Losing Seed]],"")</f>
        <v>14 over 3</v>
      </c>
      <c r="Q1788">
        <f>VLOOKUP(Table1[[#This Row],[Losing Seed]],'Seed History'!$N$4:$O$19,2)</f>
        <v>1.8472222222222223</v>
      </c>
      <c r="R1788" s="1">
        <f>IF(Table1[[#This Row],[Round]]="PI",0,Table1[[#This Row],[Round]]-1)</f>
        <v>0</v>
      </c>
      <c r="S1788">
        <f>Table1[[#This Row],[LAW]]-Table1[[#This Row],[LEW]]</f>
        <v>-1.8472222222222223</v>
      </c>
    </row>
    <row r="1789" spans="1:19" x14ac:dyDescent="0.25">
      <c r="A1789" s="66">
        <v>41354</v>
      </c>
      <c r="B1789" s="51">
        <f>YEAR(Table1[[#This Row],[Date]])</f>
        <v>2013</v>
      </c>
      <c r="C1789" s="1">
        <v>1</v>
      </c>
      <c r="D1789" t="s">
        <v>49</v>
      </c>
      <c r="E1789" s="1">
        <v>12</v>
      </c>
      <c r="F1789" t="s">
        <v>84</v>
      </c>
      <c r="G1789" t="str">
        <f>VLOOKUP(Table1[[#This Row],[Winner]],Ranking!C:D,2,FALSE)</f>
        <v>P12</v>
      </c>
      <c r="H1789" s="1">
        <v>64</v>
      </c>
      <c r="I1789" s="1">
        <v>5</v>
      </c>
      <c r="J1789" t="s">
        <v>396</v>
      </c>
      <c r="K1789" t="str">
        <f>VLOOKUP(Table1[[#This Row],[Loser]],Ranking!C:D,2,FALSE)</f>
        <v>MWC</v>
      </c>
      <c r="L1789" s="1">
        <v>61</v>
      </c>
      <c r="N1789" s="1">
        <f>Table1[[#This Row],[Winning Score]]-Table1[[#This Row],[Losing Score]]</f>
        <v>3</v>
      </c>
      <c r="O1789" s="1">
        <f>Table1[[#This Row],[Losing Seed]]-Table1[[#This Row],[Winning Seed]]</f>
        <v>-7</v>
      </c>
      <c r="P1789" s="1" t="str">
        <f>IF(Table1[[#This Row],[SeD]]&lt;-2,Table1[[#This Row],[Winning Seed]]&amp; " over " &amp;Table1[[#This Row],[Losing Seed]],"")</f>
        <v>12 over 5</v>
      </c>
      <c r="Q1789">
        <f>VLOOKUP(Table1[[#This Row],[Losing Seed]],'Seed History'!$N$4:$O$19,2)</f>
        <v>1.1180555555555556</v>
      </c>
      <c r="R1789" s="1">
        <f>IF(Table1[[#This Row],[Round]]="PI",0,Table1[[#This Row],[Round]]-1)</f>
        <v>0</v>
      </c>
      <c r="S1789">
        <f>Table1[[#This Row],[LAW]]-Table1[[#This Row],[LEW]]</f>
        <v>-1.1180555555555556</v>
      </c>
    </row>
    <row r="1790" spans="1:19" x14ac:dyDescent="0.25">
      <c r="A1790" s="66">
        <v>41354</v>
      </c>
      <c r="B1790" s="51">
        <f>YEAR(Table1[[#This Row],[Date]])</f>
        <v>2013</v>
      </c>
      <c r="C1790" s="1">
        <v>1</v>
      </c>
      <c r="D1790" t="s">
        <v>439</v>
      </c>
      <c r="E1790" s="1">
        <v>12</v>
      </c>
      <c r="F1790" t="s">
        <v>40</v>
      </c>
      <c r="G1790" t="str">
        <f>VLOOKUP(Table1[[#This Row],[Winner]],Ranking!C:D,2,FALSE)</f>
        <v>P12</v>
      </c>
      <c r="H1790" s="1">
        <v>68</v>
      </c>
      <c r="I1790" s="1">
        <v>5</v>
      </c>
      <c r="J1790" t="s">
        <v>316</v>
      </c>
      <c r="K1790" t="str">
        <f>VLOOKUP(Table1[[#This Row],[Loser]],Ranking!C:D,2,FALSE)</f>
        <v>B12</v>
      </c>
      <c r="L1790" s="1">
        <v>55</v>
      </c>
      <c r="N1790" s="1">
        <f>Table1[[#This Row],[Winning Score]]-Table1[[#This Row],[Losing Score]]</f>
        <v>13</v>
      </c>
      <c r="O1790" s="1">
        <f>Table1[[#This Row],[Losing Seed]]-Table1[[#This Row],[Winning Seed]]</f>
        <v>-7</v>
      </c>
      <c r="P1790" s="1" t="str">
        <f>IF(Table1[[#This Row],[SeD]]&lt;-2,Table1[[#This Row],[Winning Seed]]&amp; " over " &amp;Table1[[#This Row],[Losing Seed]],"")</f>
        <v>12 over 5</v>
      </c>
      <c r="Q1790">
        <f>VLOOKUP(Table1[[#This Row],[Losing Seed]],'Seed History'!$N$4:$O$19,2)</f>
        <v>1.1180555555555556</v>
      </c>
      <c r="R1790" s="1">
        <f>IF(Table1[[#This Row],[Round]]="PI",0,Table1[[#This Row],[Round]]-1)</f>
        <v>0</v>
      </c>
      <c r="S1790">
        <f>Table1[[#This Row],[LAW]]-Table1[[#This Row],[LEW]]</f>
        <v>-1.1180555555555556</v>
      </c>
    </row>
    <row r="1791" spans="1:19" x14ac:dyDescent="0.25">
      <c r="A1791" s="66">
        <v>41354</v>
      </c>
      <c r="B1791" s="51">
        <f>YEAR(Table1[[#This Row],[Date]])</f>
        <v>2013</v>
      </c>
      <c r="C1791" s="1">
        <v>1</v>
      </c>
      <c r="D1791" t="s">
        <v>49</v>
      </c>
      <c r="E1791" s="1">
        <v>3</v>
      </c>
      <c r="F1791" t="s">
        <v>262</v>
      </c>
      <c r="G1791" t="str">
        <f>VLOOKUP(Table1[[#This Row],[Winner]],Ranking!C:D,2,FALSE)</f>
        <v>BE</v>
      </c>
      <c r="H1791" s="1">
        <v>59</v>
      </c>
      <c r="I1791" s="1">
        <v>14</v>
      </c>
      <c r="J1791" t="s">
        <v>70</v>
      </c>
      <c r="K1791" t="str">
        <f>VLOOKUP(Table1[[#This Row],[Loser]],Ranking!C:D,2,FALSE)</f>
        <v>A10</v>
      </c>
      <c r="L1791" s="1">
        <v>58</v>
      </c>
      <c r="N1791" s="1">
        <f>Table1[[#This Row],[Winning Score]]-Table1[[#This Row],[Losing Score]]</f>
        <v>1</v>
      </c>
      <c r="O1791" s="1">
        <f>Table1[[#This Row],[Losing Seed]]-Table1[[#This Row],[Winning Seed]]</f>
        <v>11</v>
      </c>
      <c r="P1791" s="1" t="str">
        <f>IF(Table1[[#This Row],[SeD]]&lt;-2,Table1[[#This Row],[Winning Seed]]&amp; " over " &amp;Table1[[#This Row],[Losing Seed]],"")</f>
        <v/>
      </c>
      <c r="Q1791">
        <f>VLOOKUP(Table1[[#This Row],[Losing Seed]],'Seed History'!$N$4:$O$19,2)</f>
        <v>0.16666666666666666</v>
      </c>
      <c r="R1791" s="1">
        <f>IF(Table1[[#This Row],[Round]]="PI",0,Table1[[#This Row],[Round]]-1)</f>
        <v>0</v>
      </c>
      <c r="S1791">
        <f>Table1[[#This Row],[LAW]]-Table1[[#This Row],[LEW]]</f>
        <v>-0.16666666666666666</v>
      </c>
    </row>
    <row r="1792" spans="1:19" x14ac:dyDescent="0.25">
      <c r="A1792" s="66">
        <v>41354</v>
      </c>
      <c r="B1792" s="51">
        <f>YEAR(Table1[[#This Row],[Date]])</f>
        <v>2013</v>
      </c>
      <c r="C1792" s="1">
        <v>1</v>
      </c>
      <c r="D1792" t="s">
        <v>49</v>
      </c>
      <c r="E1792" s="1">
        <v>4</v>
      </c>
      <c r="F1792" t="s">
        <v>86</v>
      </c>
      <c r="G1792" t="str">
        <f>VLOOKUP(Table1[[#This Row],[Winner]],Ranking!C:D,2,FALSE)</f>
        <v>ACC</v>
      </c>
      <c r="H1792" s="1">
        <v>81</v>
      </c>
      <c r="I1792" s="1">
        <v>13</v>
      </c>
      <c r="J1792" t="s">
        <v>280</v>
      </c>
      <c r="K1792" t="str">
        <f>VLOOKUP(Table1[[#This Row],[Loser]],Ranking!C:D,2,FALSE)</f>
        <v>BSky</v>
      </c>
      <c r="L1792" s="1">
        <v>34</v>
      </c>
      <c r="N1792" s="1">
        <f>Table1[[#This Row],[Winning Score]]-Table1[[#This Row],[Losing Score]]</f>
        <v>47</v>
      </c>
      <c r="O1792" s="1">
        <f>Table1[[#This Row],[Losing Seed]]-Table1[[#This Row],[Winning Seed]]</f>
        <v>9</v>
      </c>
      <c r="P1792" s="1" t="str">
        <f>IF(Table1[[#This Row],[SeD]]&lt;-2,Table1[[#This Row],[Winning Seed]]&amp; " over " &amp;Table1[[#This Row],[Losing Seed]],"")</f>
        <v/>
      </c>
      <c r="Q1792">
        <f>VLOOKUP(Table1[[#This Row],[Losing Seed]],'Seed History'!$N$4:$O$19,2)</f>
        <v>0.25694444444444442</v>
      </c>
      <c r="R1792" s="1">
        <f>IF(Table1[[#This Row],[Round]]="PI",0,Table1[[#This Row],[Round]]-1)</f>
        <v>0</v>
      </c>
      <c r="S1792">
        <f>Table1[[#This Row],[LAW]]-Table1[[#This Row],[LEW]]</f>
        <v>-0.25694444444444442</v>
      </c>
    </row>
    <row r="1793" spans="1:19" x14ac:dyDescent="0.25">
      <c r="A1793" s="66">
        <v>41354</v>
      </c>
      <c r="B1793" s="51">
        <f>YEAR(Table1[[#This Row],[Date]])</f>
        <v>2013</v>
      </c>
      <c r="C1793" s="1">
        <v>1</v>
      </c>
      <c r="D1793" t="s">
        <v>49</v>
      </c>
      <c r="E1793" s="1">
        <v>6</v>
      </c>
      <c r="F1793" t="s">
        <v>33</v>
      </c>
      <c r="G1793" t="str">
        <f>VLOOKUP(Table1[[#This Row],[Winner]],Ranking!C:D,2,FALSE)</f>
        <v>BE</v>
      </c>
      <c r="H1793" s="1">
        <v>68</v>
      </c>
      <c r="I1793" s="1">
        <v>11</v>
      </c>
      <c r="J1793" t="s">
        <v>148</v>
      </c>
      <c r="K1793" t="str">
        <f>VLOOKUP(Table1[[#This Row],[Loser]],Ranking!C:D,2,FALSE)</f>
        <v>Pat</v>
      </c>
      <c r="L1793" s="1">
        <v>56</v>
      </c>
      <c r="N1793" s="1">
        <f>Table1[[#This Row],[Winning Score]]-Table1[[#This Row],[Losing Score]]</f>
        <v>12</v>
      </c>
      <c r="O1793" s="1">
        <f>Table1[[#This Row],[Losing Seed]]-Table1[[#This Row],[Winning Seed]]</f>
        <v>5</v>
      </c>
      <c r="P1793" s="1" t="str">
        <f>IF(Table1[[#This Row],[SeD]]&lt;-2,Table1[[#This Row],[Winning Seed]]&amp; " over " &amp;Table1[[#This Row],[Losing Seed]],"")</f>
        <v/>
      </c>
      <c r="Q1793">
        <f>VLOOKUP(Table1[[#This Row],[Losing Seed]],'Seed History'!$N$4:$O$19,2)</f>
        <v>0.63194444444444442</v>
      </c>
      <c r="R1793" s="1">
        <f>IF(Table1[[#This Row],[Round]]="PI",0,Table1[[#This Row],[Round]]-1)</f>
        <v>0</v>
      </c>
      <c r="S1793">
        <f>Table1[[#This Row],[LAW]]-Table1[[#This Row],[LEW]]</f>
        <v>-0.63194444444444442</v>
      </c>
    </row>
    <row r="1794" spans="1:19" x14ac:dyDescent="0.25">
      <c r="A1794" s="66">
        <v>41354</v>
      </c>
      <c r="B1794" s="51">
        <f>YEAR(Table1[[#This Row],[Date]])</f>
        <v>2013</v>
      </c>
      <c r="C1794" s="1">
        <v>1</v>
      </c>
      <c r="D1794" t="s">
        <v>439</v>
      </c>
      <c r="E1794" s="1">
        <v>1</v>
      </c>
      <c r="F1794" t="s">
        <v>54</v>
      </c>
      <c r="G1794" t="str">
        <f>VLOOKUP(Table1[[#This Row],[Winner]],Ranking!C:D,2,FALSE)</f>
        <v>ACC</v>
      </c>
      <c r="H1794" s="1">
        <v>79</v>
      </c>
      <c r="I1794" s="1">
        <v>16</v>
      </c>
      <c r="J1794" t="s">
        <v>299</v>
      </c>
      <c r="K1794" t="str">
        <f>VLOOKUP(Table1[[#This Row],[Loser]],Ranking!C:D,2,FALSE)</f>
        <v>MEAC</v>
      </c>
      <c r="L1794" s="1">
        <v>48</v>
      </c>
      <c r="N1794" s="1">
        <f>Table1[[#This Row],[Winning Score]]-Table1[[#This Row],[Losing Score]]</f>
        <v>31</v>
      </c>
      <c r="O1794" s="1">
        <f>Table1[[#This Row],[Losing Seed]]-Table1[[#This Row],[Winning Seed]]</f>
        <v>15</v>
      </c>
      <c r="P1794" s="1" t="str">
        <f>IF(Table1[[#This Row],[SeD]]&lt;-2,Table1[[#This Row],[Winning Seed]]&amp; " over " &amp;Table1[[#This Row],[Losing Seed]],"")</f>
        <v/>
      </c>
      <c r="Q1794">
        <f>VLOOKUP(Table1[[#This Row],[Losing Seed]],'Seed History'!$N$4:$O$19,2)</f>
        <v>6.9444444444444441E-3</v>
      </c>
      <c r="R1794" s="1">
        <f>IF(Table1[[#This Row],[Round]]="PI",0,Table1[[#This Row],[Round]]-1)</f>
        <v>0</v>
      </c>
      <c r="S1794">
        <f>Table1[[#This Row],[LAW]]-Table1[[#This Row],[LEW]]</f>
        <v>-6.9444444444444441E-3</v>
      </c>
    </row>
    <row r="1795" spans="1:19" x14ac:dyDescent="0.25">
      <c r="A1795" s="66">
        <v>41354</v>
      </c>
      <c r="B1795" s="51">
        <f>YEAR(Table1[[#This Row],[Date]])</f>
        <v>2013</v>
      </c>
      <c r="C1795" s="1">
        <v>1</v>
      </c>
      <c r="D1795" t="s">
        <v>439</v>
      </c>
      <c r="E1795" s="1">
        <v>3</v>
      </c>
      <c r="F1795" t="s">
        <v>271</v>
      </c>
      <c r="G1795" t="str">
        <f>VLOOKUP(Table1[[#This Row],[Winner]],Ranking!C:D,2,FALSE)</f>
        <v>B10</v>
      </c>
      <c r="H1795" s="1">
        <v>65</v>
      </c>
      <c r="I1795" s="1">
        <v>14</v>
      </c>
      <c r="J1795" t="s">
        <v>32</v>
      </c>
      <c r="K1795" t="str">
        <f>VLOOKUP(Table1[[#This Row],[Loser]],Ranking!C:D,2,FALSE)</f>
        <v>MVC</v>
      </c>
      <c r="L1795" s="1">
        <v>54</v>
      </c>
      <c r="N1795" s="1">
        <f>Table1[[#This Row],[Winning Score]]-Table1[[#This Row],[Losing Score]]</f>
        <v>11</v>
      </c>
      <c r="O1795" s="1">
        <f>Table1[[#This Row],[Losing Seed]]-Table1[[#This Row],[Winning Seed]]</f>
        <v>11</v>
      </c>
      <c r="P1795" s="1" t="str">
        <f>IF(Table1[[#This Row],[SeD]]&lt;-2,Table1[[#This Row],[Winning Seed]]&amp; " over " &amp;Table1[[#This Row],[Losing Seed]],"")</f>
        <v/>
      </c>
      <c r="Q1795">
        <f>VLOOKUP(Table1[[#This Row],[Losing Seed]],'Seed History'!$N$4:$O$19,2)</f>
        <v>0.16666666666666666</v>
      </c>
      <c r="R1795" s="1">
        <f>IF(Table1[[#This Row],[Round]]="PI",0,Table1[[#This Row],[Round]]-1)</f>
        <v>0</v>
      </c>
      <c r="S1795">
        <f>Table1[[#This Row],[LAW]]-Table1[[#This Row],[LEW]]</f>
        <v>-0.16666666666666666</v>
      </c>
    </row>
    <row r="1796" spans="1:19" x14ac:dyDescent="0.25">
      <c r="A1796" s="66">
        <v>41354</v>
      </c>
      <c r="B1796" s="51">
        <f>YEAR(Table1[[#This Row],[Date]])</f>
        <v>2013</v>
      </c>
      <c r="C1796" s="1">
        <v>1</v>
      </c>
      <c r="D1796" t="s">
        <v>439</v>
      </c>
      <c r="E1796" s="1">
        <v>4</v>
      </c>
      <c r="F1796" t="s">
        <v>338</v>
      </c>
      <c r="G1796" t="str">
        <f>VLOOKUP(Table1[[#This Row],[Winner]],Ranking!C:D,2,FALSE)</f>
        <v>A10</v>
      </c>
      <c r="H1796" s="1">
        <v>64</v>
      </c>
      <c r="I1796" s="1">
        <v>13</v>
      </c>
      <c r="J1796" t="s">
        <v>292</v>
      </c>
      <c r="K1796" t="str">
        <f>VLOOKUP(Table1[[#This Row],[Loser]],Ranking!C:D,2,FALSE)</f>
        <v>WAC</v>
      </c>
      <c r="L1796" s="1">
        <v>44</v>
      </c>
      <c r="N1796" s="1">
        <f>Table1[[#This Row],[Winning Score]]-Table1[[#This Row],[Losing Score]]</f>
        <v>20</v>
      </c>
      <c r="O1796" s="1">
        <f>Table1[[#This Row],[Losing Seed]]-Table1[[#This Row],[Winning Seed]]</f>
        <v>9</v>
      </c>
      <c r="P1796" s="1" t="str">
        <f>IF(Table1[[#This Row],[SeD]]&lt;-2,Table1[[#This Row],[Winning Seed]]&amp; " over " &amp;Table1[[#This Row],[Losing Seed]],"")</f>
        <v/>
      </c>
      <c r="Q1796">
        <f>VLOOKUP(Table1[[#This Row],[Losing Seed]],'Seed History'!$N$4:$O$19,2)</f>
        <v>0.25694444444444442</v>
      </c>
      <c r="R1796" s="1">
        <f>IF(Table1[[#This Row],[Round]]="PI",0,Table1[[#This Row],[Round]]-1)</f>
        <v>0</v>
      </c>
      <c r="S1796">
        <f>Table1[[#This Row],[LAW]]-Table1[[#This Row],[LEW]]</f>
        <v>-0.25694444444444442</v>
      </c>
    </row>
    <row r="1797" spans="1:19" x14ac:dyDescent="0.25">
      <c r="A1797" s="66">
        <v>41354</v>
      </c>
      <c r="B1797" s="51">
        <f>YEAR(Table1[[#This Row],[Date]])</f>
        <v>2013</v>
      </c>
      <c r="C1797" s="1">
        <v>1</v>
      </c>
      <c r="D1797" t="s">
        <v>439</v>
      </c>
      <c r="E1797" s="1">
        <v>6</v>
      </c>
      <c r="F1797" t="s">
        <v>267</v>
      </c>
      <c r="G1797" t="str">
        <f>VLOOKUP(Table1[[#This Row],[Winner]],Ranking!C:D,2,FALSE)</f>
        <v>Amer</v>
      </c>
      <c r="H1797" s="1">
        <v>54</v>
      </c>
      <c r="I1797" s="1">
        <v>11</v>
      </c>
      <c r="J1797" t="s">
        <v>339</v>
      </c>
      <c r="K1797" t="str">
        <f>VLOOKUP(Table1[[#This Row],[Loser]],Ranking!C:D,2,FALSE)</f>
        <v>WCC</v>
      </c>
      <c r="L1797" s="1">
        <v>52</v>
      </c>
      <c r="N1797" s="1">
        <f>Table1[[#This Row],[Winning Score]]-Table1[[#This Row],[Losing Score]]</f>
        <v>2</v>
      </c>
      <c r="O1797" s="1">
        <f>Table1[[#This Row],[Losing Seed]]-Table1[[#This Row],[Winning Seed]]</f>
        <v>5</v>
      </c>
      <c r="P1797" s="1" t="str">
        <f>IF(Table1[[#This Row],[SeD]]&lt;-2,Table1[[#This Row],[Winning Seed]]&amp; " over " &amp;Table1[[#This Row],[Losing Seed]],"")</f>
        <v/>
      </c>
      <c r="Q1797">
        <f>VLOOKUP(Table1[[#This Row],[Losing Seed]],'Seed History'!$N$4:$O$19,2)</f>
        <v>0.63194444444444442</v>
      </c>
      <c r="R1797" s="1">
        <f>IF(Table1[[#This Row],[Round]]="PI",0,Table1[[#This Row],[Round]]-1)</f>
        <v>0</v>
      </c>
      <c r="S1797">
        <f>Table1[[#This Row],[LAW]]-Table1[[#This Row],[LEW]]</f>
        <v>-0.63194444444444442</v>
      </c>
    </row>
    <row r="1798" spans="1:19" x14ac:dyDescent="0.25">
      <c r="A1798" s="66">
        <v>41354</v>
      </c>
      <c r="B1798" s="51">
        <f>YEAR(Table1[[#This Row],[Date]])</f>
        <v>2013</v>
      </c>
      <c r="C1798" s="1">
        <v>1</v>
      </c>
      <c r="D1798" t="s">
        <v>439</v>
      </c>
      <c r="E1798" s="1">
        <v>8</v>
      </c>
      <c r="F1798" t="s">
        <v>176</v>
      </c>
      <c r="G1798" t="str">
        <f>VLOOKUP(Table1[[#This Row],[Winner]],Ranking!C:D,2,FALSE)</f>
        <v>MWC</v>
      </c>
      <c r="H1798" s="1">
        <v>84</v>
      </c>
      <c r="I1798" s="1">
        <v>9</v>
      </c>
      <c r="J1798" t="s">
        <v>277</v>
      </c>
      <c r="K1798" t="str">
        <f>VLOOKUP(Table1[[#This Row],[Loser]],Ranking!C:D,2,FALSE)</f>
        <v>SEC</v>
      </c>
      <c r="L1798" s="1">
        <v>72</v>
      </c>
      <c r="N1798" s="1">
        <f>Table1[[#This Row],[Winning Score]]-Table1[[#This Row],[Losing Score]]</f>
        <v>12</v>
      </c>
      <c r="O1798" s="1">
        <f>Table1[[#This Row],[Losing Seed]]-Table1[[#This Row],[Winning Seed]]</f>
        <v>1</v>
      </c>
      <c r="P1798" s="1" t="str">
        <f>IF(Table1[[#This Row],[SeD]]&lt;-2,Table1[[#This Row],[Winning Seed]]&amp; " over " &amp;Table1[[#This Row],[Losing Seed]],"")</f>
        <v/>
      </c>
      <c r="Q1798">
        <f>VLOOKUP(Table1[[#This Row],[Losing Seed]],'Seed History'!$N$4:$O$19,2)</f>
        <v>0.59027777777777779</v>
      </c>
      <c r="R1798" s="1">
        <f>IF(Table1[[#This Row],[Round]]="PI",0,Table1[[#This Row],[Round]]-1)</f>
        <v>0</v>
      </c>
      <c r="S1798">
        <f>Table1[[#This Row],[LAW]]-Table1[[#This Row],[LEW]]</f>
        <v>-0.59027777777777779</v>
      </c>
    </row>
    <row r="1799" spans="1:19" x14ac:dyDescent="0.25">
      <c r="A1799" s="66">
        <v>41354</v>
      </c>
      <c r="B1799" s="51">
        <f>YEAR(Table1[[#This Row],[Date]])</f>
        <v>2013</v>
      </c>
      <c r="C1799" s="1">
        <v>1</v>
      </c>
      <c r="D1799" t="s">
        <v>63</v>
      </c>
      <c r="E1799" s="1">
        <v>4</v>
      </c>
      <c r="F1799" t="s">
        <v>82</v>
      </c>
      <c r="G1799" t="str">
        <f>VLOOKUP(Table1[[#This Row],[Winner]],Ranking!C:D,2,FALSE)</f>
        <v>B10</v>
      </c>
      <c r="H1799" s="1">
        <v>71</v>
      </c>
      <c r="I1799" s="1">
        <v>13</v>
      </c>
      <c r="J1799" t="s">
        <v>357</v>
      </c>
      <c r="K1799" t="str">
        <f>VLOOKUP(Table1[[#This Row],[Loser]],Ranking!C:D,2,FALSE)</f>
        <v>Sum</v>
      </c>
      <c r="L1799" s="1">
        <v>56</v>
      </c>
      <c r="N1799" s="1">
        <f>Table1[[#This Row],[Winning Score]]-Table1[[#This Row],[Losing Score]]</f>
        <v>15</v>
      </c>
      <c r="O1799" s="1">
        <f>Table1[[#This Row],[Losing Seed]]-Table1[[#This Row],[Winning Seed]]</f>
        <v>9</v>
      </c>
      <c r="P1799" s="1" t="str">
        <f>IF(Table1[[#This Row],[SeD]]&lt;-2,Table1[[#This Row],[Winning Seed]]&amp; " over " &amp;Table1[[#This Row],[Losing Seed]],"")</f>
        <v/>
      </c>
      <c r="Q1799">
        <f>VLOOKUP(Table1[[#This Row],[Losing Seed]],'Seed History'!$N$4:$O$19,2)</f>
        <v>0.25694444444444442</v>
      </c>
      <c r="R1799" s="1">
        <f>IF(Table1[[#This Row],[Round]]="PI",0,Table1[[#This Row],[Round]]-1)</f>
        <v>0</v>
      </c>
      <c r="S1799">
        <f>Table1[[#This Row],[LAW]]-Table1[[#This Row],[LEW]]</f>
        <v>-0.25694444444444442</v>
      </c>
    </row>
    <row r="1800" spans="1:19" x14ac:dyDescent="0.25">
      <c r="A1800" s="66">
        <v>41354</v>
      </c>
      <c r="B1800" s="51">
        <f>YEAR(Table1[[#This Row],[Date]])</f>
        <v>2013</v>
      </c>
      <c r="C1800" s="1">
        <v>1</v>
      </c>
      <c r="D1800" t="s">
        <v>63</v>
      </c>
      <c r="E1800" s="1">
        <v>5</v>
      </c>
      <c r="F1800" t="s">
        <v>47</v>
      </c>
      <c r="G1800" t="str">
        <f>VLOOKUP(Table1[[#This Row],[Winner]],Ranking!C:D,2,FALSE)</f>
        <v>A10</v>
      </c>
      <c r="H1800" s="1">
        <v>88</v>
      </c>
      <c r="I1800" s="1">
        <v>12</v>
      </c>
      <c r="J1800" t="s">
        <v>111</v>
      </c>
      <c r="K1800" t="str">
        <f>VLOOKUP(Table1[[#This Row],[Loser]],Ranking!C:D,2,FALSE)</f>
        <v>MAC</v>
      </c>
      <c r="L1800" s="1">
        <v>42</v>
      </c>
      <c r="N1800" s="1">
        <f>Table1[[#This Row],[Winning Score]]-Table1[[#This Row],[Losing Score]]</f>
        <v>46</v>
      </c>
      <c r="O1800" s="1">
        <f>Table1[[#This Row],[Losing Seed]]-Table1[[#This Row],[Winning Seed]]</f>
        <v>7</v>
      </c>
      <c r="P1800" s="1" t="str">
        <f>IF(Table1[[#This Row],[SeD]]&lt;-2,Table1[[#This Row],[Winning Seed]]&amp; " over " &amp;Table1[[#This Row],[Losing Seed]],"")</f>
        <v/>
      </c>
      <c r="Q1800">
        <f>VLOOKUP(Table1[[#This Row],[Losing Seed]],'Seed History'!$N$4:$O$19,2)</f>
        <v>0.52083333333333337</v>
      </c>
      <c r="R1800" s="1">
        <f>IF(Table1[[#This Row],[Round]]="PI",0,Table1[[#This Row],[Round]]-1)</f>
        <v>0</v>
      </c>
      <c r="S1800">
        <f>Table1[[#This Row],[LAW]]-Table1[[#This Row],[LEW]]</f>
        <v>-0.52083333333333337</v>
      </c>
    </row>
    <row r="1801" spans="1:19" x14ac:dyDescent="0.25">
      <c r="A1801" s="66">
        <v>41354</v>
      </c>
      <c r="B1801" s="51">
        <f>YEAR(Table1[[#This Row],[Date]])</f>
        <v>2013</v>
      </c>
      <c r="C1801" s="1">
        <v>1</v>
      </c>
      <c r="D1801" t="s">
        <v>38</v>
      </c>
      <c r="E1801" s="1">
        <v>1</v>
      </c>
      <c r="F1801" t="s">
        <v>71</v>
      </c>
      <c r="G1801" t="str">
        <f>VLOOKUP(Table1[[#This Row],[Winner]],Ranking!C:D,2,FALSE)</f>
        <v>WCC</v>
      </c>
      <c r="H1801" s="1">
        <v>64</v>
      </c>
      <c r="I1801" s="1">
        <v>16</v>
      </c>
      <c r="J1801" t="s">
        <v>361</v>
      </c>
      <c r="K1801" t="str">
        <f>VLOOKUP(Table1[[#This Row],[Loser]],Ranking!C:D,2,FALSE)</f>
        <v>SWAC</v>
      </c>
      <c r="L1801" s="1">
        <v>58</v>
      </c>
      <c r="N1801" s="1">
        <f>Table1[[#This Row],[Winning Score]]-Table1[[#This Row],[Losing Score]]</f>
        <v>6</v>
      </c>
      <c r="O1801" s="1">
        <f>Table1[[#This Row],[Losing Seed]]-Table1[[#This Row],[Winning Seed]]</f>
        <v>15</v>
      </c>
      <c r="P1801" s="1" t="str">
        <f>IF(Table1[[#This Row],[SeD]]&lt;-2,Table1[[#This Row],[Winning Seed]]&amp; " over " &amp;Table1[[#This Row],[Losing Seed]],"")</f>
        <v/>
      </c>
      <c r="Q1801">
        <f>VLOOKUP(Table1[[#This Row],[Losing Seed]],'Seed History'!$N$4:$O$19,2)</f>
        <v>6.9444444444444441E-3</v>
      </c>
      <c r="R1801" s="1">
        <f>IF(Table1[[#This Row],[Round]]="PI",0,Table1[[#This Row],[Round]]-1)</f>
        <v>0</v>
      </c>
      <c r="S1801">
        <f>Table1[[#This Row],[LAW]]-Table1[[#This Row],[LEW]]</f>
        <v>-6.9444444444444441E-3</v>
      </c>
    </row>
    <row r="1802" spans="1:19" x14ac:dyDescent="0.25">
      <c r="A1802" s="66">
        <v>41354</v>
      </c>
      <c r="B1802" s="51">
        <f>YEAR(Table1[[#This Row],[Date]])</f>
        <v>2013</v>
      </c>
      <c r="C1802" s="1">
        <v>1</v>
      </c>
      <c r="D1802" t="s">
        <v>38</v>
      </c>
      <c r="E1802" s="1">
        <v>6</v>
      </c>
      <c r="F1802" t="s">
        <v>48</v>
      </c>
      <c r="G1802" t="str">
        <f>VLOOKUP(Table1[[#This Row],[Winner]],Ranking!C:D,2,FALSE)</f>
        <v>P12</v>
      </c>
      <c r="H1802" s="1">
        <v>81</v>
      </c>
      <c r="I1802" s="1">
        <v>11</v>
      </c>
      <c r="J1802" t="s">
        <v>62</v>
      </c>
      <c r="K1802" t="str">
        <f>VLOOKUP(Table1[[#This Row],[Loser]],Ranking!C:D,2,FALSE)</f>
        <v>OVC</v>
      </c>
      <c r="L1802" s="1">
        <v>64</v>
      </c>
      <c r="N1802" s="1">
        <f>Table1[[#This Row],[Winning Score]]-Table1[[#This Row],[Losing Score]]</f>
        <v>17</v>
      </c>
      <c r="O1802" s="1">
        <f>Table1[[#This Row],[Losing Seed]]-Table1[[#This Row],[Winning Seed]]</f>
        <v>5</v>
      </c>
      <c r="P1802" s="1" t="str">
        <f>IF(Table1[[#This Row],[SeD]]&lt;-2,Table1[[#This Row],[Winning Seed]]&amp; " over " &amp;Table1[[#This Row],[Losing Seed]],"")</f>
        <v/>
      </c>
      <c r="Q1802">
        <f>VLOOKUP(Table1[[#This Row],[Losing Seed]],'Seed History'!$N$4:$O$19,2)</f>
        <v>0.63194444444444442</v>
      </c>
      <c r="R1802" s="1">
        <f>IF(Table1[[#This Row],[Round]]="PI",0,Table1[[#This Row],[Round]]-1)</f>
        <v>0</v>
      </c>
      <c r="S1802">
        <f>Table1[[#This Row],[LAW]]-Table1[[#This Row],[LEW]]</f>
        <v>-0.63194444444444442</v>
      </c>
    </row>
    <row r="1803" spans="1:19" x14ac:dyDescent="0.25">
      <c r="A1803" s="66">
        <v>41354</v>
      </c>
      <c r="B1803" s="51">
        <f>YEAR(Table1[[#This Row],[Date]])</f>
        <v>2013</v>
      </c>
      <c r="C1803" s="1">
        <v>1</v>
      </c>
      <c r="D1803" t="s">
        <v>38</v>
      </c>
      <c r="E1803" s="1">
        <v>9</v>
      </c>
      <c r="F1803" t="s">
        <v>417</v>
      </c>
      <c r="G1803" t="str">
        <f>VLOOKUP(Table1[[#This Row],[Winner]],Ranking!C:D,2,FALSE)</f>
        <v>Amer</v>
      </c>
      <c r="H1803" s="1">
        <v>73</v>
      </c>
      <c r="I1803" s="1">
        <v>8</v>
      </c>
      <c r="J1803" t="s">
        <v>83</v>
      </c>
      <c r="K1803" t="str">
        <f>VLOOKUP(Table1[[#This Row],[Loser]],Ranking!C:D,2,FALSE)</f>
        <v>ACC</v>
      </c>
      <c r="L1803" s="1">
        <v>55</v>
      </c>
      <c r="N1803" s="1">
        <f>Table1[[#This Row],[Winning Score]]-Table1[[#This Row],[Losing Score]]</f>
        <v>18</v>
      </c>
      <c r="O1803" s="1">
        <f>Table1[[#This Row],[Losing Seed]]-Table1[[#This Row],[Winning Seed]]</f>
        <v>-1</v>
      </c>
      <c r="P1803" s="1" t="str">
        <f>IF(Table1[[#This Row],[SeD]]&lt;-2,Table1[[#This Row],[Winning Seed]]&amp; " over " &amp;Table1[[#This Row],[Losing Seed]],"")</f>
        <v/>
      </c>
      <c r="Q1803">
        <f>VLOOKUP(Table1[[#This Row],[Losing Seed]],'Seed History'!$N$4:$O$19,2)</f>
        <v>0.70833333333333337</v>
      </c>
      <c r="R1803" s="1">
        <f>IF(Table1[[#This Row],[Round]]="PI",0,Table1[[#This Row],[Round]]-1)</f>
        <v>0</v>
      </c>
      <c r="S1803">
        <f>Table1[[#This Row],[LAW]]-Table1[[#This Row],[LEW]]</f>
        <v>-0.70833333333333337</v>
      </c>
    </row>
    <row r="1804" spans="1:19" x14ac:dyDescent="0.25">
      <c r="A1804" s="66">
        <v>41355</v>
      </c>
      <c r="B1804" s="51">
        <f>YEAR(Table1[[#This Row],[Date]])</f>
        <v>2013</v>
      </c>
      <c r="C1804" s="1">
        <v>1</v>
      </c>
      <c r="D1804" t="s">
        <v>63</v>
      </c>
      <c r="E1804" s="1">
        <v>15</v>
      </c>
      <c r="F1804" t="s">
        <v>205</v>
      </c>
      <c r="G1804" t="str">
        <f>VLOOKUP(Table1[[#This Row],[Winner]],Ranking!C:D,2,FALSE)</f>
        <v>ASun</v>
      </c>
      <c r="H1804" s="1">
        <v>78</v>
      </c>
      <c r="I1804" s="1">
        <v>2</v>
      </c>
      <c r="J1804" t="s">
        <v>66</v>
      </c>
      <c r="K1804" t="str">
        <f>VLOOKUP(Table1[[#This Row],[Loser]],Ranking!C:D,2,FALSE)</f>
        <v>BE</v>
      </c>
      <c r="L1804" s="1">
        <v>68</v>
      </c>
      <c r="N1804" s="1">
        <f>Table1[[#This Row],[Winning Score]]-Table1[[#This Row],[Losing Score]]</f>
        <v>10</v>
      </c>
      <c r="O1804" s="1">
        <f>Table1[[#This Row],[Losing Seed]]-Table1[[#This Row],[Winning Seed]]</f>
        <v>-13</v>
      </c>
      <c r="P1804" s="1" t="str">
        <f>IF(Table1[[#This Row],[SeD]]&lt;-2,Table1[[#This Row],[Winning Seed]]&amp; " over " &amp;Table1[[#This Row],[Losing Seed]],"")</f>
        <v>15 over 2</v>
      </c>
      <c r="Q1804">
        <f>VLOOKUP(Table1[[#This Row],[Losing Seed]],'Seed History'!$N$4:$O$19,2)</f>
        <v>2.3472222222222223</v>
      </c>
      <c r="R1804" s="1">
        <f>IF(Table1[[#This Row],[Round]]="PI",0,Table1[[#This Row],[Round]]-1)</f>
        <v>0</v>
      </c>
      <c r="S1804">
        <f>Table1[[#This Row],[LAW]]-Table1[[#This Row],[LEW]]</f>
        <v>-2.3472222222222223</v>
      </c>
    </row>
    <row r="1805" spans="1:19" x14ac:dyDescent="0.25">
      <c r="A1805" s="66">
        <v>41355</v>
      </c>
      <c r="B1805" s="51">
        <f>YEAR(Table1[[#This Row],[Date]])</f>
        <v>2013</v>
      </c>
      <c r="C1805" s="1">
        <v>1</v>
      </c>
      <c r="D1805" t="s">
        <v>38</v>
      </c>
      <c r="E1805" s="1">
        <v>13</v>
      </c>
      <c r="F1805" t="s">
        <v>246</v>
      </c>
      <c r="G1805" t="str">
        <f>VLOOKUP(Table1[[#This Row],[Winner]],Ranking!C:D,2,FALSE)</f>
        <v>A10</v>
      </c>
      <c r="H1805" s="1">
        <v>63</v>
      </c>
      <c r="I1805" s="1">
        <v>4</v>
      </c>
      <c r="J1805" t="s">
        <v>243</v>
      </c>
      <c r="K1805" t="str">
        <f>VLOOKUP(Table1[[#This Row],[Loser]],Ranking!C:D,2,FALSE)</f>
        <v>B12</v>
      </c>
      <c r="L1805" s="1">
        <v>61</v>
      </c>
      <c r="N1805" s="1">
        <f>Table1[[#This Row],[Winning Score]]-Table1[[#This Row],[Losing Score]]</f>
        <v>2</v>
      </c>
      <c r="O1805" s="1">
        <f>Table1[[#This Row],[Losing Seed]]-Table1[[#This Row],[Winning Seed]]</f>
        <v>-9</v>
      </c>
      <c r="P1805" s="1" t="str">
        <f>IF(Table1[[#This Row],[SeD]]&lt;-2,Table1[[#This Row],[Winning Seed]]&amp; " over " &amp;Table1[[#This Row],[Losing Seed]],"")</f>
        <v>13 over 4</v>
      </c>
      <c r="Q1805">
        <f>VLOOKUP(Table1[[#This Row],[Losing Seed]],'Seed History'!$N$4:$O$19,2)</f>
        <v>1.5208333333333333</v>
      </c>
      <c r="R1805" s="1">
        <f>IF(Table1[[#This Row],[Round]]="PI",0,Table1[[#This Row],[Round]]-1)</f>
        <v>0</v>
      </c>
      <c r="S1805">
        <f>Table1[[#This Row],[LAW]]-Table1[[#This Row],[LEW]]</f>
        <v>-1.5208333333333333</v>
      </c>
    </row>
    <row r="1806" spans="1:19" x14ac:dyDescent="0.25">
      <c r="A1806" s="66">
        <v>41355</v>
      </c>
      <c r="B1806" s="51">
        <f>YEAR(Table1[[#This Row],[Date]])</f>
        <v>2013</v>
      </c>
      <c r="C1806" s="1">
        <v>1</v>
      </c>
      <c r="D1806" t="s">
        <v>38</v>
      </c>
      <c r="E1806" s="1">
        <v>12</v>
      </c>
      <c r="F1806" t="s">
        <v>45</v>
      </c>
      <c r="G1806" t="str">
        <f>VLOOKUP(Table1[[#This Row],[Winner]],Ranking!C:D,2,FALSE)</f>
        <v>SEC</v>
      </c>
      <c r="H1806" s="1">
        <v>57</v>
      </c>
      <c r="I1806" s="1">
        <v>5</v>
      </c>
      <c r="J1806" t="s">
        <v>39</v>
      </c>
      <c r="K1806" t="str">
        <f>VLOOKUP(Table1[[#This Row],[Loser]],Ranking!C:D,2,FALSE)</f>
        <v>B10</v>
      </c>
      <c r="L1806" s="1">
        <v>46</v>
      </c>
      <c r="N1806" s="1">
        <f>Table1[[#This Row],[Winning Score]]-Table1[[#This Row],[Losing Score]]</f>
        <v>11</v>
      </c>
      <c r="O1806" s="1">
        <f>Table1[[#This Row],[Losing Seed]]-Table1[[#This Row],[Winning Seed]]</f>
        <v>-7</v>
      </c>
      <c r="P1806" s="1" t="str">
        <f>IF(Table1[[#This Row],[SeD]]&lt;-2,Table1[[#This Row],[Winning Seed]]&amp; " over " &amp;Table1[[#This Row],[Losing Seed]],"")</f>
        <v>12 over 5</v>
      </c>
      <c r="Q1806">
        <f>VLOOKUP(Table1[[#This Row],[Losing Seed]],'Seed History'!$N$4:$O$19,2)</f>
        <v>1.1180555555555556</v>
      </c>
      <c r="R1806" s="1">
        <f>IF(Table1[[#This Row],[Round]]="PI",0,Table1[[#This Row],[Round]]-1)</f>
        <v>0</v>
      </c>
      <c r="S1806">
        <f>Table1[[#This Row],[LAW]]-Table1[[#This Row],[LEW]]</f>
        <v>-1.1180555555555556</v>
      </c>
    </row>
    <row r="1807" spans="1:19" x14ac:dyDescent="0.25">
      <c r="A1807" s="66">
        <v>41355</v>
      </c>
      <c r="B1807" s="51">
        <f>YEAR(Table1[[#This Row],[Date]])</f>
        <v>2013</v>
      </c>
      <c r="C1807" s="1">
        <v>1</v>
      </c>
      <c r="D1807" t="s">
        <v>63</v>
      </c>
      <c r="E1807" s="1">
        <v>11</v>
      </c>
      <c r="F1807" t="s">
        <v>274</v>
      </c>
      <c r="G1807" t="str">
        <f>VLOOKUP(Table1[[#This Row],[Winner]],Ranking!C:D,2,FALSE)</f>
        <v>B10</v>
      </c>
      <c r="H1807" s="1">
        <v>83</v>
      </c>
      <c r="I1807" s="1">
        <v>6</v>
      </c>
      <c r="J1807" t="s">
        <v>67</v>
      </c>
      <c r="K1807" t="str">
        <f>VLOOKUP(Table1[[#This Row],[Loser]],Ranking!C:D,2,FALSE)</f>
        <v>P12</v>
      </c>
      <c r="L1807" s="1">
        <v>63</v>
      </c>
      <c r="N1807" s="1">
        <f>Table1[[#This Row],[Winning Score]]-Table1[[#This Row],[Losing Score]]</f>
        <v>20</v>
      </c>
      <c r="O1807" s="1">
        <f>Table1[[#This Row],[Losing Seed]]-Table1[[#This Row],[Winning Seed]]</f>
        <v>-5</v>
      </c>
      <c r="P1807" s="1" t="str">
        <f>IF(Table1[[#This Row],[SeD]]&lt;-2,Table1[[#This Row],[Winning Seed]]&amp; " over " &amp;Table1[[#This Row],[Losing Seed]],"")</f>
        <v>11 over 6</v>
      </c>
      <c r="Q1807">
        <f>VLOOKUP(Table1[[#This Row],[Losing Seed]],'Seed History'!$N$4:$O$19,2)</f>
        <v>1.0625</v>
      </c>
      <c r="R1807" s="1">
        <f>IF(Table1[[#This Row],[Round]]="PI",0,Table1[[#This Row],[Round]]-1)</f>
        <v>0</v>
      </c>
      <c r="S1807">
        <f>Table1[[#This Row],[LAW]]-Table1[[#This Row],[LEW]]</f>
        <v>-1.0625</v>
      </c>
    </row>
    <row r="1808" spans="1:19" x14ac:dyDescent="0.25">
      <c r="A1808" s="66">
        <v>41355</v>
      </c>
      <c r="B1808" s="51">
        <f>YEAR(Table1[[#This Row],[Date]])</f>
        <v>2013</v>
      </c>
      <c r="C1808" s="1">
        <v>1</v>
      </c>
      <c r="D1808" t="s">
        <v>38</v>
      </c>
      <c r="E1808" s="1">
        <v>10</v>
      </c>
      <c r="F1808" t="s">
        <v>237</v>
      </c>
      <c r="G1808" t="str">
        <f>VLOOKUP(Table1[[#This Row],[Winner]],Ranking!C:D,2,FALSE)</f>
        <v>B12</v>
      </c>
      <c r="H1808" s="1">
        <v>76</v>
      </c>
      <c r="I1808" s="1">
        <v>7</v>
      </c>
      <c r="J1808" t="s">
        <v>35</v>
      </c>
      <c r="K1808" t="str">
        <f>VLOOKUP(Table1[[#This Row],[Loser]],Ranking!C:D,2,FALSE)</f>
        <v>ACC</v>
      </c>
      <c r="L1808" s="1">
        <v>58</v>
      </c>
      <c r="N1808" s="1">
        <f>Table1[[#This Row],[Winning Score]]-Table1[[#This Row],[Losing Score]]</f>
        <v>18</v>
      </c>
      <c r="O1808" s="1">
        <f>Table1[[#This Row],[Losing Seed]]-Table1[[#This Row],[Winning Seed]]</f>
        <v>-3</v>
      </c>
      <c r="P1808" s="1" t="str">
        <f>IF(Table1[[#This Row],[SeD]]&lt;-2,Table1[[#This Row],[Winning Seed]]&amp; " over " &amp;Table1[[#This Row],[Losing Seed]],"")</f>
        <v>10 over 7</v>
      </c>
      <c r="Q1808">
        <f>VLOOKUP(Table1[[#This Row],[Losing Seed]],'Seed History'!$N$4:$O$19,2)</f>
        <v>0.90277777777777779</v>
      </c>
      <c r="R1808" s="1">
        <f>IF(Table1[[#This Row],[Round]]="PI",0,Table1[[#This Row],[Round]]-1)</f>
        <v>0</v>
      </c>
      <c r="S1808">
        <f>Table1[[#This Row],[LAW]]-Table1[[#This Row],[LEW]]</f>
        <v>-0.90277777777777779</v>
      </c>
    </row>
    <row r="1809" spans="1:19" x14ac:dyDescent="0.25">
      <c r="A1809" s="66">
        <v>41355</v>
      </c>
      <c r="B1809" s="51">
        <f>YEAR(Table1[[#This Row],[Date]])</f>
        <v>2013</v>
      </c>
      <c r="C1809" s="1">
        <v>1</v>
      </c>
      <c r="D1809" t="s">
        <v>49</v>
      </c>
      <c r="E1809" s="1">
        <v>1</v>
      </c>
      <c r="F1809" t="s">
        <v>36</v>
      </c>
      <c r="G1809" t="str">
        <f>VLOOKUP(Table1[[#This Row],[Winner]],Ranking!C:D,2,FALSE)</f>
        <v>B10</v>
      </c>
      <c r="H1809" s="1">
        <v>83</v>
      </c>
      <c r="I1809" s="1">
        <v>16</v>
      </c>
      <c r="J1809" t="s">
        <v>242</v>
      </c>
      <c r="K1809" t="str">
        <f>VLOOKUP(Table1[[#This Row],[Loser]],Ranking!C:D,2,FALSE)</f>
        <v>CAA</v>
      </c>
      <c r="L1809" s="1">
        <v>62</v>
      </c>
      <c r="N1809" s="1">
        <f>Table1[[#This Row],[Winning Score]]-Table1[[#This Row],[Losing Score]]</f>
        <v>21</v>
      </c>
      <c r="O1809" s="1">
        <f>Table1[[#This Row],[Losing Seed]]-Table1[[#This Row],[Winning Seed]]</f>
        <v>15</v>
      </c>
      <c r="P1809" s="1" t="str">
        <f>IF(Table1[[#This Row],[SeD]]&lt;-2,Table1[[#This Row],[Winning Seed]]&amp; " over " &amp;Table1[[#This Row],[Losing Seed]],"")</f>
        <v/>
      </c>
      <c r="Q1809">
        <f>VLOOKUP(Table1[[#This Row],[Losing Seed]],'Seed History'!$N$4:$O$19,2)</f>
        <v>6.9444444444444441E-3</v>
      </c>
      <c r="R1809" s="1">
        <f>IF(Table1[[#This Row],[Round]]="PI",0,Table1[[#This Row],[Round]]-1)</f>
        <v>0</v>
      </c>
      <c r="S1809">
        <f>Table1[[#This Row],[LAW]]-Table1[[#This Row],[LEW]]</f>
        <v>-6.9444444444444441E-3</v>
      </c>
    </row>
    <row r="1810" spans="1:19" x14ac:dyDescent="0.25">
      <c r="A1810" s="66">
        <v>41355</v>
      </c>
      <c r="B1810" s="51">
        <f>YEAR(Table1[[#This Row],[Date]])</f>
        <v>2013</v>
      </c>
      <c r="C1810" s="1">
        <v>1</v>
      </c>
      <c r="D1810" t="s">
        <v>49</v>
      </c>
      <c r="E1810" s="1">
        <v>2</v>
      </c>
      <c r="F1810" t="s">
        <v>269</v>
      </c>
      <c r="G1810" t="str">
        <f>VLOOKUP(Table1[[#This Row],[Winner]],Ranking!C:D,2,FALSE)</f>
        <v>ACC</v>
      </c>
      <c r="H1810" s="1">
        <v>78</v>
      </c>
      <c r="I1810" s="1">
        <v>15</v>
      </c>
      <c r="J1810" t="s">
        <v>320</v>
      </c>
      <c r="K1810" t="str">
        <f>VLOOKUP(Table1[[#This Row],[Loser]],Ranking!C:D,2,FALSE)</f>
        <v>WCC</v>
      </c>
      <c r="L1810" s="1">
        <v>49</v>
      </c>
      <c r="N1810" s="1">
        <f>Table1[[#This Row],[Winning Score]]-Table1[[#This Row],[Losing Score]]</f>
        <v>29</v>
      </c>
      <c r="O1810" s="1">
        <f>Table1[[#This Row],[Losing Seed]]-Table1[[#This Row],[Winning Seed]]</f>
        <v>13</v>
      </c>
      <c r="P1810" s="1" t="str">
        <f>IF(Table1[[#This Row],[SeD]]&lt;-2,Table1[[#This Row],[Winning Seed]]&amp; " over " &amp;Table1[[#This Row],[Losing Seed]],"")</f>
        <v/>
      </c>
      <c r="Q1810">
        <f>VLOOKUP(Table1[[#This Row],[Losing Seed]],'Seed History'!$N$4:$O$19,2)</f>
        <v>7.6388888888888895E-2</v>
      </c>
      <c r="R1810" s="1">
        <f>IF(Table1[[#This Row],[Round]]="PI",0,Table1[[#This Row],[Round]]-1)</f>
        <v>0</v>
      </c>
      <c r="S1810">
        <f>Table1[[#This Row],[LAW]]-Table1[[#This Row],[LEW]]</f>
        <v>-7.6388888888888895E-2</v>
      </c>
    </row>
    <row r="1811" spans="1:19" x14ac:dyDescent="0.25">
      <c r="A1811" s="66">
        <v>41355</v>
      </c>
      <c r="B1811" s="51">
        <f>YEAR(Table1[[#This Row],[Date]])</f>
        <v>2013</v>
      </c>
      <c r="C1811" s="1">
        <v>1</v>
      </c>
      <c r="D1811" t="s">
        <v>49</v>
      </c>
      <c r="E1811" s="1">
        <v>7</v>
      </c>
      <c r="F1811" t="s">
        <v>230</v>
      </c>
      <c r="G1811" t="str">
        <f>VLOOKUP(Table1[[#This Row],[Winner]],Ranking!C:D,2,FALSE)</f>
        <v>B10</v>
      </c>
      <c r="H1811" s="1">
        <v>57</v>
      </c>
      <c r="I1811" s="1">
        <v>10</v>
      </c>
      <c r="J1811" t="s">
        <v>95</v>
      </c>
      <c r="K1811" t="str">
        <f>VLOOKUP(Table1[[#This Row],[Loser]],Ranking!C:D,2,FALSE)</f>
        <v>P12</v>
      </c>
      <c r="L1811" s="1">
        <v>49</v>
      </c>
      <c r="N1811" s="1">
        <f>Table1[[#This Row],[Winning Score]]-Table1[[#This Row],[Losing Score]]</f>
        <v>8</v>
      </c>
      <c r="O1811" s="1">
        <f>Table1[[#This Row],[Losing Seed]]-Table1[[#This Row],[Winning Seed]]</f>
        <v>3</v>
      </c>
      <c r="P1811" s="1" t="str">
        <f>IF(Table1[[#This Row],[SeD]]&lt;-2,Table1[[#This Row],[Winning Seed]]&amp; " over " &amp;Table1[[#This Row],[Losing Seed]],"")</f>
        <v/>
      </c>
      <c r="Q1811">
        <f>VLOOKUP(Table1[[#This Row],[Losing Seed]],'Seed History'!$N$4:$O$19,2)</f>
        <v>0.61805555555555558</v>
      </c>
      <c r="R1811" s="1">
        <f>IF(Table1[[#This Row],[Round]]="PI",0,Table1[[#This Row],[Round]]-1)</f>
        <v>0</v>
      </c>
      <c r="S1811">
        <f>Table1[[#This Row],[LAW]]-Table1[[#This Row],[LEW]]</f>
        <v>-0.61805555555555558</v>
      </c>
    </row>
    <row r="1812" spans="1:19" x14ac:dyDescent="0.25">
      <c r="A1812" s="66">
        <v>41355</v>
      </c>
      <c r="B1812" s="51">
        <f>YEAR(Table1[[#This Row],[Date]])</f>
        <v>2013</v>
      </c>
      <c r="C1812" s="1">
        <v>1</v>
      </c>
      <c r="D1812" t="s">
        <v>439</v>
      </c>
      <c r="E1812" s="1">
        <v>2</v>
      </c>
      <c r="F1812" t="s">
        <v>64</v>
      </c>
      <c r="G1812" t="str">
        <f>VLOOKUP(Table1[[#This Row],[Winner]],Ranking!C:D,2,FALSE)</f>
        <v>ACC</v>
      </c>
      <c r="H1812" s="1">
        <v>73</v>
      </c>
      <c r="I1812" s="1">
        <v>15</v>
      </c>
      <c r="J1812" t="s">
        <v>59</v>
      </c>
      <c r="K1812" t="str">
        <f>VLOOKUP(Table1[[#This Row],[Loser]],Ranking!C:D,2,FALSE)</f>
        <v>AE</v>
      </c>
      <c r="L1812" s="1">
        <v>61</v>
      </c>
      <c r="N1812" s="1">
        <f>Table1[[#This Row],[Winning Score]]-Table1[[#This Row],[Losing Score]]</f>
        <v>12</v>
      </c>
      <c r="O1812" s="1">
        <f>Table1[[#This Row],[Losing Seed]]-Table1[[#This Row],[Winning Seed]]</f>
        <v>13</v>
      </c>
      <c r="P1812" s="1" t="str">
        <f>IF(Table1[[#This Row],[SeD]]&lt;-2,Table1[[#This Row],[Winning Seed]]&amp; " over " &amp;Table1[[#This Row],[Losing Seed]],"")</f>
        <v/>
      </c>
      <c r="Q1812">
        <f>VLOOKUP(Table1[[#This Row],[Losing Seed]],'Seed History'!$N$4:$O$19,2)</f>
        <v>7.6388888888888895E-2</v>
      </c>
      <c r="R1812" s="1">
        <f>IF(Table1[[#This Row],[Round]]="PI",0,Table1[[#This Row],[Round]]-1)</f>
        <v>0</v>
      </c>
      <c r="S1812">
        <f>Table1[[#This Row],[LAW]]-Table1[[#This Row],[LEW]]</f>
        <v>-7.6388888888888895E-2</v>
      </c>
    </row>
    <row r="1813" spans="1:19" x14ac:dyDescent="0.25">
      <c r="A1813" s="66">
        <v>41355</v>
      </c>
      <c r="B1813" s="51">
        <f>YEAR(Table1[[#This Row],[Date]])</f>
        <v>2013</v>
      </c>
      <c r="C1813" s="1">
        <v>1</v>
      </c>
      <c r="D1813" t="s">
        <v>439</v>
      </c>
      <c r="E1813" s="1">
        <v>7</v>
      </c>
      <c r="F1813" t="s">
        <v>88</v>
      </c>
      <c r="G1813" t="str">
        <f>VLOOKUP(Table1[[#This Row],[Winner]],Ranking!C:D,2,FALSE)</f>
        <v>BE</v>
      </c>
      <c r="H1813" s="1">
        <v>67</v>
      </c>
      <c r="I1813" s="1">
        <v>10</v>
      </c>
      <c r="J1813" t="s">
        <v>28</v>
      </c>
      <c r="K1813" t="str">
        <f>VLOOKUP(Table1[[#This Row],[Loser]],Ranking!C:D,2,FALSE)</f>
        <v>Amer</v>
      </c>
      <c r="L1813" s="1">
        <v>63</v>
      </c>
      <c r="N1813" s="1">
        <f>Table1[[#This Row],[Winning Score]]-Table1[[#This Row],[Losing Score]]</f>
        <v>4</v>
      </c>
      <c r="O1813" s="1">
        <f>Table1[[#This Row],[Losing Seed]]-Table1[[#This Row],[Winning Seed]]</f>
        <v>3</v>
      </c>
      <c r="P1813" s="1" t="str">
        <f>IF(Table1[[#This Row],[SeD]]&lt;-2,Table1[[#This Row],[Winning Seed]]&amp; " over " &amp;Table1[[#This Row],[Losing Seed]],"")</f>
        <v/>
      </c>
      <c r="Q1813">
        <f>VLOOKUP(Table1[[#This Row],[Losing Seed]],'Seed History'!$N$4:$O$19,2)</f>
        <v>0.61805555555555558</v>
      </c>
      <c r="R1813" s="1">
        <f>IF(Table1[[#This Row],[Round]]="PI",0,Table1[[#This Row],[Round]]-1)</f>
        <v>0</v>
      </c>
      <c r="S1813">
        <f>Table1[[#This Row],[LAW]]-Table1[[#This Row],[LEW]]</f>
        <v>-0.61805555555555558</v>
      </c>
    </row>
    <row r="1814" spans="1:19" x14ac:dyDescent="0.25">
      <c r="A1814" s="66">
        <v>41355</v>
      </c>
      <c r="B1814" s="51">
        <f>YEAR(Table1[[#This Row],[Date]])</f>
        <v>2013</v>
      </c>
      <c r="C1814" s="1">
        <v>1</v>
      </c>
      <c r="D1814" t="s">
        <v>63</v>
      </c>
      <c r="E1814" s="1">
        <v>1</v>
      </c>
      <c r="F1814" t="s">
        <v>37</v>
      </c>
      <c r="G1814" t="str">
        <f>VLOOKUP(Table1[[#This Row],[Winner]],Ranking!C:D,2,FALSE)</f>
        <v>B12</v>
      </c>
      <c r="H1814" s="1">
        <v>64</v>
      </c>
      <c r="I1814" s="1">
        <v>16</v>
      </c>
      <c r="J1814" t="s">
        <v>415</v>
      </c>
      <c r="K1814" t="str">
        <f>VLOOKUP(Table1[[#This Row],[Loser]],Ranking!C:D,2,FALSE)</f>
        <v>CUSA</v>
      </c>
      <c r="L1814" s="1">
        <v>57</v>
      </c>
      <c r="N1814" s="1">
        <f>Table1[[#This Row],[Winning Score]]-Table1[[#This Row],[Losing Score]]</f>
        <v>7</v>
      </c>
      <c r="O1814" s="1">
        <f>Table1[[#This Row],[Losing Seed]]-Table1[[#This Row],[Winning Seed]]</f>
        <v>15</v>
      </c>
      <c r="P1814" s="1" t="str">
        <f>IF(Table1[[#This Row],[SeD]]&lt;-2,Table1[[#This Row],[Winning Seed]]&amp; " over " &amp;Table1[[#This Row],[Losing Seed]],"")</f>
        <v/>
      </c>
      <c r="Q1814">
        <f>VLOOKUP(Table1[[#This Row],[Losing Seed]],'Seed History'!$N$4:$O$19,2)</f>
        <v>6.9444444444444441E-3</v>
      </c>
      <c r="R1814" s="1">
        <f>IF(Table1[[#This Row],[Round]]="PI",0,Table1[[#This Row],[Round]]-1)</f>
        <v>0</v>
      </c>
      <c r="S1814">
        <f>Table1[[#This Row],[LAW]]-Table1[[#This Row],[LEW]]</f>
        <v>-6.9444444444444441E-3</v>
      </c>
    </row>
    <row r="1815" spans="1:19" x14ac:dyDescent="0.25">
      <c r="A1815" s="66">
        <v>41355</v>
      </c>
      <c r="B1815" s="51">
        <f>YEAR(Table1[[#This Row],[Date]])</f>
        <v>2013</v>
      </c>
      <c r="C1815" s="1">
        <v>1</v>
      </c>
      <c r="D1815" t="s">
        <v>63</v>
      </c>
      <c r="E1815" s="1">
        <v>3</v>
      </c>
      <c r="F1815" t="s">
        <v>81</v>
      </c>
      <c r="G1815" t="str">
        <f>VLOOKUP(Table1[[#This Row],[Winner]],Ranking!C:D,2,FALSE)</f>
        <v>SEC</v>
      </c>
      <c r="H1815" s="1">
        <v>79</v>
      </c>
      <c r="I1815" s="1">
        <v>14</v>
      </c>
      <c r="J1815" t="s">
        <v>312</v>
      </c>
      <c r="K1815" t="str">
        <f>VLOOKUP(Table1[[#This Row],[Loser]],Ranking!C:D,2,FALSE)</f>
        <v>Slnd</v>
      </c>
      <c r="L1815" s="1">
        <v>47</v>
      </c>
      <c r="N1815" s="1">
        <f>Table1[[#This Row],[Winning Score]]-Table1[[#This Row],[Losing Score]]</f>
        <v>32</v>
      </c>
      <c r="O1815" s="1">
        <f>Table1[[#This Row],[Losing Seed]]-Table1[[#This Row],[Winning Seed]]</f>
        <v>11</v>
      </c>
      <c r="P1815" s="1" t="str">
        <f>IF(Table1[[#This Row],[SeD]]&lt;-2,Table1[[#This Row],[Winning Seed]]&amp; " over " &amp;Table1[[#This Row],[Losing Seed]],"")</f>
        <v/>
      </c>
      <c r="Q1815">
        <f>VLOOKUP(Table1[[#This Row],[Losing Seed]],'Seed History'!$N$4:$O$19,2)</f>
        <v>0.16666666666666666</v>
      </c>
      <c r="R1815" s="1">
        <f>IF(Table1[[#This Row],[Round]]="PI",0,Table1[[#This Row],[Round]]-1)</f>
        <v>0</v>
      </c>
      <c r="S1815">
        <f>Table1[[#This Row],[LAW]]-Table1[[#This Row],[LEW]]</f>
        <v>-0.16666666666666666</v>
      </c>
    </row>
    <row r="1816" spans="1:19" x14ac:dyDescent="0.25">
      <c r="A1816" s="66">
        <v>41355</v>
      </c>
      <c r="B1816" s="51">
        <f>YEAR(Table1[[#This Row],[Date]])</f>
        <v>2013</v>
      </c>
      <c r="C1816" s="1">
        <v>1</v>
      </c>
      <c r="D1816" t="s">
        <v>63</v>
      </c>
      <c r="E1816" s="1">
        <v>7</v>
      </c>
      <c r="F1816" t="s">
        <v>344</v>
      </c>
      <c r="G1816" t="str">
        <f>VLOOKUP(Table1[[#This Row],[Winner]],Ranking!C:D,2,FALSE)</f>
        <v>MWC</v>
      </c>
      <c r="H1816" s="1">
        <v>70</v>
      </c>
      <c r="I1816" s="1">
        <v>10</v>
      </c>
      <c r="J1816" t="s">
        <v>58</v>
      </c>
      <c r="K1816" t="str">
        <f>VLOOKUP(Table1[[#This Row],[Loser]],Ranking!C:D,2,FALSE)</f>
        <v>B12</v>
      </c>
      <c r="L1816" s="1">
        <v>55</v>
      </c>
      <c r="N1816" s="1">
        <f>Table1[[#This Row],[Winning Score]]-Table1[[#This Row],[Losing Score]]</f>
        <v>15</v>
      </c>
      <c r="O1816" s="1">
        <f>Table1[[#This Row],[Losing Seed]]-Table1[[#This Row],[Winning Seed]]</f>
        <v>3</v>
      </c>
      <c r="P1816" s="1" t="str">
        <f>IF(Table1[[#This Row],[SeD]]&lt;-2,Table1[[#This Row],[Winning Seed]]&amp; " over " &amp;Table1[[#This Row],[Losing Seed]],"")</f>
        <v/>
      </c>
      <c r="Q1816">
        <f>VLOOKUP(Table1[[#This Row],[Losing Seed]],'Seed History'!$N$4:$O$19,2)</f>
        <v>0.61805555555555558</v>
      </c>
      <c r="R1816" s="1">
        <f>IF(Table1[[#This Row],[Round]]="PI",0,Table1[[#This Row],[Round]]-1)</f>
        <v>0</v>
      </c>
      <c r="S1816">
        <f>Table1[[#This Row],[LAW]]-Table1[[#This Row],[LEW]]</f>
        <v>-0.61805555555555558</v>
      </c>
    </row>
    <row r="1817" spans="1:19" x14ac:dyDescent="0.25">
      <c r="A1817" s="66">
        <v>41355</v>
      </c>
      <c r="B1817" s="51">
        <f>YEAR(Table1[[#This Row],[Date]])</f>
        <v>2013</v>
      </c>
      <c r="C1817" s="1">
        <v>1</v>
      </c>
      <c r="D1817" t="s">
        <v>63</v>
      </c>
      <c r="E1817" s="1">
        <v>8</v>
      </c>
      <c r="F1817" t="s">
        <v>298</v>
      </c>
      <c r="G1817" t="str">
        <f>VLOOKUP(Table1[[#This Row],[Winner]],Ranking!C:D,2,FALSE)</f>
        <v>ACC</v>
      </c>
      <c r="H1817" s="1">
        <v>78</v>
      </c>
      <c r="I1817" s="1">
        <v>9</v>
      </c>
      <c r="J1817" t="s">
        <v>50</v>
      </c>
      <c r="K1817" t="str">
        <f>VLOOKUP(Table1[[#This Row],[Loser]],Ranking!C:D,2,FALSE)</f>
        <v>BE</v>
      </c>
      <c r="L1817" s="1">
        <v>71</v>
      </c>
      <c r="N1817" s="1">
        <f>Table1[[#This Row],[Winning Score]]-Table1[[#This Row],[Losing Score]]</f>
        <v>7</v>
      </c>
      <c r="O1817" s="1">
        <f>Table1[[#This Row],[Losing Seed]]-Table1[[#This Row],[Winning Seed]]</f>
        <v>1</v>
      </c>
      <c r="P1817" s="1" t="str">
        <f>IF(Table1[[#This Row],[SeD]]&lt;-2,Table1[[#This Row],[Winning Seed]]&amp; " over " &amp;Table1[[#This Row],[Losing Seed]],"")</f>
        <v/>
      </c>
      <c r="Q1817">
        <f>VLOOKUP(Table1[[#This Row],[Losing Seed]],'Seed History'!$N$4:$O$19,2)</f>
        <v>0.59027777777777779</v>
      </c>
      <c r="R1817" s="1">
        <f>IF(Table1[[#This Row],[Round]]="PI",0,Table1[[#This Row],[Round]]-1)</f>
        <v>0</v>
      </c>
      <c r="S1817">
        <f>Table1[[#This Row],[LAW]]-Table1[[#This Row],[LEW]]</f>
        <v>-0.59027777777777779</v>
      </c>
    </row>
    <row r="1818" spans="1:19" x14ac:dyDescent="0.25">
      <c r="A1818" s="66">
        <v>41355</v>
      </c>
      <c r="B1818" s="51">
        <f>YEAR(Table1[[#This Row],[Date]])</f>
        <v>2013</v>
      </c>
      <c r="C1818" s="1">
        <v>1</v>
      </c>
      <c r="D1818" t="s">
        <v>38</v>
      </c>
      <c r="E1818" s="1">
        <v>2</v>
      </c>
      <c r="F1818" t="s">
        <v>315</v>
      </c>
      <c r="G1818" t="str">
        <f>VLOOKUP(Table1[[#This Row],[Winner]],Ranking!C:D,2,FALSE)</f>
        <v>B10</v>
      </c>
      <c r="H1818" s="1">
        <v>95</v>
      </c>
      <c r="I1818" s="1">
        <v>15</v>
      </c>
      <c r="J1818" t="s">
        <v>236</v>
      </c>
      <c r="K1818" t="str">
        <f>VLOOKUP(Table1[[#This Row],[Loser]],Ranking!C:D,2,FALSE)</f>
        <v>MAAC</v>
      </c>
      <c r="L1818" s="1">
        <v>70</v>
      </c>
      <c r="N1818" s="1">
        <f>Table1[[#This Row],[Winning Score]]-Table1[[#This Row],[Losing Score]]</f>
        <v>25</v>
      </c>
      <c r="O1818" s="1">
        <f>Table1[[#This Row],[Losing Seed]]-Table1[[#This Row],[Winning Seed]]</f>
        <v>13</v>
      </c>
      <c r="P1818" s="1" t="str">
        <f>IF(Table1[[#This Row],[SeD]]&lt;-2,Table1[[#This Row],[Winning Seed]]&amp; " over " &amp;Table1[[#This Row],[Losing Seed]],"")</f>
        <v/>
      </c>
      <c r="Q1818">
        <f>VLOOKUP(Table1[[#This Row],[Losing Seed]],'Seed History'!$N$4:$O$19,2)</f>
        <v>7.6388888888888895E-2</v>
      </c>
      <c r="R1818" s="1">
        <f>IF(Table1[[#This Row],[Round]]="PI",0,Table1[[#This Row],[Round]]-1)</f>
        <v>0</v>
      </c>
      <c r="S1818">
        <f>Table1[[#This Row],[LAW]]-Table1[[#This Row],[LEW]]</f>
        <v>-7.6388888888888895E-2</v>
      </c>
    </row>
    <row r="1819" spans="1:19" x14ac:dyDescent="0.25">
      <c r="A1819" s="66">
        <v>41355</v>
      </c>
      <c r="B1819" s="51">
        <f>YEAR(Table1[[#This Row],[Date]])</f>
        <v>2013</v>
      </c>
      <c r="C1819" s="1">
        <v>1</v>
      </c>
      <c r="D1819" t="s">
        <v>49</v>
      </c>
      <c r="E1819" s="1">
        <v>9</v>
      </c>
      <c r="F1819" t="s">
        <v>373</v>
      </c>
      <c r="G1819" t="str">
        <f>VLOOKUP(Table1[[#This Row],[Winner]],Ranking!C:D,2,FALSE)</f>
        <v>Amer</v>
      </c>
      <c r="H1819" s="1">
        <v>76</v>
      </c>
      <c r="I1819" s="1">
        <v>8</v>
      </c>
      <c r="J1819" t="s">
        <v>301</v>
      </c>
      <c r="K1819" t="e">
        <f>VLOOKUP(Table1[[#This Row],[Loser]],Ranking!C:D,2,FALSE)</f>
        <v>#N/A</v>
      </c>
      <c r="L1819" s="1">
        <v>72</v>
      </c>
      <c r="N1819" s="1">
        <f>Table1[[#This Row],[Winning Score]]-Table1[[#This Row],[Losing Score]]</f>
        <v>4</v>
      </c>
      <c r="O1819" s="1">
        <f>Table1[[#This Row],[Losing Seed]]-Table1[[#This Row],[Winning Seed]]</f>
        <v>-1</v>
      </c>
      <c r="P1819" s="1" t="str">
        <f>IF(Table1[[#This Row],[SeD]]&lt;-2,Table1[[#This Row],[Winning Seed]]&amp; " over " &amp;Table1[[#This Row],[Losing Seed]],"")</f>
        <v/>
      </c>
      <c r="Q1819">
        <f>VLOOKUP(Table1[[#This Row],[Losing Seed]],'Seed History'!$N$4:$O$19,2)</f>
        <v>0.70833333333333337</v>
      </c>
      <c r="R1819" s="1">
        <f>IF(Table1[[#This Row],[Round]]="PI",0,Table1[[#This Row],[Round]]-1)</f>
        <v>0</v>
      </c>
      <c r="S1819">
        <f>Table1[[#This Row],[LAW]]-Table1[[#This Row],[LEW]]</f>
        <v>-0.70833333333333337</v>
      </c>
    </row>
    <row r="1820" spans="1:19" x14ac:dyDescent="0.25">
      <c r="A1820" s="66">
        <v>41356</v>
      </c>
      <c r="B1820" s="51">
        <f>YEAR(Table1[[#This Row],[Date]])</f>
        <v>2013</v>
      </c>
      <c r="C1820" s="1">
        <v>2</v>
      </c>
      <c r="D1820" t="s">
        <v>439</v>
      </c>
      <c r="E1820" s="1">
        <v>12</v>
      </c>
      <c r="F1820" t="s">
        <v>40</v>
      </c>
      <c r="G1820" t="str">
        <f>VLOOKUP(Table1[[#This Row],[Winner]],Ranking!C:D,2,FALSE)</f>
        <v>P12</v>
      </c>
      <c r="H1820" s="1">
        <v>74</v>
      </c>
      <c r="I1820" s="1">
        <v>4</v>
      </c>
      <c r="J1820" t="s">
        <v>338</v>
      </c>
      <c r="K1820" t="str">
        <f>VLOOKUP(Table1[[#This Row],[Loser]],Ranking!C:D,2,FALSE)</f>
        <v>A10</v>
      </c>
      <c r="L1820" s="1">
        <v>57</v>
      </c>
      <c r="N1820" s="1">
        <f>Table1[[#This Row],[Winning Score]]-Table1[[#This Row],[Losing Score]]</f>
        <v>17</v>
      </c>
      <c r="O1820" s="1">
        <f>Table1[[#This Row],[Losing Seed]]-Table1[[#This Row],[Winning Seed]]</f>
        <v>-8</v>
      </c>
      <c r="P1820" s="1" t="str">
        <f>IF(Table1[[#This Row],[SeD]]&lt;-2,Table1[[#This Row],[Winning Seed]]&amp; " over " &amp;Table1[[#This Row],[Losing Seed]],"")</f>
        <v>12 over 4</v>
      </c>
      <c r="Q1820">
        <f>VLOOKUP(Table1[[#This Row],[Losing Seed]],'Seed History'!$N$4:$O$19,2)</f>
        <v>1.5208333333333333</v>
      </c>
      <c r="R1820" s="1">
        <f>IF(Table1[[#This Row],[Round]]="PI",0,Table1[[#This Row],[Round]]-1)</f>
        <v>1</v>
      </c>
      <c r="S1820">
        <f>Table1[[#This Row],[LAW]]-Table1[[#This Row],[LEW]]</f>
        <v>-0.52083333333333326</v>
      </c>
    </row>
    <row r="1821" spans="1:19" x14ac:dyDescent="0.25">
      <c r="A1821" s="66">
        <v>41356</v>
      </c>
      <c r="B1821" s="51">
        <f>YEAR(Table1[[#This Row],[Date]])</f>
        <v>2013</v>
      </c>
      <c r="C1821" s="1">
        <v>2</v>
      </c>
      <c r="D1821" t="s">
        <v>38</v>
      </c>
      <c r="E1821" s="1">
        <v>9</v>
      </c>
      <c r="F1821" t="s">
        <v>417</v>
      </c>
      <c r="G1821" t="str">
        <f>VLOOKUP(Table1[[#This Row],[Winner]],Ranking!C:D,2,FALSE)</f>
        <v>Amer</v>
      </c>
      <c r="H1821" s="1">
        <v>76</v>
      </c>
      <c r="I1821" s="1">
        <v>1</v>
      </c>
      <c r="J1821" t="s">
        <v>71</v>
      </c>
      <c r="K1821" t="str">
        <f>VLOOKUP(Table1[[#This Row],[Loser]],Ranking!C:D,2,FALSE)</f>
        <v>WCC</v>
      </c>
      <c r="L1821" s="1">
        <v>70</v>
      </c>
      <c r="N1821" s="1">
        <f>Table1[[#This Row],[Winning Score]]-Table1[[#This Row],[Losing Score]]</f>
        <v>6</v>
      </c>
      <c r="O1821" s="1">
        <f>Table1[[#This Row],[Losing Seed]]-Table1[[#This Row],[Winning Seed]]</f>
        <v>-8</v>
      </c>
      <c r="P1821" s="1" t="str">
        <f>IF(Table1[[#This Row],[SeD]]&lt;-2,Table1[[#This Row],[Winning Seed]]&amp; " over " &amp;Table1[[#This Row],[Losing Seed]],"")</f>
        <v>9 over 1</v>
      </c>
      <c r="Q1821">
        <f>VLOOKUP(Table1[[#This Row],[Losing Seed]],'Seed History'!$N$4:$O$19,2)</f>
        <v>3.3263888888888888</v>
      </c>
      <c r="R1821" s="1">
        <f>IF(Table1[[#This Row],[Round]]="PI",0,Table1[[#This Row],[Round]]-1)</f>
        <v>1</v>
      </c>
      <c r="S1821">
        <f>Table1[[#This Row],[LAW]]-Table1[[#This Row],[LEW]]</f>
        <v>-2.3263888888888888</v>
      </c>
    </row>
    <row r="1822" spans="1:19" x14ac:dyDescent="0.25">
      <c r="A1822" s="66">
        <v>41356</v>
      </c>
      <c r="B1822" s="51">
        <f>YEAR(Table1[[#This Row],[Date]])</f>
        <v>2013</v>
      </c>
      <c r="C1822" s="1">
        <v>2</v>
      </c>
      <c r="D1822" t="s">
        <v>49</v>
      </c>
      <c r="E1822" s="1">
        <v>3</v>
      </c>
      <c r="F1822" t="s">
        <v>262</v>
      </c>
      <c r="G1822" t="str">
        <f>VLOOKUP(Table1[[#This Row],[Winner]],Ranking!C:D,2,FALSE)</f>
        <v>BE</v>
      </c>
      <c r="H1822" s="1">
        <v>74</v>
      </c>
      <c r="I1822" s="1">
        <v>6</v>
      </c>
      <c r="J1822" t="s">
        <v>33</v>
      </c>
      <c r="K1822" t="str">
        <f>VLOOKUP(Table1[[#This Row],[Loser]],Ranking!C:D,2,FALSE)</f>
        <v>BE</v>
      </c>
      <c r="L1822" s="1">
        <v>72</v>
      </c>
      <c r="N1822" s="1">
        <f>Table1[[#This Row],[Winning Score]]-Table1[[#This Row],[Losing Score]]</f>
        <v>2</v>
      </c>
      <c r="O1822" s="1">
        <f>Table1[[#This Row],[Losing Seed]]-Table1[[#This Row],[Winning Seed]]</f>
        <v>3</v>
      </c>
      <c r="P1822" s="1" t="str">
        <f>IF(Table1[[#This Row],[SeD]]&lt;-2,Table1[[#This Row],[Winning Seed]]&amp; " over " &amp;Table1[[#This Row],[Losing Seed]],"")</f>
        <v/>
      </c>
      <c r="Q1822">
        <f>VLOOKUP(Table1[[#This Row],[Losing Seed]],'Seed History'!$N$4:$O$19,2)</f>
        <v>1.0625</v>
      </c>
      <c r="R1822" s="1">
        <f>IF(Table1[[#This Row],[Round]]="PI",0,Table1[[#This Row],[Round]]-1)</f>
        <v>1</v>
      </c>
      <c r="S1822">
        <f>Table1[[#This Row],[LAW]]-Table1[[#This Row],[LEW]]</f>
        <v>-6.25E-2</v>
      </c>
    </row>
    <row r="1823" spans="1:19" x14ac:dyDescent="0.25">
      <c r="A1823" s="66">
        <v>41356</v>
      </c>
      <c r="B1823" s="51">
        <f>YEAR(Table1[[#This Row],[Date]])</f>
        <v>2013</v>
      </c>
      <c r="C1823" s="1">
        <v>2</v>
      </c>
      <c r="D1823" t="s">
        <v>49</v>
      </c>
      <c r="E1823" s="1">
        <v>4</v>
      </c>
      <c r="F1823" t="s">
        <v>86</v>
      </c>
      <c r="G1823" t="str">
        <f>VLOOKUP(Table1[[#This Row],[Winner]],Ranking!C:D,2,FALSE)</f>
        <v>ACC</v>
      </c>
      <c r="H1823" s="1">
        <v>66</v>
      </c>
      <c r="I1823" s="1">
        <v>12</v>
      </c>
      <c r="J1823" t="s">
        <v>84</v>
      </c>
      <c r="K1823" t="str">
        <f>VLOOKUP(Table1[[#This Row],[Loser]],Ranking!C:D,2,FALSE)</f>
        <v>P12</v>
      </c>
      <c r="L1823" s="1">
        <v>60</v>
      </c>
      <c r="N1823" s="1">
        <f>Table1[[#This Row],[Winning Score]]-Table1[[#This Row],[Losing Score]]</f>
        <v>6</v>
      </c>
      <c r="O1823" s="1">
        <f>Table1[[#This Row],[Losing Seed]]-Table1[[#This Row],[Winning Seed]]</f>
        <v>8</v>
      </c>
      <c r="P1823" s="1" t="str">
        <f>IF(Table1[[#This Row],[SeD]]&lt;-2,Table1[[#This Row],[Winning Seed]]&amp; " over " &amp;Table1[[#This Row],[Losing Seed]],"")</f>
        <v/>
      </c>
      <c r="Q1823">
        <f>VLOOKUP(Table1[[#This Row],[Losing Seed]],'Seed History'!$N$4:$O$19,2)</f>
        <v>0.52083333333333337</v>
      </c>
      <c r="R1823" s="1">
        <f>IF(Table1[[#This Row],[Round]]="PI",0,Table1[[#This Row],[Round]]-1)</f>
        <v>1</v>
      </c>
      <c r="S1823">
        <f>Table1[[#This Row],[LAW]]-Table1[[#This Row],[LEW]]</f>
        <v>0.47916666666666663</v>
      </c>
    </row>
    <row r="1824" spans="1:19" x14ac:dyDescent="0.25">
      <c r="A1824" s="66">
        <v>41356</v>
      </c>
      <c r="B1824" s="51">
        <f>YEAR(Table1[[#This Row],[Date]])</f>
        <v>2013</v>
      </c>
      <c r="C1824" s="1">
        <v>2</v>
      </c>
      <c r="D1824" t="s">
        <v>439</v>
      </c>
      <c r="E1824" s="1">
        <v>1</v>
      </c>
      <c r="F1824" t="s">
        <v>54</v>
      </c>
      <c r="G1824" t="str">
        <f>VLOOKUP(Table1[[#This Row],[Winner]],Ranking!C:D,2,FALSE)</f>
        <v>ACC</v>
      </c>
      <c r="H1824" s="1">
        <v>82</v>
      </c>
      <c r="I1824" s="1">
        <v>8</v>
      </c>
      <c r="J1824" t="s">
        <v>176</v>
      </c>
      <c r="K1824" t="str">
        <f>VLOOKUP(Table1[[#This Row],[Loser]],Ranking!C:D,2,FALSE)</f>
        <v>MWC</v>
      </c>
      <c r="L1824" s="1">
        <v>56</v>
      </c>
      <c r="N1824" s="1">
        <f>Table1[[#This Row],[Winning Score]]-Table1[[#This Row],[Losing Score]]</f>
        <v>26</v>
      </c>
      <c r="O1824" s="1">
        <f>Table1[[#This Row],[Losing Seed]]-Table1[[#This Row],[Winning Seed]]</f>
        <v>7</v>
      </c>
      <c r="P1824" s="1" t="str">
        <f>IF(Table1[[#This Row],[SeD]]&lt;-2,Table1[[#This Row],[Winning Seed]]&amp; " over " &amp;Table1[[#This Row],[Losing Seed]],"")</f>
        <v/>
      </c>
      <c r="Q1824">
        <f>VLOOKUP(Table1[[#This Row],[Losing Seed]],'Seed History'!$N$4:$O$19,2)</f>
        <v>0.70833333333333337</v>
      </c>
      <c r="R1824" s="1">
        <f>IF(Table1[[#This Row],[Round]]="PI",0,Table1[[#This Row],[Round]]-1)</f>
        <v>1</v>
      </c>
      <c r="S1824">
        <f>Table1[[#This Row],[LAW]]-Table1[[#This Row],[LEW]]</f>
        <v>0.29166666666666663</v>
      </c>
    </row>
    <row r="1825" spans="1:19" x14ac:dyDescent="0.25">
      <c r="A1825" s="66">
        <v>41356</v>
      </c>
      <c r="B1825" s="51">
        <f>YEAR(Table1[[#This Row],[Date]])</f>
        <v>2013</v>
      </c>
      <c r="C1825" s="1">
        <v>2</v>
      </c>
      <c r="D1825" t="s">
        <v>439</v>
      </c>
      <c r="E1825" s="1">
        <v>3</v>
      </c>
      <c r="F1825" t="s">
        <v>271</v>
      </c>
      <c r="G1825" t="str">
        <f>VLOOKUP(Table1[[#This Row],[Winner]],Ranking!C:D,2,FALSE)</f>
        <v>B10</v>
      </c>
      <c r="H1825" s="1">
        <v>70</v>
      </c>
      <c r="I1825" s="1">
        <v>6</v>
      </c>
      <c r="J1825" t="s">
        <v>267</v>
      </c>
      <c r="K1825" t="str">
        <f>VLOOKUP(Table1[[#This Row],[Loser]],Ranking!C:D,2,FALSE)</f>
        <v>Amer</v>
      </c>
      <c r="L1825" s="1">
        <v>48</v>
      </c>
      <c r="N1825" s="1">
        <f>Table1[[#This Row],[Winning Score]]-Table1[[#This Row],[Losing Score]]</f>
        <v>22</v>
      </c>
      <c r="O1825" s="1">
        <f>Table1[[#This Row],[Losing Seed]]-Table1[[#This Row],[Winning Seed]]</f>
        <v>3</v>
      </c>
      <c r="P1825" s="1" t="str">
        <f>IF(Table1[[#This Row],[SeD]]&lt;-2,Table1[[#This Row],[Winning Seed]]&amp; " over " &amp;Table1[[#This Row],[Losing Seed]],"")</f>
        <v/>
      </c>
      <c r="Q1825">
        <f>VLOOKUP(Table1[[#This Row],[Losing Seed]],'Seed History'!$N$4:$O$19,2)</f>
        <v>1.0625</v>
      </c>
      <c r="R1825" s="1">
        <f>IF(Table1[[#This Row],[Round]]="PI",0,Table1[[#This Row],[Round]]-1)</f>
        <v>1</v>
      </c>
      <c r="S1825">
        <f>Table1[[#This Row],[LAW]]-Table1[[#This Row],[LEW]]</f>
        <v>-6.25E-2</v>
      </c>
    </row>
    <row r="1826" spans="1:19" x14ac:dyDescent="0.25">
      <c r="A1826" s="66">
        <v>41356</v>
      </c>
      <c r="B1826" s="51">
        <f>YEAR(Table1[[#This Row],[Date]])</f>
        <v>2013</v>
      </c>
      <c r="C1826" s="1">
        <v>2</v>
      </c>
      <c r="D1826" t="s">
        <v>63</v>
      </c>
      <c r="E1826" s="1">
        <v>4</v>
      </c>
      <c r="F1826" t="s">
        <v>82</v>
      </c>
      <c r="G1826" t="str">
        <f>VLOOKUP(Table1[[#This Row],[Winner]],Ranking!C:D,2,FALSE)</f>
        <v>B10</v>
      </c>
      <c r="H1826" s="1">
        <v>78</v>
      </c>
      <c r="I1826" s="1">
        <v>5</v>
      </c>
      <c r="J1826" t="s">
        <v>47</v>
      </c>
      <c r="K1826" t="str">
        <f>VLOOKUP(Table1[[#This Row],[Loser]],Ranking!C:D,2,FALSE)</f>
        <v>A10</v>
      </c>
      <c r="L1826" s="1">
        <v>53</v>
      </c>
      <c r="N1826" s="1">
        <f>Table1[[#This Row],[Winning Score]]-Table1[[#This Row],[Losing Score]]</f>
        <v>25</v>
      </c>
      <c r="O1826" s="1">
        <f>Table1[[#This Row],[Losing Seed]]-Table1[[#This Row],[Winning Seed]]</f>
        <v>1</v>
      </c>
      <c r="P1826" s="1" t="str">
        <f>IF(Table1[[#This Row],[SeD]]&lt;-2,Table1[[#This Row],[Winning Seed]]&amp; " over " &amp;Table1[[#This Row],[Losing Seed]],"")</f>
        <v/>
      </c>
      <c r="Q1826">
        <f>VLOOKUP(Table1[[#This Row],[Losing Seed]],'Seed History'!$N$4:$O$19,2)</f>
        <v>1.1180555555555556</v>
      </c>
      <c r="R1826" s="1">
        <f>IF(Table1[[#This Row],[Round]]="PI",0,Table1[[#This Row],[Round]]-1)</f>
        <v>1</v>
      </c>
      <c r="S1826">
        <f>Table1[[#This Row],[LAW]]-Table1[[#This Row],[LEW]]</f>
        <v>-0.11805555555555558</v>
      </c>
    </row>
    <row r="1827" spans="1:19" x14ac:dyDescent="0.25">
      <c r="A1827" s="66">
        <v>41356</v>
      </c>
      <c r="B1827" s="51">
        <f>YEAR(Table1[[#This Row],[Date]])</f>
        <v>2013</v>
      </c>
      <c r="C1827" s="1">
        <v>2</v>
      </c>
      <c r="D1827" t="s">
        <v>38</v>
      </c>
      <c r="E1827" s="1">
        <v>6</v>
      </c>
      <c r="F1827" t="s">
        <v>48</v>
      </c>
      <c r="G1827" t="str">
        <f>VLOOKUP(Table1[[#This Row],[Winner]],Ranking!C:D,2,FALSE)</f>
        <v>P12</v>
      </c>
      <c r="H1827" s="1">
        <v>74</v>
      </c>
      <c r="I1827" s="1">
        <v>14</v>
      </c>
      <c r="J1827" t="s">
        <v>43</v>
      </c>
      <c r="K1827" t="str">
        <f>VLOOKUP(Table1[[#This Row],[Loser]],Ranking!C:D,2,FALSE)</f>
        <v>Ivy</v>
      </c>
      <c r="L1827" s="1">
        <v>51</v>
      </c>
      <c r="N1827" s="1">
        <f>Table1[[#This Row],[Winning Score]]-Table1[[#This Row],[Losing Score]]</f>
        <v>23</v>
      </c>
      <c r="O1827" s="1">
        <f>Table1[[#This Row],[Losing Seed]]-Table1[[#This Row],[Winning Seed]]</f>
        <v>8</v>
      </c>
      <c r="P1827" s="1" t="str">
        <f>IF(Table1[[#This Row],[SeD]]&lt;-2,Table1[[#This Row],[Winning Seed]]&amp; " over " &amp;Table1[[#This Row],[Losing Seed]],"")</f>
        <v/>
      </c>
      <c r="Q1827">
        <f>VLOOKUP(Table1[[#This Row],[Losing Seed]],'Seed History'!$N$4:$O$19,2)</f>
        <v>0.16666666666666666</v>
      </c>
      <c r="R1827" s="1">
        <f>IF(Table1[[#This Row],[Round]]="PI",0,Table1[[#This Row],[Round]]-1)</f>
        <v>1</v>
      </c>
      <c r="S1827">
        <f>Table1[[#This Row],[LAW]]-Table1[[#This Row],[LEW]]</f>
        <v>0.83333333333333337</v>
      </c>
    </row>
    <row r="1828" spans="1:19" x14ac:dyDescent="0.25">
      <c r="A1828" s="66">
        <v>41357</v>
      </c>
      <c r="B1828" s="51">
        <f>YEAR(Table1[[#This Row],[Date]])</f>
        <v>2013</v>
      </c>
      <c r="C1828" s="1">
        <v>2</v>
      </c>
      <c r="D1828" t="s">
        <v>63</v>
      </c>
      <c r="E1828" s="1">
        <v>15</v>
      </c>
      <c r="F1828" t="s">
        <v>205</v>
      </c>
      <c r="G1828" t="str">
        <f>VLOOKUP(Table1[[#This Row],[Winner]],Ranking!C:D,2,FALSE)</f>
        <v>ASun</v>
      </c>
      <c r="H1828" s="1">
        <v>81</v>
      </c>
      <c r="I1828" s="1">
        <v>7</v>
      </c>
      <c r="J1828" t="s">
        <v>344</v>
      </c>
      <c r="K1828" t="str">
        <f>VLOOKUP(Table1[[#This Row],[Loser]],Ranking!C:D,2,FALSE)</f>
        <v>MWC</v>
      </c>
      <c r="L1828" s="1">
        <v>71</v>
      </c>
      <c r="N1828" s="1">
        <f>Table1[[#This Row],[Winning Score]]-Table1[[#This Row],[Losing Score]]</f>
        <v>10</v>
      </c>
      <c r="O1828" s="1">
        <f>Table1[[#This Row],[Losing Seed]]-Table1[[#This Row],[Winning Seed]]</f>
        <v>-8</v>
      </c>
      <c r="P1828" s="1" t="str">
        <f>IF(Table1[[#This Row],[SeD]]&lt;-2,Table1[[#This Row],[Winning Seed]]&amp; " over " &amp;Table1[[#This Row],[Losing Seed]],"")</f>
        <v>15 over 7</v>
      </c>
      <c r="Q1828">
        <f>VLOOKUP(Table1[[#This Row],[Losing Seed]],'Seed History'!$N$4:$O$19,2)</f>
        <v>0.90277777777777779</v>
      </c>
      <c r="R1828" s="1">
        <f>IF(Table1[[#This Row],[Round]]="PI",0,Table1[[#This Row],[Round]]-1)</f>
        <v>1</v>
      </c>
      <c r="S1828">
        <f>Table1[[#This Row],[LAW]]-Table1[[#This Row],[LEW]]</f>
        <v>9.722222222222221E-2</v>
      </c>
    </row>
    <row r="1829" spans="1:19" x14ac:dyDescent="0.25">
      <c r="A1829" s="66">
        <v>41357</v>
      </c>
      <c r="B1829" s="51">
        <f>YEAR(Table1[[#This Row],[Date]])</f>
        <v>2013</v>
      </c>
      <c r="C1829" s="1">
        <v>2</v>
      </c>
      <c r="D1829" t="s">
        <v>49</v>
      </c>
      <c r="E1829" s="1">
        <v>1</v>
      </c>
      <c r="F1829" t="s">
        <v>36</v>
      </c>
      <c r="G1829" t="str">
        <f>VLOOKUP(Table1[[#This Row],[Winner]],Ranking!C:D,2,FALSE)</f>
        <v>B10</v>
      </c>
      <c r="H1829" s="1">
        <v>58</v>
      </c>
      <c r="I1829" s="1">
        <v>9</v>
      </c>
      <c r="J1829" t="s">
        <v>373</v>
      </c>
      <c r="K1829" t="str">
        <f>VLOOKUP(Table1[[#This Row],[Loser]],Ranking!C:D,2,FALSE)</f>
        <v>Amer</v>
      </c>
      <c r="L1829" s="1">
        <v>52</v>
      </c>
      <c r="N1829" s="1">
        <f>Table1[[#This Row],[Winning Score]]-Table1[[#This Row],[Losing Score]]</f>
        <v>6</v>
      </c>
      <c r="O1829" s="1">
        <f>Table1[[#This Row],[Losing Seed]]-Table1[[#This Row],[Winning Seed]]</f>
        <v>8</v>
      </c>
      <c r="P1829" s="1" t="str">
        <f>IF(Table1[[#This Row],[SeD]]&lt;-2,Table1[[#This Row],[Winning Seed]]&amp; " over " &amp;Table1[[#This Row],[Losing Seed]],"")</f>
        <v/>
      </c>
      <c r="Q1829">
        <f>VLOOKUP(Table1[[#This Row],[Losing Seed]],'Seed History'!$N$4:$O$19,2)</f>
        <v>0.59027777777777779</v>
      </c>
      <c r="R1829" s="1">
        <f>IF(Table1[[#This Row],[Round]]="PI",0,Table1[[#This Row],[Round]]-1)</f>
        <v>1</v>
      </c>
      <c r="S1829">
        <f>Table1[[#This Row],[LAW]]-Table1[[#This Row],[LEW]]</f>
        <v>0.40972222222222221</v>
      </c>
    </row>
    <row r="1830" spans="1:19" x14ac:dyDescent="0.25">
      <c r="A1830" s="66">
        <v>41357</v>
      </c>
      <c r="B1830" s="51">
        <f>YEAR(Table1[[#This Row],[Date]])</f>
        <v>2013</v>
      </c>
      <c r="C1830" s="1">
        <v>2</v>
      </c>
      <c r="D1830" t="s">
        <v>49</v>
      </c>
      <c r="E1830" s="1">
        <v>2</v>
      </c>
      <c r="F1830" t="s">
        <v>269</v>
      </c>
      <c r="G1830" t="str">
        <f>VLOOKUP(Table1[[#This Row],[Winner]],Ranking!C:D,2,FALSE)</f>
        <v>ACC</v>
      </c>
      <c r="H1830" s="1">
        <v>63</v>
      </c>
      <c r="I1830" s="1">
        <v>7</v>
      </c>
      <c r="J1830" t="s">
        <v>230</v>
      </c>
      <c r="K1830" t="str">
        <f>VLOOKUP(Table1[[#This Row],[Loser]],Ranking!C:D,2,FALSE)</f>
        <v>B10</v>
      </c>
      <c r="L1830" s="1">
        <v>59</v>
      </c>
      <c r="N1830" s="1">
        <f>Table1[[#This Row],[Winning Score]]-Table1[[#This Row],[Losing Score]]</f>
        <v>4</v>
      </c>
      <c r="O1830" s="1">
        <f>Table1[[#This Row],[Losing Seed]]-Table1[[#This Row],[Winning Seed]]</f>
        <v>5</v>
      </c>
      <c r="P1830" s="1" t="str">
        <f>IF(Table1[[#This Row],[SeD]]&lt;-2,Table1[[#This Row],[Winning Seed]]&amp; " over " &amp;Table1[[#This Row],[Losing Seed]],"")</f>
        <v/>
      </c>
      <c r="Q1830">
        <f>VLOOKUP(Table1[[#This Row],[Losing Seed]],'Seed History'!$N$4:$O$19,2)</f>
        <v>0.90277777777777779</v>
      </c>
      <c r="R1830" s="1">
        <f>IF(Table1[[#This Row],[Round]]="PI",0,Table1[[#This Row],[Round]]-1)</f>
        <v>1</v>
      </c>
      <c r="S1830">
        <f>Table1[[#This Row],[LAW]]-Table1[[#This Row],[LEW]]</f>
        <v>9.722222222222221E-2</v>
      </c>
    </row>
    <row r="1831" spans="1:19" x14ac:dyDescent="0.25">
      <c r="A1831" s="66">
        <v>41357</v>
      </c>
      <c r="B1831" s="51">
        <f>YEAR(Table1[[#This Row],[Date]])</f>
        <v>2013</v>
      </c>
      <c r="C1831" s="1">
        <v>2</v>
      </c>
      <c r="D1831" t="s">
        <v>439</v>
      </c>
      <c r="E1831" s="1">
        <v>2</v>
      </c>
      <c r="F1831" t="s">
        <v>64</v>
      </c>
      <c r="G1831" t="str">
        <f>VLOOKUP(Table1[[#This Row],[Winner]],Ranking!C:D,2,FALSE)</f>
        <v>ACC</v>
      </c>
      <c r="H1831" s="1">
        <v>66</v>
      </c>
      <c r="I1831" s="1">
        <v>7</v>
      </c>
      <c r="J1831" t="s">
        <v>88</v>
      </c>
      <c r="K1831" t="str">
        <f>VLOOKUP(Table1[[#This Row],[Loser]],Ranking!C:D,2,FALSE)</f>
        <v>BE</v>
      </c>
      <c r="L1831" s="1">
        <v>50</v>
      </c>
      <c r="N1831" s="1">
        <f>Table1[[#This Row],[Winning Score]]-Table1[[#This Row],[Losing Score]]</f>
        <v>16</v>
      </c>
      <c r="O1831" s="1">
        <f>Table1[[#This Row],[Losing Seed]]-Table1[[#This Row],[Winning Seed]]</f>
        <v>5</v>
      </c>
      <c r="P1831" s="1" t="str">
        <f>IF(Table1[[#This Row],[SeD]]&lt;-2,Table1[[#This Row],[Winning Seed]]&amp; " over " &amp;Table1[[#This Row],[Losing Seed]],"")</f>
        <v/>
      </c>
      <c r="Q1831">
        <f>VLOOKUP(Table1[[#This Row],[Losing Seed]],'Seed History'!$N$4:$O$19,2)</f>
        <v>0.90277777777777779</v>
      </c>
      <c r="R1831" s="1">
        <f>IF(Table1[[#This Row],[Round]]="PI",0,Table1[[#This Row],[Round]]-1)</f>
        <v>1</v>
      </c>
      <c r="S1831">
        <f>Table1[[#This Row],[LAW]]-Table1[[#This Row],[LEW]]</f>
        <v>9.722222222222221E-2</v>
      </c>
    </row>
    <row r="1832" spans="1:19" x14ac:dyDescent="0.25">
      <c r="A1832" s="66">
        <v>41357</v>
      </c>
      <c r="B1832" s="51">
        <f>YEAR(Table1[[#This Row],[Date]])</f>
        <v>2013</v>
      </c>
      <c r="C1832" s="1">
        <v>2</v>
      </c>
      <c r="D1832" t="s">
        <v>63</v>
      </c>
      <c r="E1832" s="1">
        <v>1</v>
      </c>
      <c r="F1832" t="s">
        <v>37</v>
      </c>
      <c r="G1832" t="str">
        <f>VLOOKUP(Table1[[#This Row],[Winner]],Ranking!C:D,2,FALSE)</f>
        <v>B12</v>
      </c>
      <c r="H1832" s="1">
        <v>70</v>
      </c>
      <c r="I1832" s="1">
        <v>8</v>
      </c>
      <c r="J1832" t="s">
        <v>298</v>
      </c>
      <c r="K1832" t="str">
        <f>VLOOKUP(Table1[[#This Row],[Loser]],Ranking!C:D,2,FALSE)</f>
        <v>ACC</v>
      </c>
      <c r="L1832" s="1">
        <v>58</v>
      </c>
      <c r="N1832" s="1">
        <f>Table1[[#This Row],[Winning Score]]-Table1[[#This Row],[Losing Score]]</f>
        <v>12</v>
      </c>
      <c r="O1832" s="1">
        <f>Table1[[#This Row],[Losing Seed]]-Table1[[#This Row],[Winning Seed]]</f>
        <v>7</v>
      </c>
      <c r="P1832" s="1" t="str">
        <f>IF(Table1[[#This Row],[SeD]]&lt;-2,Table1[[#This Row],[Winning Seed]]&amp; " over " &amp;Table1[[#This Row],[Losing Seed]],"")</f>
        <v/>
      </c>
      <c r="Q1832">
        <f>VLOOKUP(Table1[[#This Row],[Losing Seed]],'Seed History'!$N$4:$O$19,2)</f>
        <v>0.70833333333333337</v>
      </c>
      <c r="R1832" s="1">
        <f>IF(Table1[[#This Row],[Round]]="PI",0,Table1[[#This Row],[Round]]-1)</f>
        <v>1</v>
      </c>
      <c r="S1832">
        <f>Table1[[#This Row],[LAW]]-Table1[[#This Row],[LEW]]</f>
        <v>0.29166666666666663</v>
      </c>
    </row>
    <row r="1833" spans="1:19" x14ac:dyDescent="0.25">
      <c r="A1833" s="66">
        <v>41357</v>
      </c>
      <c r="B1833" s="51">
        <f>YEAR(Table1[[#This Row],[Date]])</f>
        <v>2013</v>
      </c>
      <c r="C1833" s="1">
        <v>2</v>
      </c>
      <c r="D1833" t="s">
        <v>63</v>
      </c>
      <c r="E1833" s="1">
        <v>3</v>
      </c>
      <c r="F1833" t="s">
        <v>81</v>
      </c>
      <c r="G1833" t="str">
        <f>VLOOKUP(Table1[[#This Row],[Winner]],Ranking!C:D,2,FALSE)</f>
        <v>SEC</v>
      </c>
      <c r="H1833" s="1">
        <v>78</v>
      </c>
      <c r="I1833" s="1">
        <v>11</v>
      </c>
      <c r="J1833" t="s">
        <v>274</v>
      </c>
      <c r="K1833" t="str">
        <f>VLOOKUP(Table1[[#This Row],[Loser]],Ranking!C:D,2,FALSE)</f>
        <v>B10</v>
      </c>
      <c r="L1833" s="1">
        <v>64</v>
      </c>
      <c r="N1833" s="1">
        <f>Table1[[#This Row],[Winning Score]]-Table1[[#This Row],[Losing Score]]</f>
        <v>14</v>
      </c>
      <c r="O1833" s="1">
        <f>Table1[[#This Row],[Losing Seed]]-Table1[[#This Row],[Winning Seed]]</f>
        <v>8</v>
      </c>
      <c r="P1833" s="1" t="str">
        <f>IF(Table1[[#This Row],[SeD]]&lt;-2,Table1[[#This Row],[Winning Seed]]&amp; " over " &amp;Table1[[#This Row],[Losing Seed]],"")</f>
        <v/>
      </c>
      <c r="Q1833">
        <f>VLOOKUP(Table1[[#This Row],[Losing Seed]],'Seed History'!$N$4:$O$19,2)</f>
        <v>0.63194444444444442</v>
      </c>
      <c r="R1833" s="1">
        <f>IF(Table1[[#This Row],[Round]]="PI",0,Table1[[#This Row],[Round]]-1)</f>
        <v>1</v>
      </c>
      <c r="S1833">
        <f>Table1[[#This Row],[LAW]]-Table1[[#This Row],[LEW]]</f>
        <v>0.36805555555555558</v>
      </c>
    </row>
    <row r="1834" spans="1:19" x14ac:dyDescent="0.25">
      <c r="A1834" s="66">
        <v>41357</v>
      </c>
      <c r="B1834" s="51">
        <f>YEAR(Table1[[#This Row],[Date]])</f>
        <v>2013</v>
      </c>
      <c r="C1834" s="1">
        <v>2</v>
      </c>
      <c r="D1834" t="s">
        <v>38</v>
      </c>
      <c r="E1834" s="1">
        <v>2</v>
      </c>
      <c r="F1834" t="s">
        <v>315</v>
      </c>
      <c r="G1834" t="str">
        <f>VLOOKUP(Table1[[#This Row],[Winner]],Ranking!C:D,2,FALSE)</f>
        <v>B10</v>
      </c>
      <c r="H1834" s="1">
        <v>78</v>
      </c>
      <c r="I1834" s="1">
        <v>10</v>
      </c>
      <c r="J1834" t="s">
        <v>237</v>
      </c>
      <c r="K1834" t="str">
        <f>VLOOKUP(Table1[[#This Row],[Loser]],Ranking!C:D,2,FALSE)</f>
        <v>B12</v>
      </c>
      <c r="L1834" s="1">
        <v>75</v>
      </c>
      <c r="N1834" s="1">
        <f>Table1[[#This Row],[Winning Score]]-Table1[[#This Row],[Losing Score]]</f>
        <v>3</v>
      </c>
      <c r="O1834" s="1">
        <f>Table1[[#This Row],[Losing Seed]]-Table1[[#This Row],[Winning Seed]]</f>
        <v>8</v>
      </c>
      <c r="P1834" s="1" t="str">
        <f>IF(Table1[[#This Row],[SeD]]&lt;-2,Table1[[#This Row],[Winning Seed]]&amp; " over " &amp;Table1[[#This Row],[Losing Seed]],"")</f>
        <v/>
      </c>
      <c r="Q1834">
        <f>VLOOKUP(Table1[[#This Row],[Losing Seed]],'Seed History'!$N$4:$O$19,2)</f>
        <v>0.61805555555555558</v>
      </c>
      <c r="R1834" s="1">
        <f>IF(Table1[[#This Row],[Round]]="PI",0,Table1[[#This Row],[Round]]-1)</f>
        <v>1</v>
      </c>
      <c r="S1834">
        <f>Table1[[#This Row],[LAW]]-Table1[[#This Row],[LEW]]</f>
        <v>0.38194444444444442</v>
      </c>
    </row>
    <row r="1835" spans="1:19" x14ac:dyDescent="0.25">
      <c r="A1835" s="66">
        <v>41357</v>
      </c>
      <c r="B1835" s="51">
        <f>YEAR(Table1[[#This Row],[Date]])</f>
        <v>2013</v>
      </c>
      <c r="C1835" s="1">
        <v>2</v>
      </c>
      <c r="D1835" t="s">
        <v>38</v>
      </c>
      <c r="E1835" s="1">
        <v>13</v>
      </c>
      <c r="F1835" t="s">
        <v>246</v>
      </c>
      <c r="G1835" t="str">
        <f>VLOOKUP(Table1[[#This Row],[Winner]],Ranking!C:D,2,FALSE)</f>
        <v>A10</v>
      </c>
      <c r="H1835" s="1">
        <v>76</v>
      </c>
      <c r="I1835" s="1">
        <v>12</v>
      </c>
      <c r="J1835" t="s">
        <v>45</v>
      </c>
      <c r="K1835" t="str">
        <f>VLOOKUP(Table1[[#This Row],[Loser]],Ranking!C:D,2,FALSE)</f>
        <v>SEC</v>
      </c>
      <c r="L1835" s="1">
        <v>74</v>
      </c>
      <c r="N1835" s="1">
        <f>Table1[[#This Row],[Winning Score]]-Table1[[#This Row],[Losing Score]]</f>
        <v>2</v>
      </c>
      <c r="O1835" s="1">
        <f>Table1[[#This Row],[Losing Seed]]-Table1[[#This Row],[Winning Seed]]</f>
        <v>-1</v>
      </c>
      <c r="P1835" s="1" t="str">
        <f>IF(Table1[[#This Row],[SeD]]&lt;-2,Table1[[#This Row],[Winning Seed]]&amp; " over " &amp;Table1[[#This Row],[Losing Seed]],"")</f>
        <v/>
      </c>
      <c r="Q1835">
        <f>VLOOKUP(Table1[[#This Row],[Losing Seed]],'Seed History'!$N$4:$O$19,2)</f>
        <v>0.52083333333333337</v>
      </c>
      <c r="R1835" s="1">
        <f>IF(Table1[[#This Row],[Round]]="PI",0,Table1[[#This Row],[Round]]-1)</f>
        <v>1</v>
      </c>
      <c r="S1835">
        <f>Table1[[#This Row],[LAW]]-Table1[[#This Row],[LEW]]</f>
        <v>0.47916666666666663</v>
      </c>
    </row>
    <row r="1836" spans="1:19" x14ac:dyDescent="0.25">
      <c r="A1836" s="66">
        <v>41361</v>
      </c>
      <c r="B1836" s="51">
        <f>YEAR(Table1[[#This Row],[Date]])</f>
        <v>2013</v>
      </c>
      <c r="C1836" s="1">
        <v>3</v>
      </c>
      <c r="D1836" t="s">
        <v>49</v>
      </c>
      <c r="E1836" s="1">
        <v>4</v>
      </c>
      <c r="F1836" t="s">
        <v>86</v>
      </c>
      <c r="G1836" t="str">
        <f>VLOOKUP(Table1[[#This Row],[Winner]],Ranking!C:D,2,FALSE)</f>
        <v>ACC</v>
      </c>
      <c r="H1836" s="1">
        <v>61</v>
      </c>
      <c r="I1836" s="1">
        <v>1</v>
      </c>
      <c r="J1836" t="s">
        <v>36</v>
      </c>
      <c r="K1836" t="str">
        <f>VLOOKUP(Table1[[#This Row],[Loser]],Ranking!C:D,2,FALSE)</f>
        <v>B10</v>
      </c>
      <c r="L1836" s="1">
        <v>50</v>
      </c>
      <c r="N1836" s="1">
        <f>Table1[[#This Row],[Winning Score]]-Table1[[#This Row],[Losing Score]]</f>
        <v>11</v>
      </c>
      <c r="O1836" s="1">
        <f>Table1[[#This Row],[Losing Seed]]-Table1[[#This Row],[Winning Seed]]</f>
        <v>-3</v>
      </c>
      <c r="P1836" s="1" t="str">
        <f>IF(Table1[[#This Row],[SeD]]&lt;-2,Table1[[#This Row],[Winning Seed]]&amp; " over " &amp;Table1[[#This Row],[Losing Seed]],"")</f>
        <v>4 over 1</v>
      </c>
      <c r="Q1836">
        <f>VLOOKUP(Table1[[#This Row],[Losing Seed]],'Seed History'!$N$4:$O$19,2)</f>
        <v>3.3263888888888888</v>
      </c>
      <c r="R1836" s="1">
        <f>IF(Table1[[#This Row],[Round]]="PI",0,Table1[[#This Row],[Round]]-1)</f>
        <v>2</v>
      </c>
      <c r="S1836">
        <f>Table1[[#This Row],[LAW]]-Table1[[#This Row],[LEW]]</f>
        <v>-1.3263888888888888</v>
      </c>
    </row>
    <row r="1837" spans="1:19" x14ac:dyDescent="0.25">
      <c r="A1837" s="66">
        <v>41361</v>
      </c>
      <c r="B1837" s="51">
        <f>YEAR(Table1[[#This Row],[Date]])</f>
        <v>2013</v>
      </c>
      <c r="C1837" s="1">
        <v>3</v>
      </c>
      <c r="D1837" t="s">
        <v>38</v>
      </c>
      <c r="E1837" s="1">
        <v>2</v>
      </c>
      <c r="F1837" t="s">
        <v>315</v>
      </c>
      <c r="G1837" t="str">
        <f>VLOOKUP(Table1[[#This Row],[Winner]],Ranking!C:D,2,FALSE)</f>
        <v>B10</v>
      </c>
      <c r="H1837" s="1">
        <v>73</v>
      </c>
      <c r="I1837" s="1">
        <v>6</v>
      </c>
      <c r="J1837" t="s">
        <v>48</v>
      </c>
      <c r="K1837" t="str">
        <f>VLOOKUP(Table1[[#This Row],[Loser]],Ranking!C:D,2,FALSE)</f>
        <v>P12</v>
      </c>
      <c r="L1837" s="1">
        <v>70</v>
      </c>
      <c r="N1837" s="1">
        <f>Table1[[#This Row],[Winning Score]]-Table1[[#This Row],[Losing Score]]</f>
        <v>3</v>
      </c>
      <c r="O1837" s="1">
        <f>Table1[[#This Row],[Losing Seed]]-Table1[[#This Row],[Winning Seed]]</f>
        <v>4</v>
      </c>
      <c r="P1837" s="1" t="str">
        <f>IF(Table1[[#This Row],[SeD]]&lt;-2,Table1[[#This Row],[Winning Seed]]&amp; " over " &amp;Table1[[#This Row],[Losing Seed]],"")</f>
        <v/>
      </c>
      <c r="Q1837">
        <f>VLOOKUP(Table1[[#This Row],[Losing Seed]],'Seed History'!$N$4:$O$19,2)</f>
        <v>1.0625</v>
      </c>
      <c r="R1837" s="1">
        <f>IF(Table1[[#This Row],[Round]]="PI",0,Table1[[#This Row],[Round]]-1)</f>
        <v>2</v>
      </c>
      <c r="S1837">
        <f>Table1[[#This Row],[LAW]]-Table1[[#This Row],[LEW]]</f>
        <v>0.9375</v>
      </c>
    </row>
    <row r="1838" spans="1:19" x14ac:dyDescent="0.25">
      <c r="A1838" s="66">
        <v>41361</v>
      </c>
      <c r="B1838" s="51">
        <f>YEAR(Table1[[#This Row],[Date]])</f>
        <v>2013</v>
      </c>
      <c r="C1838" s="1">
        <v>3</v>
      </c>
      <c r="D1838" t="s">
        <v>38</v>
      </c>
      <c r="E1838" s="1">
        <v>9</v>
      </c>
      <c r="F1838" t="s">
        <v>417</v>
      </c>
      <c r="G1838" t="str">
        <f>VLOOKUP(Table1[[#This Row],[Winner]],Ranking!C:D,2,FALSE)</f>
        <v>Amer</v>
      </c>
      <c r="H1838" s="1">
        <v>72</v>
      </c>
      <c r="I1838" s="1">
        <v>13</v>
      </c>
      <c r="J1838" t="s">
        <v>246</v>
      </c>
      <c r="K1838" t="str">
        <f>VLOOKUP(Table1[[#This Row],[Loser]],Ranking!C:D,2,FALSE)</f>
        <v>A10</v>
      </c>
      <c r="L1838" s="1">
        <v>58</v>
      </c>
      <c r="N1838" s="1">
        <f>Table1[[#This Row],[Winning Score]]-Table1[[#This Row],[Losing Score]]</f>
        <v>14</v>
      </c>
      <c r="O1838" s="1">
        <f>Table1[[#This Row],[Losing Seed]]-Table1[[#This Row],[Winning Seed]]</f>
        <v>4</v>
      </c>
      <c r="P1838" s="1" t="str">
        <f>IF(Table1[[#This Row],[SeD]]&lt;-2,Table1[[#This Row],[Winning Seed]]&amp; " over " &amp;Table1[[#This Row],[Losing Seed]],"")</f>
        <v/>
      </c>
      <c r="Q1838">
        <f>VLOOKUP(Table1[[#This Row],[Losing Seed]],'Seed History'!$N$4:$O$19,2)</f>
        <v>0.25694444444444442</v>
      </c>
      <c r="R1838" s="1">
        <f>IF(Table1[[#This Row],[Round]]="PI",0,Table1[[#This Row],[Round]]-1)</f>
        <v>2</v>
      </c>
      <c r="S1838">
        <f>Table1[[#This Row],[LAW]]-Table1[[#This Row],[LEW]]</f>
        <v>1.7430555555555556</v>
      </c>
    </row>
    <row r="1839" spans="1:19" x14ac:dyDescent="0.25">
      <c r="A1839" s="66">
        <v>41361</v>
      </c>
      <c r="B1839" s="51">
        <f>YEAR(Table1[[#This Row],[Date]])</f>
        <v>2013</v>
      </c>
      <c r="C1839" s="1">
        <v>3</v>
      </c>
      <c r="D1839" t="s">
        <v>49</v>
      </c>
      <c r="E1839" s="1">
        <v>3</v>
      </c>
      <c r="F1839" t="s">
        <v>262</v>
      </c>
      <c r="G1839" t="str">
        <f>VLOOKUP(Table1[[#This Row],[Winner]],Ranking!C:D,2,FALSE)</f>
        <v>BE</v>
      </c>
      <c r="H1839" s="1">
        <v>71</v>
      </c>
      <c r="I1839" s="1">
        <v>2</v>
      </c>
      <c r="J1839" t="s">
        <v>269</v>
      </c>
      <c r="K1839" t="str">
        <f>VLOOKUP(Table1[[#This Row],[Loser]],Ranking!C:D,2,FALSE)</f>
        <v>ACC</v>
      </c>
      <c r="L1839" s="1">
        <v>61</v>
      </c>
      <c r="N1839" s="1">
        <f>Table1[[#This Row],[Winning Score]]-Table1[[#This Row],[Losing Score]]</f>
        <v>10</v>
      </c>
      <c r="O1839" s="1">
        <f>Table1[[#This Row],[Losing Seed]]-Table1[[#This Row],[Winning Seed]]</f>
        <v>-1</v>
      </c>
      <c r="P1839" s="1" t="str">
        <f>IF(Table1[[#This Row],[SeD]]&lt;-2,Table1[[#This Row],[Winning Seed]]&amp; " over " &amp;Table1[[#This Row],[Losing Seed]],"")</f>
        <v/>
      </c>
      <c r="Q1839">
        <f>VLOOKUP(Table1[[#This Row],[Losing Seed]],'Seed History'!$N$4:$O$19,2)</f>
        <v>2.3472222222222223</v>
      </c>
      <c r="R1839" s="1">
        <f>IF(Table1[[#This Row],[Round]]="PI",0,Table1[[#This Row],[Round]]-1)</f>
        <v>2</v>
      </c>
      <c r="S1839">
        <f>Table1[[#This Row],[LAW]]-Table1[[#This Row],[LEW]]</f>
        <v>-0.34722222222222232</v>
      </c>
    </row>
    <row r="1840" spans="1:19" x14ac:dyDescent="0.25">
      <c r="A1840" s="66">
        <v>41362</v>
      </c>
      <c r="B1840" s="51">
        <f>YEAR(Table1[[#This Row],[Date]])</f>
        <v>2013</v>
      </c>
      <c r="C1840" s="1">
        <v>3</v>
      </c>
      <c r="D1840" t="s">
        <v>63</v>
      </c>
      <c r="E1840" s="1">
        <v>4</v>
      </c>
      <c r="F1840" t="s">
        <v>82</v>
      </c>
      <c r="G1840" t="str">
        <f>VLOOKUP(Table1[[#This Row],[Winner]],Ranking!C:D,2,FALSE)</f>
        <v>B10</v>
      </c>
      <c r="H1840" s="1">
        <v>87</v>
      </c>
      <c r="I1840" s="1">
        <v>1</v>
      </c>
      <c r="J1840" t="s">
        <v>37</v>
      </c>
      <c r="K1840" t="str">
        <f>VLOOKUP(Table1[[#This Row],[Loser]],Ranking!C:D,2,FALSE)</f>
        <v>B12</v>
      </c>
      <c r="L1840" s="1">
        <v>85</v>
      </c>
      <c r="M1840" s="1" t="s">
        <v>462</v>
      </c>
      <c r="N1840" s="1">
        <f>Table1[[#This Row],[Winning Score]]-Table1[[#This Row],[Losing Score]]</f>
        <v>2</v>
      </c>
      <c r="O1840" s="1">
        <f>Table1[[#This Row],[Losing Seed]]-Table1[[#This Row],[Winning Seed]]</f>
        <v>-3</v>
      </c>
      <c r="P1840" s="1" t="str">
        <f>IF(Table1[[#This Row],[SeD]]&lt;-2,Table1[[#This Row],[Winning Seed]]&amp; " over " &amp;Table1[[#This Row],[Losing Seed]],"")</f>
        <v>4 over 1</v>
      </c>
      <c r="Q1840">
        <f>VLOOKUP(Table1[[#This Row],[Losing Seed]],'Seed History'!$N$4:$O$19,2)</f>
        <v>3.3263888888888888</v>
      </c>
      <c r="R1840" s="1">
        <f>IF(Table1[[#This Row],[Round]]="PI",0,Table1[[#This Row],[Round]]-1)</f>
        <v>2</v>
      </c>
      <c r="S1840">
        <f>Table1[[#This Row],[LAW]]-Table1[[#This Row],[LEW]]</f>
        <v>-1.3263888888888888</v>
      </c>
    </row>
    <row r="1841" spans="1:19" x14ac:dyDescent="0.25">
      <c r="A1841" s="66">
        <v>41362</v>
      </c>
      <c r="B1841" s="51">
        <f>YEAR(Table1[[#This Row],[Date]])</f>
        <v>2013</v>
      </c>
      <c r="C1841" s="1">
        <v>3</v>
      </c>
      <c r="D1841" t="s">
        <v>439</v>
      </c>
      <c r="E1841" s="1">
        <v>1</v>
      </c>
      <c r="F1841" t="s">
        <v>54</v>
      </c>
      <c r="G1841" t="str">
        <f>VLOOKUP(Table1[[#This Row],[Winner]],Ranking!C:D,2,FALSE)</f>
        <v>ACC</v>
      </c>
      <c r="H1841" s="1">
        <v>77</v>
      </c>
      <c r="I1841" s="1">
        <v>12</v>
      </c>
      <c r="J1841" t="s">
        <v>40</v>
      </c>
      <c r="K1841" t="str">
        <f>VLOOKUP(Table1[[#This Row],[Loser]],Ranking!C:D,2,FALSE)</f>
        <v>P12</v>
      </c>
      <c r="L1841" s="1">
        <v>69</v>
      </c>
      <c r="N1841" s="1">
        <f>Table1[[#This Row],[Winning Score]]-Table1[[#This Row],[Losing Score]]</f>
        <v>8</v>
      </c>
      <c r="O1841" s="1">
        <f>Table1[[#This Row],[Losing Seed]]-Table1[[#This Row],[Winning Seed]]</f>
        <v>11</v>
      </c>
      <c r="P1841" s="1" t="str">
        <f>IF(Table1[[#This Row],[SeD]]&lt;-2,Table1[[#This Row],[Winning Seed]]&amp; " over " &amp;Table1[[#This Row],[Losing Seed]],"")</f>
        <v/>
      </c>
      <c r="Q1841">
        <f>VLOOKUP(Table1[[#This Row],[Losing Seed]],'Seed History'!$N$4:$O$19,2)</f>
        <v>0.52083333333333337</v>
      </c>
      <c r="R1841" s="1">
        <f>IF(Table1[[#This Row],[Round]]="PI",0,Table1[[#This Row],[Round]]-1)</f>
        <v>2</v>
      </c>
      <c r="S1841">
        <f>Table1[[#This Row],[LAW]]-Table1[[#This Row],[LEW]]</f>
        <v>1.4791666666666665</v>
      </c>
    </row>
    <row r="1842" spans="1:19" x14ac:dyDescent="0.25">
      <c r="A1842" s="66">
        <v>41362</v>
      </c>
      <c r="B1842" s="51">
        <f>YEAR(Table1[[#This Row],[Date]])</f>
        <v>2013</v>
      </c>
      <c r="C1842" s="1">
        <v>3</v>
      </c>
      <c r="D1842" t="s">
        <v>439</v>
      </c>
      <c r="E1842" s="1">
        <v>2</v>
      </c>
      <c r="F1842" t="s">
        <v>64</v>
      </c>
      <c r="G1842" t="str">
        <f>VLOOKUP(Table1[[#This Row],[Winner]],Ranking!C:D,2,FALSE)</f>
        <v>ACC</v>
      </c>
      <c r="H1842" s="1">
        <v>71</v>
      </c>
      <c r="I1842" s="1">
        <v>3</v>
      </c>
      <c r="J1842" t="s">
        <v>271</v>
      </c>
      <c r="K1842" t="str">
        <f>VLOOKUP(Table1[[#This Row],[Loser]],Ranking!C:D,2,FALSE)</f>
        <v>B10</v>
      </c>
      <c r="L1842" s="1">
        <v>61</v>
      </c>
      <c r="N1842" s="1">
        <f>Table1[[#This Row],[Winning Score]]-Table1[[#This Row],[Losing Score]]</f>
        <v>10</v>
      </c>
      <c r="O1842" s="1">
        <f>Table1[[#This Row],[Losing Seed]]-Table1[[#This Row],[Winning Seed]]</f>
        <v>1</v>
      </c>
      <c r="P1842" s="1" t="str">
        <f>IF(Table1[[#This Row],[SeD]]&lt;-2,Table1[[#This Row],[Winning Seed]]&amp; " over " &amp;Table1[[#This Row],[Losing Seed]],"")</f>
        <v/>
      </c>
      <c r="Q1842">
        <f>VLOOKUP(Table1[[#This Row],[Losing Seed]],'Seed History'!$N$4:$O$19,2)</f>
        <v>1.8472222222222223</v>
      </c>
      <c r="R1842" s="1">
        <f>IF(Table1[[#This Row],[Round]]="PI",0,Table1[[#This Row],[Round]]-1)</f>
        <v>2</v>
      </c>
      <c r="S1842">
        <f>Table1[[#This Row],[LAW]]-Table1[[#This Row],[LEW]]</f>
        <v>0.15277777777777768</v>
      </c>
    </row>
    <row r="1843" spans="1:19" x14ac:dyDescent="0.25">
      <c r="A1843" s="66">
        <v>41362</v>
      </c>
      <c r="B1843" s="51">
        <f>YEAR(Table1[[#This Row],[Date]])</f>
        <v>2013</v>
      </c>
      <c r="C1843" s="1">
        <v>3</v>
      </c>
      <c r="D1843" t="s">
        <v>63</v>
      </c>
      <c r="E1843" s="1">
        <v>3</v>
      </c>
      <c r="F1843" t="s">
        <v>81</v>
      </c>
      <c r="G1843" t="str">
        <f>VLOOKUP(Table1[[#This Row],[Winner]],Ranking!C:D,2,FALSE)</f>
        <v>SEC</v>
      </c>
      <c r="H1843" s="1">
        <v>62</v>
      </c>
      <c r="I1843" s="1">
        <v>15</v>
      </c>
      <c r="J1843" t="s">
        <v>205</v>
      </c>
      <c r="K1843" t="str">
        <f>VLOOKUP(Table1[[#This Row],[Loser]],Ranking!C:D,2,FALSE)</f>
        <v>ASun</v>
      </c>
      <c r="L1843" s="1">
        <v>50</v>
      </c>
      <c r="N1843" s="1">
        <f>Table1[[#This Row],[Winning Score]]-Table1[[#This Row],[Losing Score]]</f>
        <v>12</v>
      </c>
      <c r="O1843" s="1">
        <f>Table1[[#This Row],[Losing Seed]]-Table1[[#This Row],[Winning Seed]]</f>
        <v>12</v>
      </c>
      <c r="P1843" s="1" t="str">
        <f>IF(Table1[[#This Row],[SeD]]&lt;-2,Table1[[#This Row],[Winning Seed]]&amp; " over " &amp;Table1[[#This Row],[Losing Seed]],"")</f>
        <v/>
      </c>
      <c r="Q1843">
        <f>VLOOKUP(Table1[[#This Row],[Losing Seed]],'Seed History'!$N$4:$O$19,2)</f>
        <v>7.6388888888888895E-2</v>
      </c>
      <c r="R1843" s="1">
        <f>IF(Table1[[#This Row],[Round]]="PI",0,Table1[[#This Row],[Round]]-1)</f>
        <v>2</v>
      </c>
      <c r="S1843">
        <f>Table1[[#This Row],[LAW]]-Table1[[#This Row],[LEW]]</f>
        <v>1.9236111111111112</v>
      </c>
    </row>
    <row r="1844" spans="1:19" x14ac:dyDescent="0.25">
      <c r="A1844" s="66">
        <v>41363</v>
      </c>
      <c r="B1844" s="51">
        <f>YEAR(Table1[[#This Row],[Date]])</f>
        <v>2013</v>
      </c>
      <c r="C1844" s="1">
        <v>4</v>
      </c>
      <c r="D1844" t="s">
        <v>38</v>
      </c>
      <c r="E1844" s="1">
        <v>9</v>
      </c>
      <c r="F1844" t="s">
        <v>417</v>
      </c>
      <c r="G1844" t="str">
        <f>VLOOKUP(Table1[[#This Row],[Winner]],Ranking!C:D,2,FALSE)</f>
        <v>Amer</v>
      </c>
      <c r="H1844" s="1">
        <v>70</v>
      </c>
      <c r="I1844" s="1">
        <v>2</v>
      </c>
      <c r="J1844" t="s">
        <v>315</v>
      </c>
      <c r="K1844" t="str">
        <f>VLOOKUP(Table1[[#This Row],[Loser]],Ranking!C:D,2,FALSE)</f>
        <v>B10</v>
      </c>
      <c r="L1844" s="1">
        <v>66</v>
      </c>
      <c r="N1844" s="1">
        <f>Table1[[#This Row],[Winning Score]]-Table1[[#This Row],[Losing Score]]</f>
        <v>4</v>
      </c>
      <c r="O1844" s="1">
        <f>Table1[[#This Row],[Losing Seed]]-Table1[[#This Row],[Winning Seed]]</f>
        <v>-7</v>
      </c>
      <c r="P1844" s="1" t="str">
        <f>IF(Table1[[#This Row],[SeD]]&lt;-2,Table1[[#This Row],[Winning Seed]]&amp; " over " &amp;Table1[[#This Row],[Losing Seed]],"")</f>
        <v>9 over 2</v>
      </c>
      <c r="Q1844">
        <f>VLOOKUP(Table1[[#This Row],[Losing Seed]],'Seed History'!$N$4:$O$19,2)</f>
        <v>2.3472222222222223</v>
      </c>
      <c r="R1844" s="1">
        <f>IF(Table1[[#This Row],[Round]]="PI",0,Table1[[#This Row],[Round]]-1)</f>
        <v>3</v>
      </c>
      <c r="S1844">
        <f>Table1[[#This Row],[LAW]]-Table1[[#This Row],[LEW]]</f>
        <v>0.65277777777777768</v>
      </c>
    </row>
    <row r="1845" spans="1:19" x14ac:dyDescent="0.25">
      <c r="A1845" s="66">
        <v>41363</v>
      </c>
      <c r="B1845" s="51">
        <f>YEAR(Table1[[#This Row],[Date]])</f>
        <v>2013</v>
      </c>
      <c r="C1845" s="1">
        <v>4</v>
      </c>
      <c r="D1845" t="s">
        <v>49</v>
      </c>
      <c r="E1845" s="1">
        <v>4</v>
      </c>
      <c r="F1845" t="s">
        <v>86</v>
      </c>
      <c r="G1845" t="str">
        <f>VLOOKUP(Table1[[#This Row],[Winner]],Ranking!C:D,2,FALSE)</f>
        <v>ACC</v>
      </c>
      <c r="H1845" s="1">
        <v>55</v>
      </c>
      <c r="I1845" s="1">
        <v>3</v>
      </c>
      <c r="J1845" t="s">
        <v>262</v>
      </c>
      <c r="K1845" t="str">
        <f>VLOOKUP(Table1[[#This Row],[Loser]],Ranking!C:D,2,FALSE)</f>
        <v>BE</v>
      </c>
      <c r="L1845" s="1">
        <v>39</v>
      </c>
      <c r="N1845" s="1">
        <f>Table1[[#This Row],[Winning Score]]-Table1[[#This Row],[Losing Score]]</f>
        <v>16</v>
      </c>
      <c r="O1845" s="1">
        <f>Table1[[#This Row],[Losing Seed]]-Table1[[#This Row],[Winning Seed]]</f>
        <v>-1</v>
      </c>
      <c r="P1845" s="1" t="str">
        <f>IF(Table1[[#This Row],[SeD]]&lt;-2,Table1[[#This Row],[Winning Seed]]&amp; " over " &amp;Table1[[#This Row],[Losing Seed]],"")</f>
        <v/>
      </c>
      <c r="Q1845">
        <f>VLOOKUP(Table1[[#This Row],[Losing Seed]],'Seed History'!$N$4:$O$19,2)</f>
        <v>1.8472222222222223</v>
      </c>
      <c r="R1845" s="1">
        <f>IF(Table1[[#This Row],[Round]]="PI",0,Table1[[#This Row],[Round]]-1)</f>
        <v>3</v>
      </c>
      <c r="S1845">
        <f>Table1[[#This Row],[LAW]]-Table1[[#This Row],[LEW]]</f>
        <v>1.1527777777777777</v>
      </c>
    </row>
    <row r="1846" spans="1:19" x14ac:dyDescent="0.25">
      <c r="A1846" s="66">
        <v>41364</v>
      </c>
      <c r="B1846" s="51">
        <f>YEAR(Table1[[#This Row],[Date]])</f>
        <v>2013</v>
      </c>
      <c r="C1846" s="1">
        <v>4</v>
      </c>
      <c r="D1846" t="s">
        <v>439</v>
      </c>
      <c r="E1846" s="1">
        <v>1</v>
      </c>
      <c r="F1846" t="s">
        <v>54</v>
      </c>
      <c r="G1846" t="str">
        <f>VLOOKUP(Table1[[#This Row],[Winner]],Ranking!C:D,2,FALSE)</f>
        <v>ACC</v>
      </c>
      <c r="H1846" s="1">
        <v>85</v>
      </c>
      <c r="I1846" s="1">
        <v>2</v>
      </c>
      <c r="J1846" t="s">
        <v>64</v>
      </c>
      <c r="K1846" t="str">
        <f>VLOOKUP(Table1[[#This Row],[Loser]],Ranking!C:D,2,FALSE)</f>
        <v>ACC</v>
      </c>
      <c r="L1846" s="1">
        <v>63</v>
      </c>
      <c r="N1846" s="1">
        <f>Table1[[#This Row],[Winning Score]]-Table1[[#This Row],[Losing Score]]</f>
        <v>22</v>
      </c>
      <c r="O1846" s="1">
        <f>Table1[[#This Row],[Losing Seed]]-Table1[[#This Row],[Winning Seed]]</f>
        <v>1</v>
      </c>
      <c r="P1846" s="1" t="str">
        <f>IF(Table1[[#This Row],[SeD]]&lt;-2,Table1[[#This Row],[Winning Seed]]&amp; " over " &amp;Table1[[#This Row],[Losing Seed]],"")</f>
        <v/>
      </c>
      <c r="Q1846">
        <f>VLOOKUP(Table1[[#This Row],[Losing Seed]],'Seed History'!$N$4:$O$19,2)</f>
        <v>2.3472222222222223</v>
      </c>
      <c r="R1846" s="1">
        <f>IF(Table1[[#This Row],[Round]]="PI",0,Table1[[#This Row],[Round]]-1)</f>
        <v>3</v>
      </c>
      <c r="S1846">
        <f>Table1[[#This Row],[LAW]]-Table1[[#This Row],[LEW]]</f>
        <v>0.65277777777777768</v>
      </c>
    </row>
    <row r="1847" spans="1:19" x14ac:dyDescent="0.25">
      <c r="A1847" s="66">
        <v>41364</v>
      </c>
      <c r="B1847" s="51">
        <f>YEAR(Table1[[#This Row],[Date]])</f>
        <v>2013</v>
      </c>
      <c r="C1847" s="1">
        <v>4</v>
      </c>
      <c r="D1847" t="s">
        <v>63</v>
      </c>
      <c r="E1847" s="1">
        <v>4</v>
      </c>
      <c r="F1847" t="s">
        <v>82</v>
      </c>
      <c r="G1847" t="str">
        <f>VLOOKUP(Table1[[#This Row],[Winner]],Ranking!C:D,2,FALSE)</f>
        <v>B10</v>
      </c>
      <c r="H1847" s="1">
        <v>79</v>
      </c>
      <c r="I1847" s="1">
        <v>3</v>
      </c>
      <c r="J1847" t="s">
        <v>81</v>
      </c>
      <c r="K1847" t="str">
        <f>VLOOKUP(Table1[[#This Row],[Loser]],Ranking!C:D,2,FALSE)</f>
        <v>SEC</v>
      </c>
      <c r="L1847" s="1">
        <v>59</v>
      </c>
      <c r="N1847" s="1">
        <f>Table1[[#This Row],[Winning Score]]-Table1[[#This Row],[Losing Score]]</f>
        <v>20</v>
      </c>
      <c r="O1847" s="1">
        <f>Table1[[#This Row],[Losing Seed]]-Table1[[#This Row],[Winning Seed]]</f>
        <v>-1</v>
      </c>
      <c r="P1847" s="1" t="str">
        <f>IF(Table1[[#This Row],[SeD]]&lt;-2,Table1[[#This Row],[Winning Seed]]&amp; " over " &amp;Table1[[#This Row],[Losing Seed]],"")</f>
        <v/>
      </c>
      <c r="Q1847">
        <f>VLOOKUP(Table1[[#This Row],[Losing Seed]],'Seed History'!$N$4:$O$19,2)</f>
        <v>1.8472222222222223</v>
      </c>
      <c r="R1847" s="1">
        <f>IF(Table1[[#This Row],[Round]]="PI",0,Table1[[#This Row],[Round]]-1)</f>
        <v>3</v>
      </c>
      <c r="S1847">
        <f>Table1[[#This Row],[LAW]]-Table1[[#This Row],[LEW]]</f>
        <v>1.1527777777777777</v>
      </c>
    </row>
    <row r="1848" spans="1:19" x14ac:dyDescent="0.25">
      <c r="A1848" s="66">
        <v>41370</v>
      </c>
      <c r="B1848" s="51">
        <f>YEAR(Table1[[#This Row],[Date]])</f>
        <v>2013</v>
      </c>
      <c r="C1848" s="1">
        <v>5</v>
      </c>
      <c r="D1848" t="s">
        <v>467</v>
      </c>
      <c r="E1848" s="1">
        <v>1</v>
      </c>
      <c r="F1848" t="s">
        <v>54</v>
      </c>
      <c r="G1848" t="str">
        <f>VLOOKUP(Table1[[#This Row],[Winner]],Ranking!C:D,2,FALSE)</f>
        <v>ACC</v>
      </c>
      <c r="H1848" s="1">
        <v>72</v>
      </c>
      <c r="I1848" s="1">
        <v>9</v>
      </c>
      <c r="J1848" t="s">
        <v>417</v>
      </c>
      <c r="K1848" t="str">
        <f>VLOOKUP(Table1[[#This Row],[Loser]],Ranking!C:D,2,FALSE)</f>
        <v>Amer</v>
      </c>
      <c r="L1848" s="1">
        <v>68</v>
      </c>
      <c r="N1848" s="1">
        <f>Table1[[#This Row],[Winning Score]]-Table1[[#This Row],[Losing Score]]</f>
        <v>4</v>
      </c>
      <c r="O1848" s="1">
        <f>Table1[[#This Row],[Losing Seed]]-Table1[[#This Row],[Winning Seed]]</f>
        <v>8</v>
      </c>
      <c r="P1848" s="1" t="str">
        <f>IF(Table1[[#This Row],[SeD]]&lt;-2,Table1[[#This Row],[Winning Seed]]&amp; " over " &amp;Table1[[#This Row],[Losing Seed]],"")</f>
        <v/>
      </c>
      <c r="Q1848">
        <f>VLOOKUP(Table1[[#This Row],[Losing Seed]],'Seed History'!$N$4:$O$19,2)</f>
        <v>0.59027777777777779</v>
      </c>
      <c r="R1848" s="1">
        <f>IF(Table1[[#This Row],[Round]]="PI",0,Table1[[#This Row],[Round]]-1)</f>
        <v>4</v>
      </c>
      <c r="S1848">
        <f>Table1[[#This Row],[LAW]]-Table1[[#This Row],[LEW]]</f>
        <v>3.4097222222222223</v>
      </c>
    </row>
    <row r="1849" spans="1:19" x14ac:dyDescent="0.25">
      <c r="A1849" s="66">
        <v>41370</v>
      </c>
      <c r="B1849" s="51">
        <f>YEAR(Table1[[#This Row],[Date]])</f>
        <v>2013</v>
      </c>
      <c r="C1849" s="1">
        <v>5</v>
      </c>
      <c r="D1849" t="s">
        <v>467</v>
      </c>
      <c r="E1849" s="1">
        <v>4</v>
      </c>
      <c r="F1849" t="s">
        <v>82</v>
      </c>
      <c r="G1849" t="str">
        <f>VLOOKUP(Table1[[#This Row],[Winner]],Ranking!C:D,2,FALSE)</f>
        <v>B10</v>
      </c>
      <c r="H1849" s="1">
        <v>61</v>
      </c>
      <c r="I1849" s="1">
        <v>4</v>
      </c>
      <c r="J1849" t="s">
        <v>86</v>
      </c>
      <c r="K1849" t="str">
        <f>VLOOKUP(Table1[[#This Row],[Loser]],Ranking!C:D,2,FALSE)</f>
        <v>ACC</v>
      </c>
      <c r="L1849" s="1">
        <v>56</v>
      </c>
      <c r="N1849" s="1">
        <f>Table1[[#This Row],[Winning Score]]-Table1[[#This Row],[Losing Score]]</f>
        <v>5</v>
      </c>
      <c r="O1849" s="1">
        <f>Table1[[#This Row],[Losing Seed]]-Table1[[#This Row],[Winning Seed]]</f>
        <v>0</v>
      </c>
      <c r="P1849" s="1" t="str">
        <f>IF(Table1[[#This Row],[SeD]]&lt;-2,Table1[[#This Row],[Winning Seed]]&amp; " over " &amp;Table1[[#This Row],[Losing Seed]],"")</f>
        <v/>
      </c>
      <c r="Q1849">
        <f>VLOOKUP(Table1[[#This Row],[Losing Seed]],'Seed History'!$N$4:$O$19,2)</f>
        <v>1.5208333333333333</v>
      </c>
      <c r="R1849" s="1">
        <f>IF(Table1[[#This Row],[Round]]="PI",0,Table1[[#This Row],[Round]]-1)</f>
        <v>4</v>
      </c>
      <c r="S1849">
        <f>Table1[[#This Row],[LAW]]-Table1[[#This Row],[LEW]]</f>
        <v>2.479166666666667</v>
      </c>
    </row>
    <row r="1850" spans="1:19" x14ac:dyDescent="0.25">
      <c r="A1850" s="66">
        <v>41372</v>
      </c>
      <c r="B1850" s="51">
        <f>YEAR(Table1[[#This Row],[Date]])</f>
        <v>2013</v>
      </c>
      <c r="C1850" s="1">
        <v>6</v>
      </c>
      <c r="D1850" t="s">
        <v>468</v>
      </c>
      <c r="E1850" s="1">
        <v>1</v>
      </c>
      <c r="F1850" t="s">
        <v>54</v>
      </c>
      <c r="G1850" t="str">
        <f>VLOOKUP(Table1[[#This Row],[Winner]],Ranking!C:D,2,FALSE)</f>
        <v>ACC</v>
      </c>
      <c r="H1850" s="1">
        <v>82</v>
      </c>
      <c r="I1850" s="1">
        <v>4</v>
      </c>
      <c r="J1850" t="s">
        <v>82</v>
      </c>
      <c r="K1850" t="str">
        <f>VLOOKUP(Table1[[#This Row],[Loser]],Ranking!C:D,2,FALSE)</f>
        <v>B10</v>
      </c>
      <c r="L1850" s="1">
        <v>76</v>
      </c>
      <c r="N1850" s="1">
        <f>Table1[[#This Row],[Winning Score]]-Table1[[#This Row],[Losing Score]]</f>
        <v>6</v>
      </c>
      <c r="O1850" s="1">
        <f>Table1[[#This Row],[Losing Seed]]-Table1[[#This Row],[Winning Seed]]</f>
        <v>3</v>
      </c>
      <c r="P1850" s="1" t="str">
        <f>IF(Table1[[#This Row],[SeD]]&lt;-2,Table1[[#This Row],[Winning Seed]]&amp; " over " &amp;Table1[[#This Row],[Losing Seed]],"")</f>
        <v/>
      </c>
      <c r="Q1850">
        <f>VLOOKUP(Table1[[#This Row],[Losing Seed]],'Seed History'!$N$4:$O$19,2)</f>
        <v>1.5208333333333333</v>
      </c>
      <c r="R1850" s="1">
        <f>IF(Table1[[#This Row],[Round]]="PI",0,Table1[[#This Row],[Round]]-1)</f>
        <v>5</v>
      </c>
      <c r="S1850">
        <f>Table1[[#This Row],[LAW]]-Table1[[#This Row],[LEW]]</f>
        <v>3.479166666666667</v>
      </c>
    </row>
    <row r="1851" spans="1:19" x14ac:dyDescent="0.25">
      <c r="A1851" s="66">
        <v>41716</v>
      </c>
      <c r="B1851" s="51">
        <f>YEAR(Table1[[#This Row],[Date]])</f>
        <v>2014</v>
      </c>
      <c r="C1851" s="1" t="s">
        <v>476</v>
      </c>
      <c r="D1851" t="s">
        <v>439</v>
      </c>
      <c r="E1851" s="1">
        <v>12</v>
      </c>
      <c r="F1851" t="s">
        <v>301</v>
      </c>
      <c r="G1851" t="e">
        <f>VLOOKUP(Table1[[#This Row],[Winner]],Ranking!C:D,2,FALSE)</f>
        <v>#N/A</v>
      </c>
      <c r="H1851" s="1">
        <v>74</v>
      </c>
      <c r="I1851" s="1">
        <v>12</v>
      </c>
      <c r="J1851" t="s">
        <v>44</v>
      </c>
      <c r="K1851" t="str">
        <f>VLOOKUP(Table1[[#This Row],[Loser]],Ranking!C:D,2,FALSE)</f>
        <v>BE</v>
      </c>
      <c r="L1851" s="1">
        <v>59</v>
      </c>
      <c r="N1851" s="1">
        <f>Table1[[#This Row],[Winning Score]]-Table1[[#This Row],[Losing Score]]</f>
        <v>15</v>
      </c>
      <c r="O1851" s="1">
        <f>Table1[[#This Row],[Losing Seed]]-Table1[[#This Row],[Winning Seed]]</f>
        <v>0</v>
      </c>
      <c r="P1851" s="1" t="str">
        <f>IF(Table1[[#This Row],[SeD]]&lt;-2,Table1[[#This Row],[Winning Seed]]&amp; " over " &amp;Table1[[#This Row],[Losing Seed]],"")</f>
        <v/>
      </c>
      <c r="Q1851">
        <f>VLOOKUP(Table1[[#This Row],[Losing Seed]],'Seed History'!$N$4:$O$19,2)</f>
        <v>0.52083333333333337</v>
      </c>
      <c r="R1851" s="1">
        <f>IF(Table1[[#This Row],[Round]]="PI",0,Table1[[#This Row],[Round]]-1)</f>
        <v>0</v>
      </c>
      <c r="S1851">
        <f>Table1[[#This Row],[LAW]]-Table1[[#This Row],[LEW]]</f>
        <v>-0.52083333333333337</v>
      </c>
    </row>
    <row r="1852" spans="1:19" x14ac:dyDescent="0.25">
      <c r="A1852" s="66">
        <v>41716</v>
      </c>
      <c r="B1852" s="51">
        <f>YEAR(Table1[[#This Row],[Date]])</f>
        <v>2014</v>
      </c>
      <c r="C1852" s="1" t="s">
        <v>476</v>
      </c>
      <c r="D1852" t="s">
        <v>63</v>
      </c>
      <c r="E1852" s="1">
        <v>16</v>
      </c>
      <c r="F1852" t="s">
        <v>59</v>
      </c>
      <c r="G1852" t="str">
        <f>VLOOKUP(Table1[[#This Row],[Winner]],Ranking!C:D,2,FALSE)</f>
        <v>AE</v>
      </c>
      <c r="H1852" s="1">
        <v>71</v>
      </c>
      <c r="I1852" s="1">
        <v>16</v>
      </c>
      <c r="J1852" t="s">
        <v>284</v>
      </c>
      <c r="K1852" t="str">
        <f>VLOOKUP(Table1[[#This Row],[Loser]],Ranking!C:D,2,FALSE)</f>
        <v>NEC</v>
      </c>
      <c r="L1852" s="1">
        <v>64</v>
      </c>
      <c r="N1852" s="1">
        <f>Table1[[#This Row],[Winning Score]]-Table1[[#This Row],[Losing Score]]</f>
        <v>7</v>
      </c>
      <c r="O1852" s="1">
        <f>Table1[[#This Row],[Losing Seed]]-Table1[[#This Row],[Winning Seed]]</f>
        <v>0</v>
      </c>
      <c r="P1852" s="1" t="str">
        <f>IF(Table1[[#This Row],[SeD]]&lt;-2,Table1[[#This Row],[Winning Seed]]&amp; " over " &amp;Table1[[#This Row],[Losing Seed]],"")</f>
        <v/>
      </c>
      <c r="Q1852">
        <f>VLOOKUP(Table1[[#This Row],[Losing Seed]],'Seed History'!$N$4:$O$19,2)</f>
        <v>6.9444444444444441E-3</v>
      </c>
      <c r="R1852" s="1">
        <f>IF(Table1[[#This Row],[Round]]="PI",0,Table1[[#This Row],[Round]]-1)</f>
        <v>0</v>
      </c>
      <c r="S1852">
        <f>Table1[[#This Row],[LAW]]-Table1[[#This Row],[LEW]]</f>
        <v>-6.9444444444444441E-3</v>
      </c>
    </row>
    <row r="1853" spans="1:19" x14ac:dyDescent="0.25">
      <c r="A1853" s="66">
        <v>41717</v>
      </c>
      <c r="B1853" s="51">
        <f>YEAR(Table1[[#This Row],[Date]])</f>
        <v>2014</v>
      </c>
      <c r="C1853" s="1" t="s">
        <v>476</v>
      </c>
      <c r="D1853" t="s">
        <v>439</v>
      </c>
      <c r="E1853" s="1">
        <v>11</v>
      </c>
      <c r="F1853" t="s">
        <v>374</v>
      </c>
      <c r="G1853" t="str">
        <f>VLOOKUP(Table1[[#This Row],[Winner]],Ranking!C:D,2,FALSE)</f>
        <v>SEC</v>
      </c>
      <c r="H1853" s="1">
        <v>78</v>
      </c>
      <c r="I1853" s="1">
        <v>11</v>
      </c>
      <c r="J1853" t="s">
        <v>69</v>
      </c>
      <c r="K1853" t="str">
        <f>VLOOKUP(Table1[[#This Row],[Loser]],Ranking!C:D,2,FALSE)</f>
        <v>B10</v>
      </c>
      <c r="L1853" s="1">
        <v>65</v>
      </c>
      <c r="M1853" s="1" t="s">
        <v>462</v>
      </c>
      <c r="N1853" s="1">
        <f>Table1[[#This Row],[Winning Score]]-Table1[[#This Row],[Losing Score]]</f>
        <v>13</v>
      </c>
      <c r="O1853" s="1">
        <f>Table1[[#This Row],[Losing Seed]]-Table1[[#This Row],[Winning Seed]]</f>
        <v>0</v>
      </c>
      <c r="P1853" s="1" t="str">
        <f>IF(Table1[[#This Row],[SeD]]&lt;-2,Table1[[#This Row],[Winning Seed]]&amp; " over " &amp;Table1[[#This Row],[Losing Seed]],"")</f>
        <v/>
      </c>
      <c r="Q1853">
        <f>VLOOKUP(Table1[[#This Row],[Losing Seed]],'Seed History'!$N$4:$O$19,2)</f>
        <v>0.63194444444444442</v>
      </c>
      <c r="R1853" s="1">
        <f>IF(Table1[[#This Row],[Round]]="PI",0,Table1[[#This Row],[Round]]-1)</f>
        <v>0</v>
      </c>
      <c r="S1853">
        <f>Table1[[#This Row],[LAW]]-Table1[[#This Row],[LEW]]</f>
        <v>-0.63194444444444442</v>
      </c>
    </row>
    <row r="1854" spans="1:19" x14ac:dyDescent="0.25">
      <c r="A1854" s="66">
        <v>41717</v>
      </c>
      <c r="B1854" s="51">
        <f>YEAR(Table1[[#This Row],[Date]])</f>
        <v>2014</v>
      </c>
      <c r="C1854" s="1" t="s">
        <v>476</v>
      </c>
      <c r="D1854" t="s">
        <v>439</v>
      </c>
      <c r="E1854" s="1">
        <v>16</v>
      </c>
      <c r="F1854" t="s">
        <v>151</v>
      </c>
      <c r="G1854" t="str">
        <f>VLOOKUP(Table1[[#This Row],[Winner]],Ranking!C:D,2,FALSE)</f>
        <v>BW</v>
      </c>
      <c r="H1854" s="1">
        <v>81</v>
      </c>
      <c r="I1854" s="1">
        <v>16</v>
      </c>
      <c r="J1854" t="s">
        <v>379</v>
      </c>
      <c r="K1854" t="str">
        <f>VLOOKUP(Table1[[#This Row],[Loser]],Ranking!C:D,2,FALSE)</f>
        <v>SWAC</v>
      </c>
      <c r="L1854" s="1">
        <v>69</v>
      </c>
      <c r="N1854" s="1">
        <f>Table1[[#This Row],[Winning Score]]-Table1[[#This Row],[Losing Score]]</f>
        <v>12</v>
      </c>
      <c r="O1854" s="1">
        <f>Table1[[#This Row],[Losing Seed]]-Table1[[#This Row],[Winning Seed]]</f>
        <v>0</v>
      </c>
      <c r="P1854" s="1" t="str">
        <f>IF(Table1[[#This Row],[SeD]]&lt;-2,Table1[[#This Row],[Winning Seed]]&amp; " over " &amp;Table1[[#This Row],[Losing Seed]],"")</f>
        <v/>
      </c>
      <c r="Q1854">
        <f>VLOOKUP(Table1[[#This Row],[Losing Seed]],'Seed History'!$N$4:$O$19,2)</f>
        <v>6.9444444444444441E-3</v>
      </c>
      <c r="R1854" s="1">
        <f>IF(Table1[[#This Row],[Round]]="PI",0,Table1[[#This Row],[Round]]-1)</f>
        <v>0</v>
      </c>
      <c r="S1854">
        <f>Table1[[#This Row],[LAW]]-Table1[[#This Row],[LEW]]</f>
        <v>-6.9444444444444441E-3</v>
      </c>
    </row>
    <row r="1855" spans="1:19" x14ac:dyDescent="0.25">
      <c r="A1855" s="66">
        <v>41718</v>
      </c>
      <c r="B1855" s="51">
        <f>YEAR(Table1[[#This Row],[Date]])</f>
        <v>2014</v>
      </c>
      <c r="C1855" s="1">
        <v>1</v>
      </c>
      <c r="D1855" t="s">
        <v>49</v>
      </c>
      <c r="E1855" s="1">
        <v>12</v>
      </c>
      <c r="F1855" t="s">
        <v>43</v>
      </c>
      <c r="G1855" t="str">
        <f>VLOOKUP(Table1[[#This Row],[Winner]],Ranking!C:D,2,FALSE)</f>
        <v>Ivy</v>
      </c>
      <c r="H1855" s="1">
        <v>61</v>
      </c>
      <c r="I1855" s="1">
        <v>5</v>
      </c>
      <c r="J1855" t="s">
        <v>28</v>
      </c>
      <c r="K1855" t="str">
        <f>VLOOKUP(Table1[[#This Row],[Loser]],Ranking!C:D,2,FALSE)</f>
        <v>Amer</v>
      </c>
      <c r="L1855" s="1">
        <v>57</v>
      </c>
      <c r="N1855" s="1">
        <f>Table1[[#This Row],[Winning Score]]-Table1[[#This Row],[Losing Score]]</f>
        <v>4</v>
      </c>
      <c r="O1855" s="1">
        <f>Table1[[#This Row],[Losing Seed]]-Table1[[#This Row],[Winning Seed]]</f>
        <v>-7</v>
      </c>
      <c r="P1855" s="1" t="str">
        <f>IF(Table1[[#This Row],[SeD]]&lt;-2,Table1[[#This Row],[Winning Seed]]&amp; " over " &amp;Table1[[#This Row],[Losing Seed]],"")</f>
        <v>12 over 5</v>
      </c>
      <c r="Q1855">
        <f>VLOOKUP(Table1[[#This Row],[Losing Seed]],'Seed History'!$N$4:$O$19,2)</f>
        <v>1.1180555555555556</v>
      </c>
      <c r="R1855" s="1">
        <f>IF(Table1[[#This Row],[Round]]="PI",0,Table1[[#This Row],[Round]]-1)</f>
        <v>0</v>
      </c>
      <c r="S1855">
        <f>Table1[[#This Row],[LAW]]-Table1[[#This Row],[LEW]]</f>
        <v>-1.1180555555555556</v>
      </c>
    </row>
    <row r="1856" spans="1:19" x14ac:dyDescent="0.25">
      <c r="A1856" s="66">
        <v>41718</v>
      </c>
      <c r="B1856" s="51">
        <f>YEAR(Table1[[#This Row],[Date]])</f>
        <v>2014</v>
      </c>
      <c r="C1856" s="1">
        <v>1</v>
      </c>
      <c r="D1856" t="s">
        <v>38</v>
      </c>
      <c r="E1856" s="1">
        <v>12</v>
      </c>
      <c r="F1856" t="s">
        <v>303</v>
      </c>
      <c r="G1856" t="str">
        <f>VLOOKUP(Table1[[#This Row],[Winner]],Ranking!C:D,2,FALSE)</f>
        <v>Sum</v>
      </c>
      <c r="H1856" s="1">
        <v>80</v>
      </c>
      <c r="I1856" s="1">
        <v>5</v>
      </c>
      <c r="J1856" t="s">
        <v>58</v>
      </c>
      <c r="K1856" t="str">
        <f>VLOOKUP(Table1[[#This Row],[Loser]],Ranking!C:D,2,FALSE)</f>
        <v>B12</v>
      </c>
      <c r="L1856" s="1">
        <v>75</v>
      </c>
      <c r="M1856" s="1" t="s">
        <v>462</v>
      </c>
      <c r="N1856" s="1">
        <f>Table1[[#This Row],[Winning Score]]-Table1[[#This Row],[Losing Score]]</f>
        <v>5</v>
      </c>
      <c r="O1856" s="1">
        <f>Table1[[#This Row],[Losing Seed]]-Table1[[#This Row],[Winning Seed]]</f>
        <v>-7</v>
      </c>
      <c r="P1856" s="1" t="str">
        <f>IF(Table1[[#This Row],[SeD]]&lt;-2,Table1[[#This Row],[Winning Seed]]&amp; " over " &amp;Table1[[#This Row],[Losing Seed]],"")</f>
        <v>12 over 5</v>
      </c>
      <c r="Q1856">
        <f>VLOOKUP(Table1[[#This Row],[Losing Seed]],'Seed History'!$N$4:$O$19,2)</f>
        <v>1.1180555555555556</v>
      </c>
      <c r="R1856" s="1">
        <f>IF(Table1[[#This Row],[Round]]="PI",0,Table1[[#This Row],[Round]]-1)</f>
        <v>0</v>
      </c>
      <c r="S1856">
        <f>Table1[[#This Row],[LAW]]-Table1[[#This Row],[LEW]]</f>
        <v>-1.1180555555555556</v>
      </c>
    </row>
    <row r="1857" spans="1:19" x14ac:dyDescent="0.25">
      <c r="A1857" s="66">
        <v>41718</v>
      </c>
      <c r="B1857" s="51">
        <f>YEAR(Table1[[#This Row],[Date]])</f>
        <v>2014</v>
      </c>
      <c r="C1857" s="1">
        <v>1</v>
      </c>
      <c r="D1857" t="s">
        <v>63</v>
      </c>
      <c r="E1857" s="1">
        <v>11</v>
      </c>
      <c r="F1857" t="s">
        <v>57</v>
      </c>
      <c r="G1857" t="str">
        <f>VLOOKUP(Table1[[#This Row],[Winner]],Ranking!C:D,2,FALSE)</f>
        <v>A10</v>
      </c>
      <c r="H1857" s="1">
        <v>60</v>
      </c>
      <c r="I1857" s="1">
        <v>6</v>
      </c>
      <c r="J1857" t="s">
        <v>315</v>
      </c>
      <c r="K1857" t="str">
        <f>VLOOKUP(Table1[[#This Row],[Loser]],Ranking!C:D,2,FALSE)</f>
        <v>B10</v>
      </c>
      <c r="L1857" s="1">
        <v>59</v>
      </c>
      <c r="N1857" s="1">
        <f>Table1[[#This Row],[Winning Score]]-Table1[[#This Row],[Losing Score]]</f>
        <v>1</v>
      </c>
      <c r="O1857" s="1">
        <f>Table1[[#This Row],[Losing Seed]]-Table1[[#This Row],[Winning Seed]]</f>
        <v>-5</v>
      </c>
      <c r="P1857" s="1" t="str">
        <f>IF(Table1[[#This Row],[SeD]]&lt;-2,Table1[[#This Row],[Winning Seed]]&amp; " over " &amp;Table1[[#This Row],[Losing Seed]],"")</f>
        <v>11 over 6</v>
      </c>
      <c r="Q1857">
        <f>VLOOKUP(Table1[[#This Row],[Losing Seed]],'Seed History'!$N$4:$O$19,2)</f>
        <v>1.0625</v>
      </c>
      <c r="R1857" s="1">
        <f>IF(Table1[[#This Row],[Round]]="PI",0,Table1[[#This Row],[Round]]-1)</f>
        <v>0</v>
      </c>
      <c r="S1857">
        <f>Table1[[#This Row],[LAW]]-Table1[[#This Row],[LEW]]</f>
        <v>-1.0625</v>
      </c>
    </row>
    <row r="1858" spans="1:19" x14ac:dyDescent="0.25">
      <c r="A1858" s="66">
        <v>41718</v>
      </c>
      <c r="B1858" s="51">
        <f>YEAR(Table1[[#This Row],[Date]])</f>
        <v>2014</v>
      </c>
      <c r="C1858" s="1">
        <v>1</v>
      </c>
      <c r="D1858" t="s">
        <v>49</v>
      </c>
      <c r="E1858" s="1">
        <v>2</v>
      </c>
      <c r="F1858" t="s">
        <v>50</v>
      </c>
      <c r="G1858" t="str">
        <f>VLOOKUP(Table1[[#This Row],[Winner]],Ranking!C:D,2,FALSE)</f>
        <v>BE</v>
      </c>
      <c r="H1858" s="1">
        <v>73</v>
      </c>
      <c r="I1858" s="1">
        <v>15</v>
      </c>
      <c r="J1858" t="s">
        <v>273</v>
      </c>
      <c r="K1858" t="str">
        <f>VLOOKUP(Table1[[#This Row],[Loser]],Ranking!C:D,2,FALSE)</f>
        <v>Horz</v>
      </c>
      <c r="L1858" s="1">
        <v>53</v>
      </c>
      <c r="N1858" s="1">
        <f>Table1[[#This Row],[Winning Score]]-Table1[[#This Row],[Losing Score]]</f>
        <v>20</v>
      </c>
      <c r="O1858" s="1">
        <f>Table1[[#This Row],[Losing Seed]]-Table1[[#This Row],[Winning Seed]]</f>
        <v>13</v>
      </c>
      <c r="P1858" s="1" t="str">
        <f>IF(Table1[[#This Row],[SeD]]&lt;-2,Table1[[#This Row],[Winning Seed]]&amp; " over " &amp;Table1[[#This Row],[Losing Seed]],"")</f>
        <v/>
      </c>
      <c r="Q1858">
        <f>VLOOKUP(Table1[[#This Row],[Losing Seed]],'Seed History'!$N$4:$O$19,2)</f>
        <v>7.6388888888888895E-2</v>
      </c>
      <c r="R1858" s="1">
        <f>IF(Table1[[#This Row],[Round]]="PI",0,Table1[[#This Row],[Round]]-1)</f>
        <v>0</v>
      </c>
      <c r="S1858">
        <f>Table1[[#This Row],[LAW]]-Table1[[#This Row],[LEW]]</f>
        <v>-7.6388888888888895E-2</v>
      </c>
    </row>
    <row r="1859" spans="1:19" x14ac:dyDescent="0.25">
      <c r="A1859" s="66">
        <v>41718</v>
      </c>
      <c r="B1859" s="51">
        <f>YEAR(Table1[[#This Row],[Date]])</f>
        <v>2014</v>
      </c>
      <c r="C1859" s="1">
        <v>1</v>
      </c>
      <c r="D1859" t="s">
        <v>49</v>
      </c>
      <c r="E1859" s="1">
        <v>4</v>
      </c>
      <c r="F1859" t="s">
        <v>271</v>
      </c>
      <c r="G1859" t="str">
        <f>VLOOKUP(Table1[[#This Row],[Winner]],Ranking!C:D,2,FALSE)</f>
        <v>B10</v>
      </c>
      <c r="H1859" s="1">
        <v>93</v>
      </c>
      <c r="I1859" s="1">
        <v>13</v>
      </c>
      <c r="J1859" t="s">
        <v>182</v>
      </c>
      <c r="K1859" t="str">
        <f>VLOOKUP(Table1[[#This Row],[Loser]],Ranking!C:D,2,FALSE)</f>
        <v>CAA</v>
      </c>
      <c r="L1859" s="1">
        <v>78</v>
      </c>
      <c r="N1859" s="1">
        <f>Table1[[#This Row],[Winning Score]]-Table1[[#This Row],[Losing Score]]</f>
        <v>15</v>
      </c>
      <c r="O1859" s="1">
        <f>Table1[[#This Row],[Losing Seed]]-Table1[[#This Row],[Winning Seed]]</f>
        <v>9</v>
      </c>
      <c r="P1859" s="1" t="str">
        <f>IF(Table1[[#This Row],[SeD]]&lt;-2,Table1[[#This Row],[Winning Seed]]&amp; " over " &amp;Table1[[#This Row],[Losing Seed]],"")</f>
        <v/>
      </c>
      <c r="Q1859">
        <f>VLOOKUP(Table1[[#This Row],[Losing Seed]],'Seed History'!$N$4:$O$19,2)</f>
        <v>0.25694444444444442</v>
      </c>
      <c r="R1859" s="1">
        <f>IF(Table1[[#This Row],[Round]]="PI",0,Table1[[#This Row],[Round]]-1)</f>
        <v>0</v>
      </c>
      <c r="S1859">
        <f>Table1[[#This Row],[LAW]]-Table1[[#This Row],[LEW]]</f>
        <v>-0.25694444444444442</v>
      </c>
    </row>
    <row r="1860" spans="1:19" x14ac:dyDescent="0.25">
      <c r="A1860" s="66">
        <v>41718</v>
      </c>
      <c r="B1860" s="51">
        <f>YEAR(Table1[[#This Row],[Date]])</f>
        <v>2014</v>
      </c>
      <c r="C1860" s="1">
        <v>1</v>
      </c>
      <c r="D1860" t="s">
        <v>49</v>
      </c>
      <c r="E1860" s="1">
        <v>7</v>
      </c>
      <c r="F1860" t="s">
        <v>80</v>
      </c>
      <c r="G1860" t="str">
        <f>VLOOKUP(Table1[[#This Row],[Winner]],Ranking!C:D,2,FALSE)</f>
        <v>BE</v>
      </c>
      <c r="H1860" s="1">
        <v>89</v>
      </c>
      <c r="I1860" s="1">
        <v>10</v>
      </c>
      <c r="J1860" t="s">
        <v>337</v>
      </c>
      <c r="K1860" t="str">
        <f>VLOOKUP(Table1[[#This Row],[Loser]],Ranking!C:D,2,FALSE)</f>
        <v>A10</v>
      </c>
      <c r="L1860" s="1">
        <v>81</v>
      </c>
      <c r="M1860" s="1" t="s">
        <v>462</v>
      </c>
      <c r="N1860" s="1">
        <f>Table1[[#This Row],[Winning Score]]-Table1[[#This Row],[Losing Score]]</f>
        <v>8</v>
      </c>
      <c r="O1860" s="1">
        <f>Table1[[#This Row],[Losing Seed]]-Table1[[#This Row],[Winning Seed]]</f>
        <v>3</v>
      </c>
      <c r="P1860" s="1" t="str">
        <f>IF(Table1[[#This Row],[SeD]]&lt;-2,Table1[[#This Row],[Winning Seed]]&amp; " over " &amp;Table1[[#This Row],[Losing Seed]],"")</f>
        <v/>
      </c>
      <c r="Q1860">
        <f>VLOOKUP(Table1[[#This Row],[Losing Seed]],'Seed History'!$N$4:$O$19,2)</f>
        <v>0.61805555555555558</v>
      </c>
      <c r="R1860" s="1">
        <f>IF(Table1[[#This Row],[Round]]="PI",0,Table1[[#This Row],[Round]]-1)</f>
        <v>0</v>
      </c>
      <c r="S1860">
        <f>Table1[[#This Row],[LAW]]-Table1[[#This Row],[LEW]]</f>
        <v>-0.61805555555555558</v>
      </c>
    </row>
    <row r="1861" spans="1:19" x14ac:dyDescent="0.25">
      <c r="A1861" s="66">
        <v>41718</v>
      </c>
      <c r="B1861" s="51">
        <f>YEAR(Table1[[#This Row],[Date]])</f>
        <v>2014</v>
      </c>
      <c r="C1861" s="1">
        <v>1</v>
      </c>
      <c r="D1861" t="s">
        <v>439</v>
      </c>
      <c r="E1861" s="1">
        <v>2</v>
      </c>
      <c r="F1861" t="s">
        <v>82</v>
      </c>
      <c r="G1861" t="str">
        <f>VLOOKUP(Table1[[#This Row],[Winner]],Ranking!C:D,2,FALSE)</f>
        <v>B10</v>
      </c>
      <c r="H1861" s="1">
        <v>57</v>
      </c>
      <c r="I1861" s="1">
        <v>15</v>
      </c>
      <c r="J1861" t="s">
        <v>42</v>
      </c>
      <c r="K1861" t="str">
        <f>VLOOKUP(Table1[[#This Row],[Loser]],Ranking!C:D,2,FALSE)</f>
        <v>SC</v>
      </c>
      <c r="L1861" s="1">
        <v>40</v>
      </c>
      <c r="N1861" s="1">
        <f>Table1[[#This Row],[Winning Score]]-Table1[[#This Row],[Losing Score]]</f>
        <v>17</v>
      </c>
      <c r="O1861" s="1">
        <f>Table1[[#This Row],[Losing Seed]]-Table1[[#This Row],[Winning Seed]]</f>
        <v>13</v>
      </c>
      <c r="P1861" s="1" t="str">
        <f>IF(Table1[[#This Row],[SeD]]&lt;-2,Table1[[#This Row],[Winning Seed]]&amp; " over " &amp;Table1[[#This Row],[Losing Seed]],"")</f>
        <v/>
      </c>
      <c r="Q1861">
        <f>VLOOKUP(Table1[[#This Row],[Losing Seed]],'Seed History'!$N$4:$O$19,2)</f>
        <v>7.6388888888888895E-2</v>
      </c>
      <c r="R1861" s="1">
        <f>IF(Table1[[#This Row],[Round]]="PI",0,Table1[[#This Row],[Round]]-1)</f>
        <v>0</v>
      </c>
      <c r="S1861">
        <f>Table1[[#This Row],[LAW]]-Table1[[#This Row],[LEW]]</f>
        <v>-7.6388888888888895E-2</v>
      </c>
    </row>
    <row r="1862" spans="1:19" x14ac:dyDescent="0.25">
      <c r="A1862" s="66">
        <v>41718</v>
      </c>
      <c r="B1862" s="51">
        <f>YEAR(Table1[[#This Row],[Date]])</f>
        <v>2014</v>
      </c>
      <c r="C1862" s="1">
        <v>1</v>
      </c>
      <c r="D1862" t="s">
        <v>439</v>
      </c>
      <c r="E1862" s="1">
        <v>4</v>
      </c>
      <c r="F1862" t="s">
        <v>54</v>
      </c>
      <c r="G1862" t="str">
        <f>VLOOKUP(Table1[[#This Row],[Winner]],Ranking!C:D,2,FALSE)</f>
        <v>ACC</v>
      </c>
      <c r="H1862" s="1">
        <v>71</v>
      </c>
      <c r="I1862" s="1">
        <v>13</v>
      </c>
      <c r="J1862" t="s">
        <v>73</v>
      </c>
      <c r="K1862" t="str">
        <f>VLOOKUP(Table1[[#This Row],[Loser]],Ranking!C:D,2,FALSE)</f>
        <v>MAAC</v>
      </c>
      <c r="L1862" s="1">
        <v>64</v>
      </c>
      <c r="N1862" s="1">
        <f>Table1[[#This Row],[Winning Score]]-Table1[[#This Row],[Losing Score]]</f>
        <v>7</v>
      </c>
      <c r="O1862" s="1">
        <f>Table1[[#This Row],[Losing Seed]]-Table1[[#This Row],[Winning Seed]]</f>
        <v>9</v>
      </c>
      <c r="P1862" s="1" t="str">
        <f>IF(Table1[[#This Row],[SeD]]&lt;-2,Table1[[#This Row],[Winning Seed]]&amp; " over " &amp;Table1[[#This Row],[Losing Seed]],"")</f>
        <v/>
      </c>
      <c r="Q1862">
        <f>VLOOKUP(Table1[[#This Row],[Losing Seed]],'Seed History'!$N$4:$O$19,2)</f>
        <v>0.25694444444444442</v>
      </c>
      <c r="R1862" s="1">
        <f>IF(Table1[[#This Row],[Round]]="PI",0,Table1[[#This Row],[Round]]-1)</f>
        <v>0</v>
      </c>
      <c r="S1862">
        <f>Table1[[#This Row],[LAW]]-Table1[[#This Row],[LEW]]</f>
        <v>-0.25694444444444442</v>
      </c>
    </row>
    <row r="1863" spans="1:19" x14ac:dyDescent="0.25">
      <c r="A1863" s="66">
        <v>41718</v>
      </c>
      <c r="B1863" s="51">
        <f>YEAR(Table1[[#This Row],[Date]])</f>
        <v>2014</v>
      </c>
      <c r="C1863" s="1">
        <v>1</v>
      </c>
      <c r="D1863" t="s">
        <v>439</v>
      </c>
      <c r="E1863" s="1">
        <v>5</v>
      </c>
      <c r="F1863" t="s">
        <v>338</v>
      </c>
      <c r="G1863" t="str">
        <f>VLOOKUP(Table1[[#This Row],[Winner]],Ranking!C:D,2,FALSE)</f>
        <v>A10</v>
      </c>
      <c r="H1863" s="1">
        <v>83</v>
      </c>
      <c r="I1863" s="1">
        <v>12</v>
      </c>
      <c r="J1863" t="s">
        <v>301</v>
      </c>
      <c r="K1863" t="e">
        <f>VLOOKUP(Table1[[#This Row],[Loser]],Ranking!C:D,2,FALSE)</f>
        <v>#N/A</v>
      </c>
      <c r="L1863" s="1">
        <v>80</v>
      </c>
      <c r="M1863" s="1" t="s">
        <v>462</v>
      </c>
      <c r="N1863" s="1">
        <f>Table1[[#This Row],[Winning Score]]-Table1[[#This Row],[Losing Score]]</f>
        <v>3</v>
      </c>
      <c r="O1863" s="1">
        <f>Table1[[#This Row],[Losing Seed]]-Table1[[#This Row],[Winning Seed]]</f>
        <v>7</v>
      </c>
      <c r="P1863" s="1" t="str">
        <f>IF(Table1[[#This Row],[SeD]]&lt;-2,Table1[[#This Row],[Winning Seed]]&amp; " over " &amp;Table1[[#This Row],[Losing Seed]],"")</f>
        <v/>
      </c>
      <c r="Q1863">
        <f>VLOOKUP(Table1[[#This Row],[Losing Seed]],'Seed History'!$N$4:$O$19,2)</f>
        <v>0.52083333333333337</v>
      </c>
      <c r="R1863" s="1">
        <f>IF(Table1[[#This Row],[Round]]="PI",0,Table1[[#This Row],[Round]]-1)</f>
        <v>0</v>
      </c>
      <c r="S1863">
        <f>Table1[[#This Row],[LAW]]-Table1[[#This Row],[LEW]]</f>
        <v>-0.52083333333333337</v>
      </c>
    </row>
    <row r="1864" spans="1:19" x14ac:dyDescent="0.25">
      <c r="A1864" s="66">
        <v>41718</v>
      </c>
      <c r="B1864" s="51">
        <f>YEAR(Table1[[#This Row],[Date]])</f>
        <v>2014</v>
      </c>
      <c r="C1864" s="1">
        <v>1</v>
      </c>
      <c r="D1864" t="s">
        <v>439</v>
      </c>
      <c r="E1864" s="1">
        <v>7</v>
      </c>
      <c r="F1864" t="s">
        <v>34</v>
      </c>
      <c r="G1864" t="str">
        <f>VLOOKUP(Table1[[#This Row],[Winner]],Ranking!C:D,2,FALSE)</f>
        <v>B12</v>
      </c>
      <c r="H1864" s="1">
        <v>87</v>
      </c>
      <c r="I1864" s="1">
        <v>10</v>
      </c>
      <c r="J1864" t="s">
        <v>125</v>
      </c>
      <c r="K1864" t="str">
        <f>VLOOKUP(Table1[[#This Row],[Loser]],Ranking!C:D,2,FALSE)</f>
        <v>P12</v>
      </c>
      <c r="L1864" s="1">
        <v>85</v>
      </c>
      <c r="N1864" s="1">
        <f>Table1[[#This Row],[Winning Score]]-Table1[[#This Row],[Losing Score]]</f>
        <v>2</v>
      </c>
      <c r="O1864" s="1">
        <f>Table1[[#This Row],[Losing Seed]]-Table1[[#This Row],[Winning Seed]]</f>
        <v>3</v>
      </c>
      <c r="P1864" s="1" t="str">
        <f>IF(Table1[[#This Row],[SeD]]&lt;-2,Table1[[#This Row],[Winning Seed]]&amp; " over " &amp;Table1[[#This Row],[Losing Seed]],"")</f>
        <v/>
      </c>
      <c r="Q1864">
        <f>VLOOKUP(Table1[[#This Row],[Losing Seed]],'Seed History'!$N$4:$O$19,2)</f>
        <v>0.61805555555555558</v>
      </c>
      <c r="R1864" s="1">
        <f>IF(Table1[[#This Row],[Round]]="PI",0,Table1[[#This Row],[Round]]-1)</f>
        <v>0</v>
      </c>
      <c r="S1864">
        <f>Table1[[#This Row],[LAW]]-Table1[[#This Row],[LEW]]</f>
        <v>-0.61805555555555558</v>
      </c>
    </row>
    <row r="1865" spans="1:19" x14ac:dyDescent="0.25">
      <c r="A1865" s="66">
        <v>41718</v>
      </c>
      <c r="B1865" s="51">
        <f>YEAR(Table1[[#This Row],[Date]])</f>
        <v>2014</v>
      </c>
      <c r="C1865" s="1">
        <v>1</v>
      </c>
      <c r="D1865" t="s">
        <v>63</v>
      </c>
      <c r="E1865" s="1">
        <v>1</v>
      </c>
      <c r="F1865" t="s">
        <v>81</v>
      </c>
      <c r="G1865" t="str">
        <f>VLOOKUP(Table1[[#This Row],[Winner]],Ranking!C:D,2,FALSE)</f>
        <v>SEC</v>
      </c>
      <c r="H1865" s="1">
        <v>67</v>
      </c>
      <c r="I1865" s="1">
        <v>16</v>
      </c>
      <c r="J1865" t="s">
        <v>59</v>
      </c>
      <c r="K1865" t="str">
        <f>VLOOKUP(Table1[[#This Row],[Loser]],Ranking!C:D,2,FALSE)</f>
        <v>AE</v>
      </c>
      <c r="L1865" s="1">
        <v>55</v>
      </c>
      <c r="N1865" s="1">
        <f>Table1[[#This Row],[Winning Score]]-Table1[[#This Row],[Losing Score]]</f>
        <v>12</v>
      </c>
      <c r="O1865" s="1">
        <f>Table1[[#This Row],[Losing Seed]]-Table1[[#This Row],[Winning Seed]]</f>
        <v>15</v>
      </c>
      <c r="P1865" s="1" t="str">
        <f>IF(Table1[[#This Row],[SeD]]&lt;-2,Table1[[#This Row],[Winning Seed]]&amp; " over " &amp;Table1[[#This Row],[Losing Seed]],"")</f>
        <v/>
      </c>
      <c r="Q1865">
        <f>VLOOKUP(Table1[[#This Row],[Losing Seed]],'Seed History'!$N$4:$O$19,2)</f>
        <v>6.9444444444444441E-3</v>
      </c>
      <c r="R1865" s="1">
        <f>IF(Table1[[#This Row],[Round]]="PI",0,Table1[[#This Row],[Round]]-1)</f>
        <v>0</v>
      </c>
      <c r="S1865">
        <f>Table1[[#This Row],[LAW]]-Table1[[#This Row],[LEW]]</f>
        <v>-6.9444444444444441E-3</v>
      </c>
    </row>
    <row r="1866" spans="1:19" x14ac:dyDescent="0.25">
      <c r="A1866" s="66">
        <v>41718</v>
      </c>
      <c r="B1866" s="51">
        <f>YEAR(Table1[[#This Row],[Date]])</f>
        <v>2014</v>
      </c>
      <c r="C1866" s="1">
        <v>1</v>
      </c>
      <c r="D1866" t="s">
        <v>63</v>
      </c>
      <c r="E1866" s="1">
        <v>3</v>
      </c>
      <c r="F1866" t="s">
        <v>86</v>
      </c>
      <c r="G1866" t="str">
        <f>VLOOKUP(Table1[[#This Row],[Winner]],Ranking!C:D,2,FALSE)</f>
        <v>ACC</v>
      </c>
      <c r="H1866" s="1">
        <v>77</v>
      </c>
      <c r="I1866" s="1">
        <v>14</v>
      </c>
      <c r="J1866" t="s">
        <v>416</v>
      </c>
      <c r="K1866" t="str">
        <f>VLOOKUP(Table1[[#This Row],[Loser]],Ranking!C:D,2,FALSE)</f>
        <v>MAC</v>
      </c>
      <c r="L1866" s="1">
        <v>53</v>
      </c>
      <c r="N1866" s="1">
        <f>Table1[[#This Row],[Winning Score]]-Table1[[#This Row],[Losing Score]]</f>
        <v>24</v>
      </c>
      <c r="O1866" s="1">
        <f>Table1[[#This Row],[Losing Seed]]-Table1[[#This Row],[Winning Seed]]</f>
        <v>11</v>
      </c>
      <c r="P1866" s="1" t="str">
        <f>IF(Table1[[#This Row],[SeD]]&lt;-2,Table1[[#This Row],[Winning Seed]]&amp; " over " &amp;Table1[[#This Row],[Losing Seed]],"")</f>
        <v/>
      </c>
      <c r="Q1866">
        <f>VLOOKUP(Table1[[#This Row],[Losing Seed]],'Seed History'!$N$4:$O$19,2)</f>
        <v>0.16666666666666666</v>
      </c>
      <c r="R1866" s="1">
        <f>IF(Table1[[#This Row],[Round]]="PI",0,Table1[[#This Row],[Round]]-1)</f>
        <v>0</v>
      </c>
      <c r="S1866">
        <f>Table1[[#This Row],[LAW]]-Table1[[#This Row],[LEW]]</f>
        <v>-0.16666666666666666</v>
      </c>
    </row>
    <row r="1867" spans="1:19" x14ac:dyDescent="0.25">
      <c r="A1867" s="66">
        <v>41718</v>
      </c>
      <c r="B1867" s="51">
        <f>YEAR(Table1[[#This Row],[Date]])</f>
        <v>2014</v>
      </c>
      <c r="C1867" s="1">
        <v>1</v>
      </c>
      <c r="D1867" t="s">
        <v>38</v>
      </c>
      <c r="E1867" s="1">
        <v>2</v>
      </c>
      <c r="F1867" t="s">
        <v>39</v>
      </c>
      <c r="G1867" t="str">
        <f>VLOOKUP(Table1[[#This Row],[Winner]],Ranking!C:D,2,FALSE)</f>
        <v>B10</v>
      </c>
      <c r="H1867" s="1">
        <v>75</v>
      </c>
      <c r="I1867" s="1">
        <v>15</v>
      </c>
      <c r="J1867" t="s">
        <v>120</v>
      </c>
      <c r="K1867" t="str">
        <f>VLOOKUP(Table1[[#This Row],[Loser]],Ranking!C:D,2,FALSE)</f>
        <v>Pat</v>
      </c>
      <c r="L1867" s="1">
        <v>35</v>
      </c>
      <c r="N1867" s="1">
        <f>Table1[[#This Row],[Winning Score]]-Table1[[#This Row],[Losing Score]]</f>
        <v>40</v>
      </c>
      <c r="O1867" s="1">
        <f>Table1[[#This Row],[Losing Seed]]-Table1[[#This Row],[Winning Seed]]</f>
        <v>13</v>
      </c>
      <c r="P1867" s="1" t="str">
        <f>IF(Table1[[#This Row],[SeD]]&lt;-2,Table1[[#This Row],[Winning Seed]]&amp; " over " &amp;Table1[[#This Row],[Losing Seed]],"")</f>
        <v/>
      </c>
      <c r="Q1867">
        <f>VLOOKUP(Table1[[#This Row],[Losing Seed]],'Seed History'!$N$4:$O$19,2)</f>
        <v>7.6388888888888895E-2</v>
      </c>
      <c r="R1867" s="1">
        <f>IF(Table1[[#This Row],[Round]]="PI",0,Table1[[#This Row],[Round]]-1)</f>
        <v>0</v>
      </c>
      <c r="S1867">
        <f>Table1[[#This Row],[LAW]]-Table1[[#This Row],[LEW]]</f>
        <v>-7.6388888888888895E-2</v>
      </c>
    </row>
    <row r="1868" spans="1:19" x14ac:dyDescent="0.25">
      <c r="A1868" s="66">
        <v>41718</v>
      </c>
      <c r="B1868" s="51">
        <f>YEAR(Table1[[#This Row],[Date]])</f>
        <v>2014</v>
      </c>
      <c r="C1868" s="1">
        <v>1</v>
      </c>
      <c r="D1868" t="s">
        <v>38</v>
      </c>
      <c r="E1868" s="1">
        <v>4</v>
      </c>
      <c r="F1868" t="s">
        <v>344</v>
      </c>
      <c r="G1868" t="str">
        <f>VLOOKUP(Table1[[#This Row],[Winner]],Ranking!C:D,2,FALSE)</f>
        <v>MWC</v>
      </c>
      <c r="H1868" s="1">
        <v>73</v>
      </c>
      <c r="I1868" s="1">
        <v>13</v>
      </c>
      <c r="J1868" t="s">
        <v>292</v>
      </c>
      <c r="K1868" t="str">
        <f>VLOOKUP(Table1[[#This Row],[Loser]],Ranking!C:D,2,FALSE)</f>
        <v>WAC</v>
      </c>
      <c r="L1868" s="1">
        <v>69</v>
      </c>
      <c r="M1868" s="1" t="s">
        <v>462</v>
      </c>
      <c r="N1868" s="1">
        <f>Table1[[#This Row],[Winning Score]]-Table1[[#This Row],[Losing Score]]</f>
        <v>4</v>
      </c>
      <c r="O1868" s="1">
        <f>Table1[[#This Row],[Losing Seed]]-Table1[[#This Row],[Winning Seed]]</f>
        <v>9</v>
      </c>
      <c r="P1868" s="1" t="str">
        <f>IF(Table1[[#This Row],[SeD]]&lt;-2,Table1[[#This Row],[Winning Seed]]&amp; " over " &amp;Table1[[#This Row],[Losing Seed]],"")</f>
        <v/>
      </c>
      <c r="Q1868">
        <f>VLOOKUP(Table1[[#This Row],[Losing Seed]],'Seed History'!$N$4:$O$19,2)</f>
        <v>0.25694444444444442</v>
      </c>
      <c r="R1868" s="1">
        <f>IF(Table1[[#This Row],[Round]]="PI",0,Table1[[#This Row],[Round]]-1)</f>
        <v>0</v>
      </c>
      <c r="S1868">
        <f>Table1[[#This Row],[LAW]]-Table1[[#This Row],[LEW]]</f>
        <v>-0.25694444444444442</v>
      </c>
    </row>
    <row r="1869" spans="1:19" x14ac:dyDescent="0.25">
      <c r="A1869" s="66">
        <v>41718</v>
      </c>
      <c r="B1869" s="51">
        <f>YEAR(Table1[[#This Row],[Date]])</f>
        <v>2014</v>
      </c>
      <c r="C1869" s="1">
        <v>1</v>
      </c>
      <c r="D1869" t="s">
        <v>38</v>
      </c>
      <c r="E1869" s="1">
        <v>7</v>
      </c>
      <c r="F1869" t="s">
        <v>40</v>
      </c>
      <c r="G1869" t="str">
        <f>VLOOKUP(Table1[[#This Row],[Winner]],Ranking!C:D,2,FALSE)</f>
        <v>P12</v>
      </c>
      <c r="H1869" s="1">
        <v>87</v>
      </c>
      <c r="I1869" s="1">
        <v>10</v>
      </c>
      <c r="J1869" t="s">
        <v>72</v>
      </c>
      <c r="K1869" t="str">
        <f>VLOOKUP(Table1[[#This Row],[Loser]],Ranking!C:D,2,FALSE)</f>
        <v>WCC</v>
      </c>
      <c r="L1869" s="1">
        <v>68</v>
      </c>
      <c r="N1869" s="1">
        <f>Table1[[#This Row],[Winning Score]]-Table1[[#This Row],[Losing Score]]</f>
        <v>19</v>
      </c>
      <c r="O1869" s="1">
        <f>Table1[[#This Row],[Losing Seed]]-Table1[[#This Row],[Winning Seed]]</f>
        <v>3</v>
      </c>
      <c r="P1869" s="1" t="str">
        <f>IF(Table1[[#This Row],[SeD]]&lt;-2,Table1[[#This Row],[Winning Seed]]&amp; " over " &amp;Table1[[#This Row],[Losing Seed]],"")</f>
        <v/>
      </c>
      <c r="Q1869">
        <f>VLOOKUP(Table1[[#This Row],[Losing Seed]],'Seed History'!$N$4:$O$19,2)</f>
        <v>0.61805555555555558</v>
      </c>
      <c r="R1869" s="1">
        <f>IF(Table1[[#This Row],[Round]]="PI",0,Table1[[#This Row],[Round]]-1)</f>
        <v>0</v>
      </c>
      <c r="S1869">
        <f>Table1[[#This Row],[LAW]]-Table1[[#This Row],[LEW]]</f>
        <v>-0.61805555555555558</v>
      </c>
    </row>
    <row r="1870" spans="1:19" x14ac:dyDescent="0.25">
      <c r="A1870" s="66">
        <v>41718</v>
      </c>
      <c r="B1870" s="51">
        <f>YEAR(Table1[[#This Row],[Date]])</f>
        <v>2014</v>
      </c>
      <c r="C1870" s="1">
        <v>1</v>
      </c>
      <c r="D1870" t="s">
        <v>63</v>
      </c>
      <c r="E1870" s="1">
        <v>9</v>
      </c>
      <c r="F1870" t="s">
        <v>83</v>
      </c>
      <c r="G1870" t="str">
        <f>VLOOKUP(Table1[[#This Row],[Winner]],Ranking!C:D,2,FALSE)</f>
        <v>ACC</v>
      </c>
      <c r="H1870" s="1">
        <v>77</v>
      </c>
      <c r="I1870" s="1">
        <v>8</v>
      </c>
      <c r="J1870" t="s">
        <v>95</v>
      </c>
      <c r="K1870" t="str">
        <f>VLOOKUP(Table1[[#This Row],[Loser]],Ranking!C:D,2,FALSE)</f>
        <v>P12</v>
      </c>
      <c r="L1870" s="1">
        <v>48</v>
      </c>
      <c r="N1870" s="1">
        <f>Table1[[#This Row],[Winning Score]]-Table1[[#This Row],[Losing Score]]</f>
        <v>29</v>
      </c>
      <c r="O1870" s="1">
        <f>Table1[[#This Row],[Losing Seed]]-Table1[[#This Row],[Winning Seed]]</f>
        <v>-1</v>
      </c>
      <c r="P1870" s="1" t="str">
        <f>IF(Table1[[#This Row],[SeD]]&lt;-2,Table1[[#This Row],[Winning Seed]]&amp; " over " &amp;Table1[[#This Row],[Losing Seed]],"")</f>
        <v/>
      </c>
      <c r="Q1870">
        <f>VLOOKUP(Table1[[#This Row],[Losing Seed]],'Seed History'!$N$4:$O$19,2)</f>
        <v>0.70833333333333337</v>
      </c>
      <c r="R1870" s="1">
        <f>IF(Table1[[#This Row],[Round]]="PI",0,Table1[[#This Row],[Round]]-1)</f>
        <v>0</v>
      </c>
      <c r="S1870">
        <f>Table1[[#This Row],[LAW]]-Table1[[#This Row],[LEW]]</f>
        <v>-0.70833333333333337</v>
      </c>
    </row>
    <row r="1871" spans="1:19" x14ac:dyDescent="0.25">
      <c r="A1871" s="66">
        <v>41719</v>
      </c>
      <c r="B1871" s="51">
        <f>YEAR(Table1[[#This Row],[Date]])</f>
        <v>2014</v>
      </c>
      <c r="C1871" s="1">
        <v>1</v>
      </c>
      <c r="D1871" t="s">
        <v>439</v>
      </c>
      <c r="E1871" s="1">
        <v>14</v>
      </c>
      <c r="F1871" t="s">
        <v>268</v>
      </c>
      <c r="G1871" t="str">
        <f>VLOOKUP(Table1[[#This Row],[Winner]],Ranking!C:D,2,FALSE)</f>
        <v>SC</v>
      </c>
      <c r="H1871" s="1">
        <v>78</v>
      </c>
      <c r="I1871" s="1">
        <v>3</v>
      </c>
      <c r="J1871" t="s">
        <v>64</v>
      </c>
      <c r="K1871" t="str">
        <f>VLOOKUP(Table1[[#This Row],[Loser]],Ranking!C:D,2,FALSE)</f>
        <v>ACC</v>
      </c>
      <c r="L1871" s="1">
        <v>71</v>
      </c>
      <c r="N1871" s="1">
        <f>Table1[[#This Row],[Winning Score]]-Table1[[#This Row],[Losing Score]]</f>
        <v>7</v>
      </c>
      <c r="O1871" s="1">
        <f>Table1[[#This Row],[Losing Seed]]-Table1[[#This Row],[Winning Seed]]</f>
        <v>-11</v>
      </c>
      <c r="P1871" s="1" t="str">
        <f>IF(Table1[[#This Row],[SeD]]&lt;-2,Table1[[#This Row],[Winning Seed]]&amp; " over " &amp;Table1[[#This Row],[Losing Seed]],"")</f>
        <v>14 over 3</v>
      </c>
      <c r="Q1871">
        <f>VLOOKUP(Table1[[#This Row],[Losing Seed]],'Seed History'!$N$4:$O$19,2)</f>
        <v>1.8472222222222223</v>
      </c>
      <c r="R1871" s="1">
        <f>IF(Table1[[#This Row],[Round]]="PI",0,Table1[[#This Row],[Round]]-1)</f>
        <v>0</v>
      </c>
      <c r="S1871">
        <f>Table1[[#This Row],[LAW]]-Table1[[#This Row],[LEW]]</f>
        <v>-1.8472222222222223</v>
      </c>
    </row>
    <row r="1872" spans="1:19" x14ac:dyDescent="0.25">
      <c r="A1872" s="66">
        <v>41719</v>
      </c>
      <c r="B1872" s="51">
        <f>YEAR(Table1[[#This Row],[Date]])</f>
        <v>2014</v>
      </c>
      <c r="C1872" s="1">
        <v>1</v>
      </c>
      <c r="D1872" t="s">
        <v>63</v>
      </c>
      <c r="E1872" s="1">
        <v>12</v>
      </c>
      <c r="F1872" t="s">
        <v>370</v>
      </c>
      <c r="G1872" t="str">
        <f>VLOOKUP(Table1[[#This Row],[Winner]],Ranking!C:D,2,FALSE)</f>
        <v>Slnd</v>
      </c>
      <c r="H1872" s="1">
        <v>77</v>
      </c>
      <c r="I1872" s="1">
        <v>5</v>
      </c>
      <c r="J1872" t="s">
        <v>47</v>
      </c>
      <c r="K1872" t="str">
        <f>VLOOKUP(Table1[[#This Row],[Loser]],Ranking!C:D,2,FALSE)</f>
        <v>A10</v>
      </c>
      <c r="L1872" s="1">
        <v>75</v>
      </c>
      <c r="M1872" s="1" t="s">
        <v>462</v>
      </c>
      <c r="N1872" s="1">
        <f>Table1[[#This Row],[Winning Score]]-Table1[[#This Row],[Losing Score]]</f>
        <v>2</v>
      </c>
      <c r="O1872" s="1">
        <f>Table1[[#This Row],[Losing Seed]]-Table1[[#This Row],[Winning Seed]]</f>
        <v>-7</v>
      </c>
      <c r="P1872" s="1" t="str">
        <f>IF(Table1[[#This Row],[SeD]]&lt;-2,Table1[[#This Row],[Winning Seed]]&amp; " over " &amp;Table1[[#This Row],[Losing Seed]],"")</f>
        <v>12 over 5</v>
      </c>
      <c r="Q1872">
        <f>VLOOKUP(Table1[[#This Row],[Losing Seed]],'Seed History'!$N$4:$O$19,2)</f>
        <v>1.1180555555555556</v>
      </c>
      <c r="R1872" s="1">
        <f>IF(Table1[[#This Row],[Round]]="PI",0,Table1[[#This Row],[Round]]-1)</f>
        <v>0</v>
      </c>
      <c r="S1872">
        <f>Table1[[#This Row],[LAW]]-Table1[[#This Row],[LEW]]</f>
        <v>-1.1180555555555556</v>
      </c>
    </row>
    <row r="1873" spans="1:19" x14ac:dyDescent="0.25">
      <c r="A1873" s="66">
        <v>41719</v>
      </c>
      <c r="B1873" s="51">
        <f>YEAR(Table1[[#This Row],[Date]])</f>
        <v>2014</v>
      </c>
      <c r="C1873" s="1">
        <v>1</v>
      </c>
      <c r="D1873" t="s">
        <v>439</v>
      </c>
      <c r="E1873" s="1">
        <v>11</v>
      </c>
      <c r="F1873" t="s">
        <v>374</v>
      </c>
      <c r="G1873" t="str">
        <f>VLOOKUP(Table1[[#This Row],[Winner]],Ranking!C:D,2,FALSE)</f>
        <v>SEC</v>
      </c>
      <c r="H1873" s="1">
        <v>86</v>
      </c>
      <c r="I1873" s="1">
        <v>6</v>
      </c>
      <c r="J1873" t="s">
        <v>265</v>
      </c>
      <c r="K1873" t="str">
        <f>VLOOKUP(Table1[[#This Row],[Loser]],Ranking!C:D,2,FALSE)</f>
        <v>A10</v>
      </c>
      <c r="L1873" s="1">
        <v>67</v>
      </c>
      <c r="N1873" s="1">
        <f>Table1[[#This Row],[Winning Score]]-Table1[[#This Row],[Losing Score]]</f>
        <v>19</v>
      </c>
      <c r="O1873" s="1">
        <f>Table1[[#This Row],[Losing Seed]]-Table1[[#This Row],[Winning Seed]]</f>
        <v>-5</v>
      </c>
      <c r="P1873" s="1" t="str">
        <f>IF(Table1[[#This Row],[SeD]]&lt;-2,Table1[[#This Row],[Winning Seed]]&amp; " over " &amp;Table1[[#This Row],[Losing Seed]],"")</f>
        <v>11 over 6</v>
      </c>
      <c r="Q1873">
        <f>VLOOKUP(Table1[[#This Row],[Losing Seed]],'Seed History'!$N$4:$O$19,2)</f>
        <v>1.0625</v>
      </c>
      <c r="R1873" s="1">
        <f>IF(Table1[[#This Row],[Round]]="PI",0,Table1[[#This Row],[Round]]-1)</f>
        <v>0</v>
      </c>
      <c r="S1873">
        <f>Table1[[#This Row],[LAW]]-Table1[[#This Row],[LEW]]</f>
        <v>-1.0625</v>
      </c>
    </row>
    <row r="1874" spans="1:19" x14ac:dyDescent="0.25">
      <c r="A1874" s="66">
        <v>41719</v>
      </c>
      <c r="B1874" s="51">
        <f>YEAR(Table1[[#This Row],[Date]])</f>
        <v>2014</v>
      </c>
      <c r="C1874" s="1">
        <v>1</v>
      </c>
      <c r="D1874" t="s">
        <v>63</v>
      </c>
      <c r="E1874" s="1">
        <v>10</v>
      </c>
      <c r="F1874" t="s">
        <v>369</v>
      </c>
      <c r="G1874" t="str">
        <f>VLOOKUP(Table1[[#This Row],[Winner]],Ranking!C:D,2,FALSE)</f>
        <v>P12</v>
      </c>
      <c r="H1874" s="1">
        <v>58</v>
      </c>
      <c r="I1874" s="1">
        <v>7</v>
      </c>
      <c r="J1874" t="s">
        <v>291</v>
      </c>
      <c r="K1874" t="str">
        <f>VLOOKUP(Table1[[#This Row],[Loser]],Ranking!C:D,2,FALSE)</f>
        <v>MWC</v>
      </c>
      <c r="L1874" s="1">
        <v>53</v>
      </c>
      <c r="N1874" s="1">
        <f>Table1[[#This Row],[Winning Score]]-Table1[[#This Row],[Losing Score]]</f>
        <v>5</v>
      </c>
      <c r="O1874" s="1">
        <f>Table1[[#This Row],[Losing Seed]]-Table1[[#This Row],[Winning Seed]]</f>
        <v>-3</v>
      </c>
      <c r="P1874" s="1" t="str">
        <f>IF(Table1[[#This Row],[SeD]]&lt;-2,Table1[[#This Row],[Winning Seed]]&amp; " over " &amp;Table1[[#This Row],[Losing Seed]],"")</f>
        <v>10 over 7</v>
      </c>
      <c r="Q1874">
        <f>VLOOKUP(Table1[[#This Row],[Losing Seed]],'Seed History'!$N$4:$O$19,2)</f>
        <v>0.90277777777777779</v>
      </c>
      <c r="R1874" s="1">
        <f>IF(Table1[[#This Row],[Round]]="PI",0,Table1[[#This Row],[Round]]-1)</f>
        <v>0</v>
      </c>
      <c r="S1874">
        <f>Table1[[#This Row],[LAW]]-Table1[[#This Row],[LEW]]</f>
        <v>-0.90277777777777779</v>
      </c>
    </row>
    <row r="1875" spans="1:19" x14ac:dyDescent="0.25">
      <c r="A1875" s="66">
        <v>41719</v>
      </c>
      <c r="B1875" s="51">
        <f>YEAR(Table1[[#This Row],[Date]])</f>
        <v>2014</v>
      </c>
      <c r="C1875" s="1">
        <v>1</v>
      </c>
      <c r="D1875" t="s">
        <v>49</v>
      </c>
      <c r="E1875" s="1">
        <v>1</v>
      </c>
      <c r="F1875" t="s">
        <v>61</v>
      </c>
      <c r="G1875" t="str">
        <f>VLOOKUP(Table1[[#This Row],[Winner]],Ranking!C:D,2,FALSE)</f>
        <v>ACC</v>
      </c>
      <c r="H1875" s="1">
        <v>70</v>
      </c>
      <c r="I1875" s="1">
        <v>16</v>
      </c>
      <c r="J1875" t="s">
        <v>173</v>
      </c>
      <c r="K1875" t="str">
        <f>VLOOKUP(Table1[[#This Row],[Loser]],Ranking!C:D,2,FALSE)</f>
        <v>SB</v>
      </c>
      <c r="L1875" s="1">
        <v>59</v>
      </c>
      <c r="N1875" s="1">
        <f>Table1[[#This Row],[Winning Score]]-Table1[[#This Row],[Losing Score]]</f>
        <v>11</v>
      </c>
      <c r="O1875" s="1">
        <f>Table1[[#This Row],[Losing Seed]]-Table1[[#This Row],[Winning Seed]]</f>
        <v>15</v>
      </c>
      <c r="P1875" s="1" t="str">
        <f>IF(Table1[[#This Row],[SeD]]&lt;-2,Table1[[#This Row],[Winning Seed]]&amp; " over " &amp;Table1[[#This Row],[Losing Seed]],"")</f>
        <v/>
      </c>
      <c r="Q1875">
        <f>VLOOKUP(Table1[[#This Row],[Losing Seed]],'Seed History'!$N$4:$O$19,2)</f>
        <v>6.9444444444444441E-3</v>
      </c>
      <c r="R1875" s="1">
        <f>IF(Table1[[#This Row],[Round]]="PI",0,Table1[[#This Row],[Round]]-1)</f>
        <v>0</v>
      </c>
      <c r="S1875">
        <f>Table1[[#This Row],[LAW]]-Table1[[#This Row],[LEW]]</f>
        <v>-6.9444444444444441E-3</v>
      </c>
    </row>
    <row r="1876" spans="1:19" x14ac:dyDescent="0.25">
      <c r="A1876" s="66">
        <v>41719</v>
      </c>
      <c r="B1876" s="51">
        <f>YEAR(Table1[[#This Row],[Date]])</f>
        <v>2014</v>
      </c>
      <c r="C1876" s="1">
        <v>1</v>
      </c>
      <c r="D1876" t="s">
        <v>49</v>
      </c>
      <c r="E1876" s="1">
        <v>3</v>
      </c>
      <c r="F1876" t="s">
        <v>237</v>
      </c>
      <c r="G1876" t="str">
        <f>VLOOKUP(Table1[[#This Row],[Winner]],Ranking!C:D,2,FALSE)</f>
        <v>B12</v>
      </c>
      <c r="H1876" s="1">
        <v>93</v>
      </c>
      <c r="I1876" s="1">
        <v>14</v>
      </c>
      <c r="J1876" t="s">
        <v>300</v>
      </c>
      <c r="K1876" t="str">
        <f>VLOOKUP(Table1[[#This Row],[Loser]],Ranking!C:D,2,FALSE)</f>
        <v>MEAC</v>
      </c>
      <c r="L1876" s="1">
        <v>75</v>
      </c>
      <c r="N1876" s="1">
        <f>Table1[[#This Row],[Winning Score]]-Table1[[#This Row],[Losing Score]]</f>
        <v>18</v>
      </c>
      <c r="O1876" s="1">
        <f>Table1[[#This Row],[Losing Seed]]-Table1[[#This Row],[Winning Seed]]</f>
        <v>11</v>
      </c>
      <c r="P1876" s="1" t="str">
        <f>IF(Table1[[#This Row],[SeD]]&lt;-2,Table1[[#This Row],[Winning Seed]]&amp; " over " &amp;Table1[[#This Row],[Losing Seed]],"")</f>
        <v/>
      </c>
      <c r="Q1876">
        <f>VLOOKUP(Table1[[#This Row],[Losing Seed]],'Seed History'!$N$4:$O$19,2)</f>
        <v>0.16666666666666666</v>
      </c>
      <c r="R1876" s="1">
        <f>IF(Table1[[#This Row],[Round]]="PI",0,Table1[[#This Row],[Round]]-1)</f>
        <v>0</v>
      </c>
      <c r="S1876">
        <f>Table1[[#This Row],[LAW]]-Table1[[#This Row],[LEW]]</f>
        <v>-0.16666666666666666</v>
      </c>
    </row>
    <row r="1877" spans="1:19" x14ac:dyDescent="0.25">
      <c r="A1877" s="66">
        <v>41719</v>
      </c>
      <c r="B1877" s="51">
        <f>YEAR(Table1[[#This Row],[Date]])</f>
        <v>2014</v>
      </c>
      <c r="C1877" s="1">
        <v>1</v>
      </c>
      <c r="D1877" t="s">
        <v>49</v>
      </c>
      <c r="E1877" s="1">
        <v>6</v>
      </c>
      <c r="F1877" t="s">
        <v>298</v>
      </c>
      <c r="G1877" t="str">
        <f>VLOOKUP(Table1[[#This Row],[Winner]],Ranking!C:D,2,FALSE)</f>
        <v>ACC</v>
      </c>
      <c r="H1877" s="1">
        <v>79</v>
      </c>
      <c r="I1877" s="1">
        <v>11</v>
      </c>
      <c r="J1877" t="s">
        <v>56</v>
      </c>
      <c r="K1877" t="str">
        <f>VLOOKUP(Table1[[#This Row],[Loser]],Ranking!C:D,2,FALSE)</f>
        <v>BE</v>
      </c>
      <c r="L1877" s="1">
        <v>77</v>
      </c>
      <c r="N1877" s="1">
        <f>Table1[[#This Row],[Winning Score]]-Table1[[#This Row],[Losing Score]]</f>
        <v>2</v>
      </c>
      <c r="O1877" s="1">
        <f>Table1[[#This Row],[Losing Seed]]-Table1[[#This Row],[Winning Seed]]</f>
        <v>5</v>
      </c>
      <c r="P1877" s="1" t="str">
        <f>IF(Table1[[#This Row],[SeD]]&lt;-2,Table1[[#This Row],[Winning Seed]]&amp; " over " &amp;Table1[[#This Row],[Losing Seed]],"")</f>
        <v/>
      </c>
      <c r="Q1877">
        <f>VLOOKUP(Table1[[#This Row],[Losing Seed]],'Seed History'!$N$4:$O$19,2)</f>
        <v>0.63194444444444442</v>
      </c>
      <c r="R1877" s="1">
        <f>IF(Table1[[#This Row],[Round]]="PI",0,Table1[[#This Row],[Round]]-1)</f>
        <v>0</v>
      </c>
      <c r="S1877">
        <f>Table1[[#This Row],[LAW]]-Table1[[#This Row],[LEW]]</f>
        <v>-0.63194444444444442</v>
      </c>
    </row>
    <row r="1878" spans="1:19" x14ac:dyDescent="0.25">
      <c r="A1878" s="66">
        <v>41719</v>
      </c>
      <c r="B1878" s="51">
        <f>YEAR(Table1[[#This Row],[Date]])</f>
        <v>2014</v>
      </c>
      <c r="C1878" s="1">
        <v>1</v>
      </c>
      <c r="D1878" t="s">
        <v>49</v>
      </c>
      <c r="E1878" s="1">
        <v>8</v>
      </c>
      <c r="F1878" t="s">
        <v>267</v>
      </c>
      <c r="G1878" t="str">
        <f>VLOOKUP(Table1[[#This Row],[Winner]],Ranking!C:D,2,FALSE)</f>
        <v>Amer</v>
      </c>
      <c r="H1878" s="1">
        <v>71</v>
      </c>
      <c r="I1878" s="1">
        <v>9</v>
      </c>
      <c r="J1878" t="s">
        <v>213</v>
      </c>
      <c r="K1878" t="str">
        <f>VLOOKUP(Table1[[#This Row],[Loser]],Ranking!C:D,2,FALSE)</f>
        <v>A10</v>
      </c>
      <c r="L1878" s="1">
        <v>66</v>
      </c>
      <c r="N1878" s="1">
        <f>Table1[[#This Row],[Winning Score]]-Table1[[#This Row],[Losing Score]]</f>
        <v>5</v>
      </c>
      <c r="O1878" s="1">
        <f>Table1[[#This Row],[Losing Seed]]-Table1[[#This Row],[Winning Seed]]</f>
        <v>1</v>
      </c>
      <c r="P1878" s="1" t="str">
        <f>IF(Table1[[#This Row],[SeD]]&lt;-2,Table1[[#This Row],[Winning Seed]]&amp; " over " &amp;Table1[[#This Row],[Losing Seed]],"")</f>
        <v/>
      </c>
      <c r="Q1878">
        <f>VLOOKUP(Table1[[#This Row],[Losing Seed]],'Seed History'!$N$4:$O$19,2)</f>
        <v>0.59027777777777779</v>
      </c>
      <c r="R1878" s="1">
        <f>IF(Table1[[#This Row],[Round]]="PI",0,Table1[[#This Row],[Round]]-1)</f>
        <v>0</v>
      </c>
      <c r="S1878">
        <f>Table1[[#This Row],[LAW]]-Table1[[#This Row],[LEW]]</f>
        <v>-0.59027777777777779</v>
      </c>
    </row>
    <row r="1879" spans="1:19" x14ac:dyDescent="0.25">
      <c r="A1879" s="66">
        <v>41719</v>
      </c>
      <c r="B1879" s="51">
        <f>YEAR(Table1[[#This Row],[Date]])</f>
        <v>2014</v>
      </c>
      <c r="C1879" s="1">
        <v>1</v>
      </c>
      <c r="D1879" t="s">
        <v>439</v>
      </c>
      <c r="E1879" s="1">
        <v>1</v>
      </c>
      <c r="F1879" t="s">
        <v>417</v>
      </c>
      <c r="G1879" t="str">
        <f>VLOOKUP(Table1[[#This Row],[Winner]],Ranking!C:D,2,FALSE)</f>
        <v>Amer</v>
      </c>
      <c r="H1879" s="1">
        <v>64</v>
      </c>
      <c r="I1879" s="1">
        <v>16</v>
      </c>
      <c r="J1879" t="s">
        <v>151</v>
      </c>
      <c r="K1879" t="str">
        <f>VLOOKUP(Table1[[#This Row],[Loser]],Ranking!C:D,2,FALSE)</f>
        <v>BW</v>
      </c>
      <c r="L1879" s="1">
        <v>37</v>
      </c>
      <c r="N1879" s="1">
        <f>Table1[[#This Row],[Winning Score]]-Table1[[#This Row],[Losing Score]]</f>
        <v>27</v>
      </c>
      <c r="O1879" s="1">
        <f>Table1[[#This Row],[Losing Seed]]-Table1[[#This Row],[Winning Seed]]</f>
        <v>15</v>
      </c>
      <c r="P1879" s="1" t="str">
        <f>IF(Table1[[#This Row],[SeD]]&lt;-2,Table1[[#This Row],[Winning Seed]]&amp; " over " &amp;Table1[[#This Row],[Losing Seed]],"")</f>
        <v/>
      </c>
      <c r="Q1879">
        <f>VLOOKUP(Table1[[#This Row],[Losing Seed]],'Seed History'!$N$4:$O$19,2)</f>
        <v>6.9444444444444441E-3</v>
      </c>
      <c r="R1879" s="1">
        <f>IF(Table1[[#This Row],[Round]]="PI",0,Table1[[#This Row],[Round]]-1)</f>
        <v>0</v>
      </c>
      <c r="S1879">
        <f>Table1[[#This Row],[LAW]]-Table1[[#This Row],[LEW]]</f>
        <v>-6.9444444444444441E-3</v>
      </c>
    </row>
    <row r="1880" spans="1:19" x14ac:dyDescent="0.25">
      <c r="A1880" s="66">
        <v>41719</v>
      </c>
      <c r="B1880" s="51">
        <f>YEAR(Table1[[#This Row],[Date]])</f>
        <v>2014</v>
      </c>
      <c r="C1880" s="1">
        <v>1</v>
      </c>
      <c r="D1880" t="s">
        <v>439</v>
      </c>
      <c r="E1880" s="1">
        <v>8</v>
      </c>
      <c r="F1880" t="s">
        <v>26</v>
      </c>
      <c r="G1880" t="str">
        <f>VLOOKUP(Table1[[#This Row],[Winner]],Ranking!C:D,2,FALSE)</f>
        <v>SEC</v>
      </c>
      <c r="H1880" s="1">
        <v>56</v>
      </c>
      <c r="I1880" s="1">
        <v>9</v>
      </c>
      <c r="J1880" t="s">
        <v>243</v>
      </c>
      <c r="K1880" t="str">
        <f>VLOOKUP(Table1[[#This Row],[Loser]],Ranking!C:D,2,FALSE)</f>
        <v>B12</v>
      </c>
      <c r="L1880" s="1">
        <v>49</v>
      </c>
      <c r="N1880" s="1">
        <f>Table1[[#This Row],[Winning Score]]-Table1[[#This Row],[Losing Score]]</f>
        <v>7</v>
      </c>
      <c r="O1880" s="1">
        <f>Table1[[#This Row],[Losing Seed]]-Table1[[#This Row],[Winning Seed]]</f>
        <v>1</v>
      </c>
      <c r="P1880" s="1" t="str">
        <f>IF(Table1[[#This Row],[SeD]]&lt;-2,Table1[[#This Row],[Winning Seed]]&amp; " over " &amp;Table1[[#This Row],[Losing Seed]],"")</f>
        <v/>
      </c>
      <c r="Q1880">
        <f>VLOOKUP(Table1[[#This Row],[Losing Seed]],'Seed History'!$N$4:$O$19,2)</f>
        <v>0.59027777777777779</v>
      </c>
      <c r="R1880" s="1">
        <f>IF(Table1[[#This Row],[Round]]="PI",0,Table1[[#This Row],[Round]]-1)</f>
        <v>0</v>
      </c>
      <c r="S1880">
        <f>Table1[[#This Row],[LAW]]-Table1[[#This Row],[LEW]]</f>
        <v>-0.59027777777777779</v>
      </c>
    </row>
    <row r="1881" spans="1:19" x14ac:dyDescent="0.25">
      <c r="A1881" s="66">
        <v>41719</v>
      </c>
      <c r="B1881" s="51">
        <f>YEAR(Table1[[#This Row],[Date]])</f>
        <v>2014</v>
      </c>
      <c r="C1881" s="1">
        <v>1</v>
      </c>
      <c r="D1881" t="s">
        <v>63</v>
      </c>
      <c r="E1881" s="1">
        <v>2</v>
      </c>
      <c r="F1881" t="s">
        <v>37</v>
      </c>
      <c r="G1881" t="str">
        <f>VLOOKUP(Table1[[#This Row],[Winner]],Ranking!C:D,2,FALSE)</f>
        <v>B12</v>
      </c>
      <c r="H1881" s="1">
        <v>80</v>
      </c>
      <c r="I1881" s="1">
        <v>15</v>
      </c>
      <c r="J1881" t="s">
        <v>194</v>
      </c>
      <c r="K1881" t="str">
        <f>VLOOKUP(Table1[[#This Row],[Loser]],Ranking!C:D,2,FALSE)</f>
        <v>OVC</v>
      </c>
      <c r="L1881" s="1">
        <v>69</v>
      </c>
      <c r="N1881" s="1">
        <f>Table1[[#This Row],[Winning Score]]-Table1[[#This Row],[Losing Score]]</f>
        <v>11</v>
      </c>
      <c r="O1881" s="1">
        <f>Table1[[#This Row],[Losing Seed]]-Table1[[#This Row],[Winning Seed]]</f>
        <v>13</v>
      </c>
      <c r="P1881" s="1" t="str">
        <f>IF(Table1[[#This Row],[SeD]]&lt;-2,Table1[[#This Row],[Winning Seed]]&amp; " over " &amp;Table1[[#This Row],[Losing Seed]],"")</f>
        <v/>
      </c>
      <c r="Q1881">
        <f>VLOOKUP(Table1[[#This Row],[Losing Seed]],'Seed History'!$N$4:$O$19,2)</f>
        <v>7.6388888888888895E-2</v>
      </c>
      <c r="R1881" s="1">
        <f>IF(Table1[[#This Row],[Round]]="PI",0,Table1[[#This Row],[Round]]-1)</f>
        <v>0</v>
      </c>
      <c r="S1881">
        <f>Table1[[#This Row],[LAW]]-Table1[[#This Row],[LEW]]</f>
        <v>-7.6388888888888895E-2</v>
      </c>
    </row>
    <row r="1882" spans="1:19" x14ac:dyDescent="0.25">
      <c r="A1882" s="66">
        <v>41719</v>
      </c>
      <c r="B1882" s="51">
        <f>YEAR(Table1[[#This Row],[Date]])</f>
        <v>2014</v>
      </c>
      <c r="C1882" s="1">
        <v>1</v>
      </c>
      <c r="D1882" t="s">
        <v>63</v>
      </c>
      <c r="E1882" s="1">
        <v>4</v>
      </c>
      <c r="F1882" t="s">
        <v>67</v>
      </c>
      <c r="G1882" t="str">
        <f>VLOOKUP(Table1[[#This Row],[Winner]],Ranking!C:D,2,FALSE)</f>
        <v>P12</v>
      </c>
      <c r="H1882" s="1">
        <v>76</v>
      </c>
      <c r="I1882" s="1">
        <v>13</v>
      </c>
      <c r="J1882" t="s">
        <v>94</v>
      </c>
      <c r="K1882" t="str">
        <f>VLOOKUP(Table1[[#This Row],[Loser]],Ranking!C:D,2,FALSE)</f>
        <v>Amer</v>
      </c>
      <c r="L1882" s="1">
        <v>59</v>
      </c>
      <c r="N1882" s="1">
        <f>Table1[[#This Row],[Winning Score]]-Table1[[#This Row],[Losing Score]]</f>
        <v>17</v>
      </c>
      <c r="O1882" s="1">
        <f>Table1[[#This Row],[Losing Seed]]-Table1[[#This Row],[Winning Seed]]</f>
        <v>9</v>
      </c>
      <c r="P1882" s="1" t="str">
        <f>IF(Table1[[#This Row],[SeD]]&lt;-2,Table1[[#This Row],[Winning Seed]]&amp; " over " &amp;Table1[[#This Row],[Losing Seed]],"")</f>
        <v/>
      </c>
      <c r="Q1882">
        <f>VLOOKUP(Table1[[#This Row],[Losing Seed]],'Seed History'!$N$4:$O$19,2)</f>
        <v>0.25694444444444442</v>
      </c>
      <c r="R1882" s="1">
        <f>IF(Table1[[#This Row],[Round]]="PI",0,Table1[[#This Row],[Round]]-1)</f>
        <v>0</v>
      </c>
      <c r="S1882">
        <f>Table1[[#This Row],[LAW]]-Table1[[#This Row],[LEW]]</f>
        <v>-0.25694444444444442</v>
      </c>
    </row>
    <row r="1883" spans="1:19" x14ac:dyDescent="0.25">
      <c r="A1883" s="66">
        <v>41719</v>
      </c>
      <c r="B1883" s="51">
        <f>YEAR(Table1[[#This Row],[Date]])</f>
        <v>2014</v>
      </c>
      <c r="C1883" s="1">
        <v>1</v>
      </c>
      <c r="D1883" t="s">
        <v>38</v>
      </c>
      <c r="E1883" s="1">
        <v>1</v>
      </c>
      <c r="F1883" t="s">
        <v>48</v>
      </c>
      <c r="G1883" t="str">
        <f>VLOOKUP(Table1[[#This Row],[Winner]],Ranking!C:D,2,FALSE)</f>
        <v>P12</v>
      </c>
      <c r="H1883" s="1">
        <v>68</v>
      </c>
      <c r="I1883" s="1">
        <v>16</v>
      </c>
      <c r="J1883" t="s">
        <v>411</v>
      </c>
      <c r="K1883" t="str">
        <f>VLOOKUP(Table1[[#This Row],[Loser]],Ranking!C:D,2,FALSE)</f>
        <v>BSky</v>
      </c>
      <c r="L1883" s="1">
        <v>59</v>
      </c>
      <c r="N1883" s="1">
        <f>Table1[[#This Row],[Winning Score]]-Table1[[#This Row],[Losing Score]]</f>
        <v>9</v>
      </c>
      <c r="O1883" s="1">
        <f>Table1[[#This Row],[Losing Seed]]-Table1[[#This Row],[Winning Seed]]</f>
        <v>15</v>
      </c>
      <c r="P1883" s="1" t="str">
        <f>IF(Table1[[#This Row],[SeD]]&lt;-2,Table1[[#This Row],[Winning Seed]]&amp; " over " &amp;Table1[[#This Row],[Losing Seed]],"")</f>
        <v/>
      </c>
      <c r="Q1883">
        <f>VLOOKUP(Table1[[#This Row],[Losing Seed]],'Seed History'!$N$4:$O$19,2)</f>
        <v>6.9444444444444441E-3</v>
      </c>
      <c r="R1883" s="1">
        <f>IF(Table1[[#This Row],[Round]]="PI",0,Table1[[#This Row],[Round]]-1)</f>
        <v>0</v>
      </c>
      <c r="S1883">
        <f>Table1[[#This Row],[LAW]]-Table1[[#This Row],[LEW]]</f>
        <v>-6.9444444444444441E-3</v>
      </c>
    </row>
    <row r="1884" spans="1:19" x14ac:dyDescent="0.25">
      <c r="A1884" s="66">
        <v>41719</v>
      </c>
      <c r="B1884" s="51">
        <f>YEAR(Table1[[#This Row],[Date]])</f>
        <v>2014</v>
      </c>
      <c r="C1884" s="1">
        <v>1</v>
      </c>
      <c r="D1884" t="s">
        <v>38</v>
      </c>
      <c r="E1884" s="1">
        <v>3</v>
      </c>
      <c r="F1884" t="s">
        <v>88</v>
      </c>
      <c r="G1884" t="str">
        <f>VLOOKUP(Table1[[#This Row],[Winner]],Ranking!C:D,2,FALSE)</f>
        <v>BE</v>
      </c>
      <c r="H1884" s="1">
        <v>76</v>
      </c>
      <c r="I1884" s="1">
        <v>14</v>
      </c>
      <c r="J1884" t="s">
        <v>51</v>
      </c>
      <c r="K1884" t="str">
        <f>VLOOKUP(Table1[[#This Row],[Loser]],Ranking!C:D,2,FALSE)</f>
        <v>Pat</v>
      </c>
      <c r="L1884" s="1">
        <v>66</v>
      </c>
      <c r="N1884" s="1">
        <f>Table1[[#This Row],[Winning Score]]-Table1[[#This Row],[Losing Score]]</f>
        <v>10</v>
      </c>
      <c r="O1884" s="1">
        <f>Table1[[#This Row],[Losing Seed]]-Table1[[#This Row],[Winning Seed]]</f>
        <v>11</v>
      </c>
      <c r="P1884" s="1" t="str">
        <f>IF(Table1[[#This Row],[SeD]]&lt;-2,Table1[[#This Row],[Winning Seed]]&amp; " over " &amp;Table1[[#This Row],[Losing Seed]],"")</f>
        <v/>
      </c>
      <c r="Q1884">
        <f>VLOOKUP(Table1[[#This Row],[Losing Seed]],'Seed History'!$N$4:$O$19,2)</f>
        <v>0.16666666666666666</v>
      </c>
      <c r="R1884" s="1">
        <f>IF(Table1[[#This Row],[Round]]="PI",0,Table1[[#This Row],[Round]]-1)</f>
        <v>0</v>
      </c>
      <c r="S1884">
        <f>Table1[[#This Row],[LAW]]-Table1[[#This Row],[LEW]]</f>
        <v>-0.16666666666666666</v>
      </c>
    </row>
    <row r="1885" spans="1:19" x14ac:dyDescent="0.25">
      <c r="A1885" s="66">
        <v>41719</v>
      </c>
      <c r="B1885" s="51">
        <f>YEAR(Table1[[#This Row],[Date]])</f>
        <v>2014</v>
      </c>
      <c r="C1885" s="1">
        <v>1</v>
      </c>
      <c r="D1885" t="s">
        <v>38</v>
      </c>
      <c r="E1885" s="1">
        <v>6</v>
      </c>
      <c r="F1885" t="s">
        <v>46</v>
      </c>
      <c r="G1885" t="str">
        <f>VLOOKUP(Table1[[#This Row],[Winner]],Ranking!C:D,2,FALSE)</f>
        <v>B12</v>
      </c>
      <c r="H1885" s="1">
        <v>74</v>
      </c>
      <c r="I1885" s="1">
        <v>11</v>
      </c>
      <c r="J1885" t="s">
        <v>287</v>
      </c>
      <c r="K1885" t="str">
        <f>VLOOKUP(Table1[[#This Row],[Loser]],Ranking!C:D,2,FALSE)</f>
        <v>B10</v>
      </c>
      <c r="L1885" s="1">
        <v>60</v>
      </c>
      <c r="N1885" s="1">
        <f>Table1[[#This Row],[Winning Score]]-Table1[[#This Row],[Losing Score]]</f>
        <v>14</v>
      </c>
      <c r="O1885" s="1">
        <f>Table1[[#This Row],[Losing Seed]]-Table1[[#This Row],[Winning Seed]]</f>
        <v>5</v>
      </c>
      <c r="P1885" s="1" t="str">
        <f>IF(Table1[[#This Row],[SeD]]&lt;-2,Table1[[#This Row],[Winning Seed]]&amp; " over " &amp;Table1[[#This Row],[Losing Seed]],"")</f>
        <v/>
      </c>
      <c r="Q1885">
        <f>VLOOKUP(Table1[[#This Row],[Losing Seed]],'Seed History'!$N$4:$O$19,2)</f>
        <v>0.63194444444444442</v>
      </c>
      <c r="R1885" s="1">
        <f>IF(Table1[[#This Row],[Round]]="PI",0,Table1[[#This Row],[Round]]-1)</f>
        <v>0</v>
      </c>
      <c r="S1885">
        <f>Table1[[#This Row],[LAW]]-Table1[[#This Row],[LEW]]</f>
        <v>-0.63194444444444442</v>
      </c>
    </row>
    <row r="1886" spans="1:19" x14ac:dyDescent="0.25">
      <c r="A1886" s="66">
        <v>41719</v>
      </c>
      <c r="B1886" s="51">
        <f>YEAR(Table1[[#This Row],[Date]])</f>
        <v>2014</v>
      </c>
      <c r="C1886" s="1">
        <v>1</v>
      </c>
      <c r="D1886" t="s">
        <v>38</v>
      </c>
      <c r="E1886" s="1">
        <v>8</v>
      </c>
      <c r="F1886" t="s">
        <v>71</v>
      </c>
      <c r="G1886" t="str">
        <f>VLOOKUP(Table1[[#This Row],[Winner]],Ranking!C:D,2,FALSE)</f>
        <v>WCC</v>
      </c>
      <c r="H1886" s="1">
        <v>85</v>
      </c>
      <c r="I1886" s="1">
        <v>9</v>
      </c>
      <c r="J1886" t="s">
        <v>316</v>
      </c>
      <c r="K1886" t="str">
        <f>VLOOKUP(Table1[[#This Row],[Loser]],Ranking!C:D,2,FALSE)</f>
        <v>B12</v>
      </c>
      <c r="L1886" s="1">
        <v>77</v>
      </c>
      <c r="N1886" s="1">
        <f>Table1[[#This Row],[Winning Score]]-Table1[[#This Row],[Losing Score]]</f>
        <v>8</v>
      </c>
      <c r="O1886" s="1">
        <f>Table1[[#This Row],[Losing Seed]]-Table1[[#This Row],[Winning Seed]]</f>
        <v>1</v>
      </c>
      <c r="P1886" s="1" t="str">
        <f>IF(Table1[[#This Row],[SeD]]&lt;-2,Table1[[#This Row],[Winning Seed]]&amp; " over " &amp;Table1[[#This Row],[Losing Seed]],"")</f>
        <v/>
      </c>
      <c r="Q1886">
        <f>VLOOKUP(Table1[[#This Row],[Losing Seed]],'Seed History'!$N$4:$O$19,2)</f>
        <v>0.59027777777777779</v>
      </c>
      <c r="R1886" s="1">
        <f>IF(Table1[[#This Row],[Round]]="PI",0,Table1[[#This Row],[Round]]-1)</f>
        <v>0</v>
      </c>
      <c r="S1886">
        <f>Table1[[#This Row],[LAW]]-Table1[[#This Row],[LEW]]</f>
        <v>-0.59027777777777779</v>
      </c>
    </row>
    <row r="1887" spans="1:19" x14ac:dyDescent="0.25">
      <c r="A1887" s="66">
        <v>41720</v>
      </c>
      <c r="B1887" s="51">
        <f>YEAR(Table1[[#This Row],[Date]])</f>
        <v>2014</v>
      </c>
      <c r="C1887" s="1">
        <v>2</v>
      </c>
      <c r="D1887" t="s">
        <v>63</v>
      </c>
      <c r="E1887" s="1">
        <v>11</v>
      </c>
      <c r="F1887" t="s">
        <v>57</v>
      </c>
      <c r="G1887" t="str">
        <f>VLOOKUP(Table1[[#This Row],[Winner]],Ranking!C:D,2,FALSE)</f>
        <v>A10</v>
      </c>
      <c r="H1887" s="1">
        <v>55</v>
      </c>
      <c r="I1887" s="1">
        <v>3</v>
      </c>
      <c r="J1887" t="s">
        <v>86</v>
      </c>
      <c r="K1887" t="str">
        <f>VLOOKUP(Table1[[#This Row],[Loser]],Ranking!C:D,2,FALSE)</f>
        <v>ACC</v>
      </c>
      <c r="L1887" s="1">
        <v>53</v>
      </c>
      <c r="N1887" s="1">
        <f>Table1[[#This Row],[Winning Score]]-Table1[[#This Row],[Losing Score]]</f>
        <v>2</v>
      </c>
      <c r="O1887" s="1">
        <f>Table1[[#This Row],[Losing Seed]]-Table1[[#This Row],[Winning Seed]]</f>
        <v>-8</v>
      </c>
      <c r="P1887" s="1" t="str">
        <f>IF(Table1[[#This Row],[SeD]]&lt;-2,Table1[[#This Row],[Winning Seed]]&amp; " over " &amp;Table1[[#This Row],[Losing Seed]],"")</f>
        <v>11 over 3</v>
      </c>
      <c r="Q1887">
        <f>VLOOKUP(Table1[[#This Row],[Losing Seed]],'Seed History'!$N$4:$O$19,2)</f>
        <v>1.8472222222222223</v>
      </c>
      <c r="R1887" s="1">
        <f>IF(Table1[[#This Row],[Round]]="PI",0,Table1[[#This Row],[Round]]-1)</f>
        <v>1</v>
      </c>
      <c r="S1887">
        <f>Table1[[#This Row],[LAW]]-Table1[[#This Row],[LEW]]</f>
        <v>-0.84722222222222232</v>
      </c>
    </row>
    <row r="1888" spans="1:19" x14ac:dyDescent="0.25">
      <c r="A1888" s="66">
        <v>41720</v>
      </c>
      <c r="B1888" s="51">
        <f>YEAR(Table1[[#This Row],[Date]])</f>
        <v>2014</v>
      </c>
      <c r="C1888" s="1">
        <v>2</v>
      </c>
      <c r="D1888" t="s">
        <v>49</v>
      </c>
      <c r="E1888" s="1">
        <v>7</v>
      </c>
      <c r="F1888" t="s">
        <v>80</v>
      </c>
      <c r="G1888" t="str">
        <f>VLOOKUP(Table1[[#This Row],[Winner]],Ranking!C:D,2,FALSE)</f>
        <v>BE</v>
      </c>
      <c r="H1888" s="1">
        <v>77</v>
      </c>
      <c r="I1888" s="1">
        <v>2</v>
      </c>
      <c r="J1888" t="s">
        <v>50</v>
      </c>
      <c r="K1888" t="str">
        <f>VLOOKUP(Table1[[#This Row],[Loser]],Ranking!C:D,2,FALSE)</f>
        <v>BE</v>
      </c>
      <c r="L1888" s="1">
        <v>65</v>
      </c>
      <c r="N1888" s="1">
        <f>Table1[[#This Row],[Winning Score]]-Table1[[#This Row],[Losing Score]]</f>
        <v>12</v>
      </c>
      <c r="O1888" s="1">
        <f>Table1[[#This Row],[Losing Seed]]-Table1[[#This Row],[Winning Seed]]</f>
        <v>-5</v>
      </c>
      <c r="P1888" s="1" t="str">
        <f>IF(Table1[[#This Row],[SeD]]&lt;-2,Table1[[#This Row],[Winning Seed]]&amp; " over " &amp;Table1[[#This Row],[Losing Seed]],"")</f>
        <v>7 over 2</v>
      </c>
      <c r="Q1888">
        <f>VLOOKUP(Table1[[#This Row],[Losing Seed]],'Seed History'!$N$4:$O$19,2)</f>
        <v>2.3472222222222223</v>
      </c>
      <c r="R1888" s="1">
        <f>IF(Table1[[#This Row],[Round]]="PI",0,Table1[[#This Row],[Round]]-1)</f>
        <v>1</v>
      </c>
      <c r="S1888">
        <f>Table1[[#This Row],[LAW]]-Table1[[#This Row],[LEW]]</f>
        <v>-1.3472222222222223</v>
      </c>
    </row>
    <row r="1889" spans="1:19" x14ac:dyDescent="0.25">
      <c r="A1889" s="66">
        <v>41720</v>
      </c>
      <c r="B1889" s="51">
        <f>YEAR(Table1[[#This Row],[Date]])</f>
        <v>2014</v>
      </c>
      <c r="C1889" s="1">
        <v>2</v>
      </c>
      <c r="D1889" t="s">
        <v>49</v>
      </c>
      <c r="E1889" s="1">
        <v>4</v>
      </c>
      <c r="F1889" t="s">
        <v>271</v>
      </c>
      <c r="G1889" t="str">
        <f>VLOOKUP(Table1[[#This Row],[Winner]],Ranking!C:D,2,FALSE)</f>
        <v>B10</v>
      </c>
      <c r="H1889" s="1">
        <v>80</v>
      </c>
      <c r="I1889" s="1">
        <v>12</v>
      </c>
      <c r="J1889" t="s">
        <v>43</v>
      </c>
      <c r="K1889" t="str">
        <f>VLOOKUP(Table1[[#This Row],[Loser]],Ranking!C:D,2,FALSE)</f>
        <v>Ivy</v>
      </c>
      <c r="L1889" s="1">
        <v>73</v>
      </c>
      <c r="N1889" s="1">
        <f>Table1[[#This Row],[Winning Score]]-Table1[[#This Row],[Losing Score]]</f>
        <v>7</v>
      </c>
      <c r="O1889" s="1">
        <f>Table1[[#This Row],[Losing Seed]]-Table1[[#This Row],[Winning Seed]]</f>
        <v>8</v>
      </c>
      <c r="P1889" s="1" t="str">
        <f>IF(Table1[[#This Row],[SeD]]&lt;-2,Table1[[#This Row],[Winning Seed]]&amp; " over " &amp;Table1[[#This Row],[Losing Seed]],"")</f>
        <v/>
      </c>
      <c r="Q1889">
        <f>VLOOKUP(Table1[[#This Row],[Losing Seed]],'Seed History'!$N$4:$O$19,2)</f>
        <v>0.52083333333333337</v>
      </c>
      <c r="R1889" s="1">
        <f>IF(Table1[[#This Row],[Round]]="PI",0,Table1[[#This Row],[Round]]-1)</f>
        <v>1</v>
      </c>
      <c r="S1889">
        <f>Table1[[#This Row],[LAW]]-Table1[[#This Row],[LEW]]</f>
        <v>0.47916666666666663</v>
      </c>
    </row>
    <row r="1890" spans="1:19" x14ac:dyDescent="0.25">
      <c r="A1890" s="66">
        <v>41720</v>
      </c>
      <c r="B1890" s="51">
        <f>YEAR(Table1[[#This Row],[Date]])</f>
        <v>2014</v>
      </c>
      <c r="C1890" s="1">
        <v>2</v>
      </c>
      <c r="D1890" t="s">
        <v>439</v>
      </c>
      <c r="E1890" s="1">
        <v>2</v>
      </c>
      <c r="F1890" t="s">
        <v>82</v>
      </c>
      <c r="G1890" t="str">
        <f>VLOOKUP(Table1[[#This Row],[Winner]],Ranking!C:D,2,FALSE)</f>
        <v>B10</v>
      </c>
      <c r="H1890" s="1">
        <v>79</v>
      </c>
      <c r="I1890" s="1">
        <v>7</v>
      </c>
      <c r="J1890" t="s">
        <v>34</v>
      </c>
      <c r="K1890" t="str">
        <f>VLOOKUP(Table1[[#This Row],[Loser]],Ranking!C:D,2,FALSE)</f>
        <v>B12</v>
      </c>
      <c r="L1890" s="1">
        <v>65</v>
      </c>
      <c r="N1890" s="1">
        <f>Table1[[#This Row],[Winning Score]]-Table1[[#This Row],[Losing Score]]</f>
        <v>14</v>
      </c>
      <c r="O1890" s="1">
        <f>Table1[[#This Row],[Losing Seed]]-Table1[[#This Row],[Winning Seed]]</f>
        <v>5</v>
      </c>
      <c r="P1890" s="1" t="str">
        <f>IF(Table1[[#This Row],[SeD]]&lt;-2,Table1[[#This Row],[Winning Seed]]&amp; " over " &amp;Table1[[#This Row],[Losing Seed]],"")</f>
        <v/>
      </c>
      <c r="Q1890">
        <f>VLOOKUP(Table1[[#This Row],[Losing Seed]],'Seed History'!$N$4:$O$19,2)</f>
        <v>0.90277777777777779</v>
      </c>
      <c r="R1890" s="1">
        <f>IF(Table1[[#This Row],[Round]]="PI",0,Table1[[#This Row],[Round]]-1)</f>
        <v>1</v>
      </c>
      <c r="S1890">
        <f>Table1[[#This Row],[LAW]]-Table1[[#This Row],[LEW]]</f>
        <v>9.722222222222221E-2</v>
      </c>
    </row>
    <row r="1891" spans="1:19" x14ac:dyDescent="0.25">
      <c r="A1891" s="66">
        <v>41720</v>
      </c>
      <c r="B1891" s="51">
        <f>YEAR(Table1[[#This Row],[Date]])</f>
        <v>2014</v>
      </c>
      <c r="C1891" s="1">
        <v>2</v>
      </c>
      <c r="D1891" t="s">
        <v>439</v>
      </c>
      <c r="E1891" s="1">
        <v>4</v>
      </c>
      <c r="F1891" t="s">
        <v>54</v>
      </c>
      <c r="G1891" t="str">
        <f>VLOOKUP(Table1[[#This Row],[Winner]],Ranking!C:D,2,FALSE)</f>
        <v>ACC</v>
      </c>
      <c r="H1891" s="1">
        <v>66</v>
      </c>
      <c r="I1891" s="1">
        <v>5</v>
      </c>
      <c r="J1891" t="s">
        <v>338</v>
      </c>
      <c r="K1891" t="str">
        <f>VLOOKUP(Table1[[#This Row],[Loser]],Ranking!C:D,2,FALSE)</f>
        <v>A10</v>
      </c>
      <c r="L1891" s="1">
        <v>51</v>
      </c>
      <c r="N1891" s="1">
        <f>Table1[[#This Row],[Winning Score]]-Table1[[#This Row],[Losing Score]]</f>
        <v>15</v>
      </c>
      <c r="O1891" s="1">
        <f>Table1[[#This Row],[Losing Seed]]-Table1[[#This Row],[Winning Seed]]</f>
        <v>1</v>
      </c>
      <c r="P1891" s="1" t="str">
        <f>IF(Table1[[#This Row],[SeD]]&lt;-2,Table1[[#This Row],[Winning Seed]]&amp; " over " &amp;Table1[[#This Row],[Losing Seed]],"")</f>
        <v/>
      </c>
      <c r="Q1891">
        <f>VLOOKUP(Table1[[#This Row],[Losing Seed]],'Seed History'!$N$4:$O$19,2)</f>
        <v>1.1180555555555556</v>
      </c>
      <c r="R1891" s="1">
        <f>IF(Table1[[#This Row],[Round]]="PI",0,Table1[[#This Row],[Round]]-1)</f>
        <v>1</v>
      </c>
      <c r="S1891">
        <f>Table1[[#This Row],[LAW]]-Table1[[#This Row],[LEW]]</f>
        <v>-0.11805555555555558</v>
      </c>
    </row>
    <row r="1892" spans="1:19" x14ac:dyDescent="0.25">
      <c r="A1892" s="66">
        <v>41720</v>
      </c>
      <c r="B1892" s="51">
        <f>YEAR(Table1[[#This Row],[Date]])</f>
        <v>2014</v>
      </c>
      <c r="C1892" s="1">
        <v>2</v>
      </c>
      <c r="D1892" t="s">
        <v>63</v>
      </c>
      <c r="E1892" s="1">
        <v>1</v>
      </c>
      <c r="F1892" t="s">
        <v>81</v>
      </c>
      <c r="G1892" t="str">
        <f>VLOOKUP(Table1[[#This Row],[Winner]],Ranking!C:D,2,FALSE)</f>
        <v>SEC</v>
      </c>
      <c r="H1892" s="1">
        <v>61</v>
      </c>
      <c r="I1892" s="1">
        <v>9</v>
      </c>
      <c r="J1892" t="s">
        <v>83</v>
      </c>
      <c r="K1892" t="str">
        <f>VLOOKUP(Table1[[#This Row],[Loser]],Ranking!C:D,2,FALSE)</f>
        <v>ACC</v>
      </c>
      <c r="L1892" s="1">
        <v>45</v>
      </c>
      <c r="N1892" s="1">
        <f>Table1[[#This Row],[Winning Score]]-Table1[[#This Row],[Losing Score]]</f>
        <v>16</v>
      </c>
      <c r="O1892" s="1">
        <f>Table1[[#This Row],[Losing Seed]]-Table1[[#This Row],[Winning Seed]]</f>
        <v>8</v>
      </c>
      <c r="P1892" s="1" t="str">
        <f>IF(Table1[[#This Row],[SeD]]&lt;-2,Table1[[#This Row],[Winning Seed]]&amp; " over " &amp;Table1[[#This Row],[Losing Seed]],"")</f>
        <v/>
      </c>
      <c r="Q1892">
        <f>VLOOKUP(Table1[[#This Row],[Losing Seed]],'Seed History'!$N$4:$O$19,2)</f>
        <v>0.59027777777777779</v>
      </c>
      <c r="R1892" s="1">
        <f>IF(Table1[[#This Row],[Round]]="PI",0,Table1[[#This Row],[Round]]-1)</f>
        <v>1</v>
      </c>
      <c r="S1892">
        <f>Table1[[#This Row],[LAW]]-Table1[[#This Row],[LEW]]</f>
        <v>0.40972222222222221</v>
      </c>
    </row>
    <row r="1893" spans="1:19" x14ac:dyDescent="0.25">
      <c r="A1893" s="66">
        <v>41720</v>
      </c>
      <c r="B1893" s="51">
        <f>YEAR(Table1[[#This Row],[Date]])</f>
        <v>2014</v>
      </c>
      <c r="C1893" s="1">
        <v>2</v>
      </c>
      <c r="D1893" t="s">
        <v>38</v>
      </c>
      <c r="E1893" s="1">
        <v>2</v>
      </c>
      <c r="F1893" t="s">
        <v>39</v>
      </c>
      <c r="G1893" t="str">
        <f>VLOOKUP(Table1[[#This Row],[Winner]],Ranking!C:D,2,FALSE)</f>
        <v>B10</v>
      </c>
      <c r="H1893" s="1">
        <v>85</v>
      </c>
      <c r="I1893" s="1">
        <v>7</v>
      </c>
      <c r="J1893" t="s">
        <v>40</v>
      </c>
      <c r="K1893" t="str">
        <f>VLOOKUP(Table1[[#This Row],[Loser]],Ranking!C:D,2,FALSE)</f>
        <v>P12</v>
      </c>
      <c r="L1893" s="1">
        <v>77</v>
      </c>
      <c r="N1893" s="1">
        <f>Table1[[#This Row],[Winning Score]]-Table1[[#This Row],[Losing Score]]</f>
        <v>8</v>
      </c>
      <c r="O1893" s="1">
        <f>Table1[[#This Row],[Losing Seed]]-Table1[[#This Row],[Winning Seed]]</f>
        <v>5</v>
      </c>
      <c r="P1893" s="1" t="str">
        <f>IF(Table1[[#This Row],[SeD]]&lt;-2,Table1[[#This Row],[Winning Seed]]&amp; " over " &amp;Table1[[#This Row],[Losing Seed]],"")</f>
        <v/>
      </c>
      <c r="Q1893">
        <f>VLOOKUP(Table1[[#This Row],[Losing Seed]],'Seed History'!$N$4:$O$19,2)</f>
        <v>0.90277777777777779</v>
      </c>
      <c r="R1893" s="1">
        <f>IF(Table1[[#This Row],[Round]]="PI",0,Table1[[#This Row],[Round]]-1)</f>
        <v>1</v>
      </c>
      <c r="S1893">
        <f>Table1[[#This Row],[LAW]]-Table1[[#This Row],[LEW]]</f>
        <v>9.722222222222221E-2</v>
      </c>
    </row>
    <row r="1894" spans="1:19" x14ac:dyDescent="0.25">
      <c r="A1894" s="66">
        <v>41720</v>
      </c>
      <c r="B1894" s="51">
        <f>YEAR(Table1[[#This Row],[Date]])</f>
        <v>2014</v>
      </c>
      <c r="C1894" s="1">
        <v>2</v>
      </c>
      <c r="D1894" t="s">
        <v>38</v>
      </c>
      <c r="E1894" s="1">
        <v>4</v>
      </c>
      <c r="F1894" t="s">
        <v>344</v>
      </c>
      <c r="G1894" t="str">
        <f>VLOOKUP(Table1[[#This Row],[Winner]],Ranking!C:D,2,FALSE)</f>
        <v>MWC</v>
      </c>
      <c r="H1894" s="1">
        <v>63</v>
      </c>
      <c r="I1894" s="1">
        <v>12</v>
      </c>
      <c r="J1894" t="s">
        <v>303</v>
      </c>
      <c r="K1894" t="str">
        <f>VLOOKUP(Table1[[#This Row],[Loser]],Ranking!C:D,2,FALSE)</f>
        <v>Sum</v>
      </c>
      <c r="L1894" s="1">
        <v>44</v>
      </c>
      <c r="N1894" s="1">
        <f>Table1[[#This Row],[Winning Score]]-Table1[[#This Row],[Losing Score]]</f>
        <v>19</v>
      </c>
      <c r="O1894" s="1">
        <f>Table1[[#This Row],[Losing Seed]]-Table1[[#This Row],[Winning Seed]]</f>
        <v>8</v>
      </c>
      <c r="P1894" s="1" t="str">
        <f>IF(Table1[[#This Row],[SeD]]&lt;-2,Table1[[#This Row],[Winning Seed]]&amp; " over " &amp;Table1[[#This Row],[Losing Seed]],"")</f>
        <v/>
      </c>
      <c r="Q1894">
        <f>VLOOKUP(Table1[[#This Row],[Losing Seed]],'Seed History'!$N$4:$O$19,2)</f>
        <v>0.52083333333333337</v>
      </c>
      <c r="R1894" s="1">
        <f>IF(Table1[[#This Row],[Round]]="PI",0,Table1[[#This Row],[Round]]-1)</f>
        <v>1</v>
      </c>
      <c r="S1894">
        <f>Table1[[#This Row],[LAW]]-Table1[[#This Row],[LEW]]</f>
        <v>0.47916666666666663</v>
      </c>
    </row>
    <row r="1895" spans="1:19" x14ac:dyDescent="0.25">
      <c r="A1895" s="66">
        <v>41721</v>
      </c>
      <c r="B1895" s="51">
        <f>YEAR(Table1[[#This Row],[Date]])</f>
        <v>2014</v>
      </c>
      <c r="C1895" s="1">
        <v>2</v>
      </c>
      <c r="D1895" t="s">
        <v>63</v>
      </c>
      <c r="E1895" s="1">
        <v>10</v>
      </c>
      <c r="F1895" t="s">
        <v>369</v>
      </c>
      <c r="G1895" t="str">
        <f>VLOOKUP(Table1[[#This Row],[Winner]],Ranking!C:D,2,FALSE)</f>
        <v>P12</v>
      </c>
      <c r="H1895" s="1">
        <v>60</v>
      </c>
      <c r="I1895" s="1">
        <v>2</v>
      </c>
      <c r="J1895" t="s">
        <v>37</v>
      </c>
      <c r="K1895" t="str">
        <f>VLOOKUP(Table1[[#This Row],[Loser]],Ranking!C:D,2,FALSE)</f>
        <v>B12</v>
      </c>
      <c r="L1895" s="1">
        <v>57</v>
      </c>
      <c r="N1895" s="1">
        <f>Table1[[#This Row],[Winning Score]]-Table1[[#This Row],[Losing Score]]</f>
        <v>3</v>
      </c>
      <c r="O1895" s="1">
        <f>Table1[[#This Row],[Losing Seed]]-Table1[[#This Row],[Winning Seed]]</f>
        <v>-8</v>
      </c>
      <c r="P1895" s="1" t="str">
        <f>IF(Table1[[#This Row],[SeD]]&lt;-2,Table1[[#This Row],[Winning Seed]]&amp; " over " &amp;Table1[[#This Row],[Losing Seed]],"")</f>
        <v>10 over 2</v>
      </c>
      <c r="Q1895">
        <f>VLOOKUP(Table1[[#This Row],[Losing Seed]],'Seed History'!$N$4:$O$19,2)</f>
        <v>2.3472222222222223</v>
      </c>
      <c r="R1895" s="1">
        <f>IF(Table1[[#This Row],[Round]]="PI",0,Table1[[#This Row],[Round]]-1)</f>
        <v>1</v>
      </c>
      <c r="S1895">
        <f>Table1[[#This Row],[LAW]]-Table1[[#This Row],[LEW]]</f>
        <v>-1.3472222222222223</v>
      </c>
    </row>
    <row r="1896" spans="1:19" x14ac:dyDescent="0.25">
      <c r="A1896" s="66">
        <v>41721</v>
      </c>
      <c r="B1896" s="51">
        <f>YEAR(Table1[[#This Row],[Date]])</f>
        <v>2014</v>
      </c>
      <c r="C1896" s="1">
        <v>2</v>
      </c>
      <c r="D1896" t="s">
        <v>439</v>
      </c>
      <c r="E1896" s="1">
        <v>8</v>
      </c>
      <c r="F1896" t="s">
        <v>26</v>
      </c>
      <c r="G1896" t="str">
        <f>VLOOKUP(Table1[[#This Row],[Winner]],Ranking!C:D,2,FALSE)</f>
        <v>SEC</v>
      </c>
      <c r="H1896" s="1">
        <v>78</v>
      </c>
      <c r="I1896" s="1">
        <v>1</v>
      </c>
      <c r="J1896" t="s">
        <v>417</v>
      </c>
      <c r="K1896" t="str">
        <f>VLOOKUP(Table1[[#This Row],[Loser]],Ranking!C:D,2,FALSE)</f>
        <v>Amer</v>
      </c>
      <c r="L1896" s="1">
        <v>76</v>
      </c>
      <c r="N1896" s="1">
        <f>Table1[[#This Row],[Winning Score]]-Table1[[#This Row],[Losing Score]]</f>
        <v>2</v>
      </c>
      <c r="O1896" s="1">
        <f>Table1[[#This Row],[Losing Seed]]-Table1[[#This Row],[Winning Seed]]</f>
        <v>-7</v>
      </c>
      <c r="P1896" s="1" t="str">
        <f>IF(Table1[[#This Row],[SeD]]&lt;-2,Table1[[#This Row],[Winning Seed]]&amp; " over " &amp;Table1[[#This Row],[Losing Seed]],"")</f>
        <v>8 over 1</v>
      </c>
      <c r="Q1896">
        <f>VLOOKUP(Table1[[#This Row],[Losing Seed]],'Seed History'!$N$4:$O$19,2)</f>
        <v>3.3263888888888888</v>
      </c>
      <c r="R1896" s="1">
        <f>IF(Table1[[#This Row],[Round]]="PI",0,Table1[[#This Row],[Round]]-1)</f>
        <v>1</v>
      </c>
      <c r="S1896">
        <f>Table1[[#This Row],[LAW]]-Table1[[#This Row],[LEW]]</f>
        <v>-2.3263888888888888</v>
      </c>
    </row>
    <row r="1897" spans="1:19" x14ac:dyDescent="0.25">
      <c r="A1897" s="66">
        <v>41721</v>
      </c>
      <c r="B1897" s="51">
        <f>YEAR(Table1[[#This Row],[Date]])</f>
        <v>2014</v>
      </c>
      <c r="C1897" s="1">
        <v>2</v>
      </c>
      <c r="D1897" t="s">
        <v>38</v>
      </c>
      <c r="E1897" s="1">
        <v>6</v>
      </c>
      <c r="F1897" t="s">
        <v>46</v>
      </c>
      <c r="G1897" t="str">
        <f>VLOOKUP(Table1[[#This Row],[Winner]],Ranking!C:D,2,FALSE)</f>
        <v>B12</v>
      </c>
      <c r="H1897" s="1">
        <v>85</v>
      </c>
      <c r="I1897" s="1">
        <v>3</v>
      </c>
      <c r="J1897" t="s">
        <v>88</v>
      </c>
      <c r="K1897" t="str">
        <f>VLOOKUP(Table1[[#This Row],[Loser]],Ranking!C:D,2,FALSE)</f>
        <v>BE</v>
      </c>
      <c r="L1897" s="1">
        <v>55</v>
      </c>
      <c r="N1897" s="1">
        <f>Table1[[#This Row],[Winning Score]]-Table1[[#This Row],[Losing Score]]</f>
        <v>30</v>
      </c>
      <c r="O1897" s="1">
        <f>Table1[[#This Row],[Losing Seed]]-Table1[[#This Row],[Winning Seed]]</f>
        <v>-3</v>
      </c>
      <c r="P1897" s="1" t="str">
        <f>IF(Table1[[#This Row],[SeD]]&lt;-2,Table1[[#This Row],[Winning Seed]]&amp; " over " &amp;Table1[[#This Row],[Losing Seed]],"")</f>
        <v>6 over 3</v>
      </c>
      <c r="Q1897">
        <f>VLOOKUP(Table1[[#This Row],[Losing Seed]],'Seed History'!$N$4:$O$19,2)</f>
        <v>1.8472222222222223</v>
      </c>
      <c r="R1897" s="1">
        <f>IF(Table1[[#This Row],[Round]]="PI",0,Table1[[#This Row],[Round]]-1)</f>
        <v>1</v>
      </c>
      <c r="S1897">
        <f>Table1[[#This Row],[LAW]]-Table1[[#This Row],[LEW]]</f>
        <v>-0.84722222222222232</v>
      </c>
    </row>
    <row r="1898" spans="1:19" x14ac:dyDescent="0.25">
      <c r="A1898" s="66">
        <v>41721</v>
      </c>
      <c r="B1898" s="51">
        <f>YEAR(Table1[[#This Row],[Date]])</f>
        <v>2014</v>
      </c>
      <c r="C1898" s="1">
        <v>2</v>
      </c>
      <c r="D1898" t="s">
        <v>49</v>
      </c>
      <c r="E1898" s="1">
        <v>1</v>
      </c>
      <c r="F1898" t="s">
        <v>61</v>
      </c>
      <c r="G1898" t="str">
        <f>VLOOKUP(Table1[[#This Row],[Winner]],Ranking!C:D,2,FALSE)</f>
        <v>ACC</v>
      </c>
      <c r="H1898" s="1">
        <v>78</v>
      </c>
      <c r="I1898" s="1">
        <v>8</v>
      </c>
      <c r="J1898" t="s">
        <v>267</v>
      </c>
      <c r="K1898" t="str">
        <f>VLOOKUP(Table1[[#This Row],[Loser]],Ranking!C:D,2,FALSE)</f>
        <v>Amer</v>
      </c>
      <c r="L1898" s="1">
        <v>60</v>
      </c>
      <c r="N1898" s="1">
        <f>Table1[[#This Row],[Winning Score]]-Table1[[#This Row],[Losing Score]]</f>
        <v>18</v>
      </c>
      <c r="O1898" s="1">
        <f>Table1[[#This Row],[Losing Seed]]-Table1[[#This Row],[Winning Seed]]</f>
        <v>7</v>
      </c>
      <c r="P1898" s="1" t="str">
        <f>IF(Table1[[#This Row],[SeD]]&lt;-2,Table1[[#This Row],[Winning Seed]]&amp; " over " &amp;Table1[[#This Row],[Losing Seed]],"")</f>
        <v/>
      </c>
      <c r="Q1898">
        <f>VLOOKUP(Table1[[#This Row],[Losing Seed]],'Seed History'!$N$4:$O$19,2)</f>
        <v>0.70833333333333337</v>
      </c>
      <c r="R1898" s="1">
        <f>IF(Table1[[#This Row],[Round]]="PI",0,Table1[[#This Row],[Round]]-1)</f>
        <v>1</v>
      </c>
      <c r="S1898">
        <f>Table1[[#This Row],[LAW]]-Table1[[#This Row],[LEW]]</f>
        <v>0.29166666666666663</v>
      </c>
    </row>
    <row r="1899" spans="1:19" x14ac:dyDescent="0.25">
      <c r="A1899" s="66">
        <v>41721</v>
      </c>
      <c r="B1899" s="51">
        <f>YEAR(Table1[[#This Row],[Date]])</f>
        <v>2014</v>
      </c>
      <c r="C1899" s="1">
        <v>2</v>
      </c>
      <c r="D1899" t="s">
        <v>49</v>
      </c>
      <c r="E1899" s="1">
        <v>3</v>
      </c>
      <c r="F1899" t="s">
        <v>237</v>
      </c>
      <c r="G1899" t="str">
        <f>VLOOKUP(Table1[[#This Row],[Winner]],Ranking!C:D,2,FALSE)</f>
        <v>B12</v>
      </c>
      <c r="H1899" s="1">
        <v>85</v>
      </c>
      <c r="I1899" s="1">
        <v>6</v>
      </c>
      <c r="J1899" t="s">
        <v>298</v>
      </c>
      <c r="K1899" t="str">
        <f>VLOOKUP(Table1[[#This Row],[Loser]],Ranking!C:D,2,FALSE)</f>
        <v>ACC</v>
      </c>
      <c r="L1899" s="1">
        <v>83</v>
      </c>
      <c r="N1899" s="1">
        <f>Table1[[#This Row],[Winning Score]]-Table1[[#This Row],[Losing Score]]</f>
        <v>2</v>
      </c>
      <c r="O1899" s="1">
        <f>Table1[[#This Row],[Losing Seed]]-Table1[[#This Row],[Winning Seed]]</f>
        <v>3</v>
      </c>
      <c r="P1899" s="1" t="str">
        <f>IF(Table1[[#This Row],[SeD]]&lt;-2,Table1[[#This Row],[Winning Seed]]&amp; " over " &amp;Table1[[#This Row],[Losing Seed]],"")</f>
        <v/>
      </c>
      <c r="Q1899">
        <f>VLOOKUP(Table1[[#This Row],[Losing Seed]],'Seed History'!$N$4:$O$19,2)</f>
        <v>1.0625</v>
      </c>
      <c r="R1899" s="1">
        <f>IF(Table1[[#This Row],[Round]]="PI",0,Table1[[#This Row],[Round]]-1)</f>
        <v>1</v>
      </c>
      <c r="S1899">
        <f>Table1[[#This Row],[LAW]]-Table1[[#This Row],[LEW]]</f>
        <v>-6.25E-2</v>
      </c>
    </row>
    <row r="1900" spans="1:19" x14ac:dyDescent="0.25">
      <c r="A1900" s="66">
        <v>41721</v>
      </c>
      <c r="B1900" s="51">
        <f>YEAR(Table1[[#This Row],[Date]])</f>
        <v>2014</v>
      </c>
      <c r="C1900" s="1">
        <v>2</v>
      </c>
      <c r="D1900" t="s">
        <v>439</v>
      </c>
      <c r="E1900" s="1">
        <v>11</v>
      </c>
      <c r="F1900" t="s">
        <v>374</v>
      </c>
      <c r="G1900" t="str">
        <f>VLOOKUP(Table1[[#This Row],[Winner]],Ranking!C:D,2,FALSE)</f>
        <v>SEC</v>
      </c>
      <c r="H1900" s="1">
        <v>83</v>
      </c>
      <c r="I1900" s="1">
        <v>14</v>
      </c>
      <c r="J1900" t="s">
        <v>268</v>
      </c>
      <c r="K1900" t="str">
        <f>VLOOKUP(Table1[[#This Row],[Loser]],Ranking!C:D,2,FALSE)</f>
        <v>SC</v>
      </c>
      <c r="L1900" s="1">
        <v>63</v>
      </c>
      <c r="N1900" s="1">
        <f>Table1[[#This Row],[Winning Score]]-Table1[[#This Row],[Losing Score]]</f>
        <v>20</v>
      </c>
      <c r="O1900" s="1">
        <f>Table1[[#This Row],[Losing Seed]]-Table1[[#This Row],[Winning Seed]]</f>
        <v>3</v>
      </c>
      <c r="P1900" s="1" t="str">
        <f>IF(Table1[[#This Row],[SeD]]&lt;-2,Table1[[#This Row],[Winning Seed]]&amp; " over " &amp;Table1[[#This Row],[Losing Seed]],"")</f>
        <v/>
      </c>
      <c r="Q1900">
        <f>VLOOKUP(Table1[[#This Row],[Losing Seed]],'Seed History'!$N$4:$O$19,2)</f>
        <v>0.16666666666666666</v>
      </c>
      <c r="R1900" s="1">
        <f>IF(Table1[[#This Row],[Round]]="PI",0,Table1[[#This Row],[Round]]-1)</f>
        <v>1</v>
      </c>
      <c r="S1900">
        <f>Table1[[#This Row],[LAW]]-Table1[[#This Row],[LEW]]</f>
        <v>0.83333333333333337</v>
      </c>
    </row>
    <row r="1901" spans="1:19" x14ac:dyDescent="0.25">
      <c r="A1901" s="66">
        <v>41721</v>
      </c>
      <c r="B1901" s="51">
        <f>YEAR(Table1[[#This Row],[Date]])</f>
        <v>2014</v>
      </c>
      <c r="C1901" s="1">
        <v>2</v>
      </c>
      <c r="D1901" t="s">
        <v>63</v>
      </c>
      <c r="E1901" s="1">
        <v>4</v>
      </c>
      <c r="F1901" t="s">
        <v>67</v>
      </c>
      <c r="G1901" t="str">
        <f>VLOOKUP(Table1[[#This Row],[Winner]],Ranking!C:D,2,FALSE)</f>
        <v>P12</v>
      </c>
      <c r="H1901" s="1">
        <v>77</v>
      </c>
      <c r="I1901" s="1">
        <v>12</v>
      </c>
      <c r="J1901" t="s">
        <v>370</v>
      </c>
      <c r="K1901" t="str">
        <f>VLOOKUP(Table1[[#This Row],[Loser]],Ranking!C:D,2,FALSE)</f>
        <v>Slnd</v>
      </c>
      <c r="L1901" s="1">
        <v>60</v>
      </c>
      <c r="N1901" s="1">
        <f>Table1[[#This Row],[Winning Score]]-Table1[[#This Row],[Losing Score]]</f>
        <v>17</v>
      </c>
      <c r="O1901" s="1">
        <f>Table1[[#This Row],[Losing Seed]]-Table1[[#This Row],[Winning Seed]]</f>
        <v>8</v>
      </c>
      <c r="P1901" s="1" t="str">
        <f>IF(Table1[[#This Row],[SeD]]&lt;-2,Table1[[#This Row],[Winning Seed]]&amp; " over " &amp;Table1[[#This Row],[Losing Seed]],"")</f>
        <v/>
      </c>
      <c r="Q1901">
        <f>VLOOKUP(Table1[[#This Row],[Losing Seed]],'Seed History'!$N$4:$O$19,2)</f>
        <v>0.52083333333333337</v>
      </c>
      <c r="R1901" s="1">
        <f>IF(Table1[[#This Row],[Round]]="PI",0,Table1[[#This Row],[Round]]-1)</f>
        <v>1</v>
      </c>
      <c r="S1901">
        <f>Table1[[#This Row],[LAW]]-Table1[[#This Row],[LEW]]</f>
        <v>0.47916666666666663</v>
      </c>
    </row>
    <row r="1902" spans="1:19" x14ac:dyDescent="0.25">
      <c r="A1902" s="66">
        <v>41721</v>
      </c>
      <c r="B1902" s="51">
        <f>YEAR(Table1[[#This Row],[Date]])</f>
        <v>2014</v>
      </c>
      <c r="C1902" s="1">
        <v>2</v>
      </c>
      <c r="D1902" t="s">
        <v>38</v>
      </c>
      <c r="E1902" s="1">
        <v>1</v>
      </c>
      <c r="F1902" t="s">
        <v>48</v>
      </c>
      <c r="G1902" t="str">
        <f>VLOOKUP(Table1[[#This Row],[Winner]],Ranking!C:D,2,FALSE)</f>
        <v>P12</v>
      </c>
      <c r="H1902" s="1">
        <v>84</v>
      </c>
      <c r="I1902" s="1">
        <v>8</v>
      </c>
      <c r="J1902" t="s">
        <v>71</v>
      </c>
      <c r="K1902" t="str">
        <f>VLOOKUP(Table1[[#This Row],[Loser]],Ranking!C:D,2,FALSE)</f>
        <v>WCC</v>
      </c>
      <c r="L1902" s="1">
        <v>61</v>
      </c>
      <c r="N1902" s="1">
        <f>Table1[[#This Row],[Winning Score]]-Table1[[#This Row],[Losing Score]]</f>
        <v>23</v>
      </c>
      <c r="O1902" s="1">
        <f>Table1[[#This Row],[Losing Seed]]-Table1[[#This Row],[Winning Seed]]</f>
        <v>7</v>
      </c>
      <c r="P1902" s="1" t="str">
        <f>IF(Table1[[#This Row],[SeD]]&lt;-2,Table1[[#This Row],[Winning Seed]]&amp; " over " &amp;Table1[[#This Row],[Losing Seed]],"")</f>
        <v/>
      </c>
      <c r="Q1902">
        <f>VLOOKUP(Table1[[#This Row],[Losing Seed]],'Seed History'!$N$4:$O$19,2)</f>
        <v>0.70833333333333337</v>
      </c>
      <c r="R1902" s="1">
        <f>IF(Table1[[#This Row],[Round]]="PI",0,Table1[[#This Row],[Round]]-1)</f>
        <v>1</v>
      </c>
      <c r="S1902">
        <f>Table1[[#This Row],[LAW]]-Table1[[#This Row],[LEW]]</f>
        <v>0.29166666666666663</v>
      </c>
    </row>
    <row r="1903" spans="1:19" x14ac:dyDescent="0.25">
      <c r="A1903" s="66">
        <v>41725</v>
      </c>
      <c r="B1903" s="51">
        <f>YEAR(Table1[[#This Row],[Date]])</f>
        <v>2014</v>
      </c>
      <c r="C1903" s="1">
        <v>3</v>
      </c>
      <c r="D1903" t="s">
        <v>63</v>
      </c>
      <c r="E1903" s="1">
        <v>1</v>
      </c>
      <c r="F1903" t="s">
        <v>81</v>
      </c>
      <c r="G1903" t="str">
        <f>VLOOKUP(Table1[[#This Row],[Winner]],Ranking!C:D,2,FALSE)</f>
        <v>SEC</v>
      </c>
      <c r="H1903" s="1">
        <v>79</v>
      </c>
      <c r="I1903" s="1">
        <v>4</v>
      </c>
      <c r="J1903" t="s">
        <v>67</v>
      </c>
      <c r="K1903" t="str">
        <f>VLOOKUP(Table1[[#This Row],[Loser]],Ranking!C:D,2,FALSE)</f>
        <v>P12</v>
      </c>
      <c r="L1903" s="1">
        <v>68</v>
      </c>
      <c r="N1903" s="1">
        <f>Table1[[#This Row],[Winning Score]]-Table1[[#This Row],[Losing Score]]</f>
        <v>11</v>
      </c>
      <c r="O1903" s="1">
        <f>Table1[[#This Row],[Losing Seed]]-Table1[[#This Row],[Winning Seed]]</f>
        <v>3</v>
      </c>
      <c r="P1903" s="1" t="str">
        <f>IF(Table1[[#This Row],[SeD]]&lt;-2,Table1[[#This Row],[Winning Seed]]&amp; " over " &amp;Table1[[#This Row],[Losing Seed]],"")</f>
        <v/>
      </c>
      <c r="Q1903">
        <f>VLOOKUP(Table1[[#This Row],[Losing Seed]],'Seed History'!$N$4:$O$19,2)</f>
        <v>1.5208333333333333</v>
      </c>
      <c r="R1903" s="1">
        <f>IF(Table1[[#This Row],[Round]]="PI",0,Table1[[#This Row],[Round]]-1)</f>
        <v>2</v>
      </c>
      <c r="S1903">
        <f>Table1[[#This Row],[LAW]]-Table1[[#This Row],[LEW]]</f>
        <v>0.47916666666666674</v>
      </c>
    </row>
    <row r="1904" spans="1:19" x14ac:dyDescent="0.25">
      <c r="A1904" s="66">
        <v>41725</v>
      </c>
      <c r="B1904" s="51">
        <f>YEAR(Table1[[#This Row],[Date]])</f>
        <v>2014</v>
      </c>
      <c r="C1904" s="1">
        <v>3</v>
      </c>
      <c r="D1904" t="s">
        <v>38</v>
      </c>
      <c r="E1904" s="1">
        <v>1</v>
      </c>
      <c r="F1904" t="s">
        <v>48</v>
      </c>
      <c r="G1904" t="str">
        <f>VLOOKUP(Table1[[#This Row],[Winner]],Ranking!C:D,2,FALSE)</f>
        <v>P12</v>
      </c>
      <c r="H1904" s="1">
        <v>70</v>
      </c>
      <c r="I1904" s="1">
        <v>4</v>
      </c>
      <c r="J1904" t="s">
        <v>344</v>
      </c>
      <c r="K1904" t="str">
        <f>VLOOKUP(Table1[[#This Row],[Loser]],Ranking!C:D,2,FALSE)</f>
        <v>MWC</v>
      </c>
      <c r="L1904" s="1">
        <v>64</v>
      </c>
      <c r="N1904" s="1">
        <f>Table1[[#This Row],[Winning Score]]-Table1[[#This Row],[Losing Score]]</f>
        <v>6</v>
      </c>
      <c r="O1904" s="1">
        <f>Table1[[#This Row],[Losing Seed]]-Table1[[#This Row],[Winning Seed]]</f>
        <v>3</v>
      </c>
      <c r="P1904" s="1" t="str">
        <f>IF(Table1[[#This Row],[SeD]]&lt;-2,Table1[[#This Row],[Winning Seed]]&amp; " over " &amp;Table1[[#This Row],[Losing Seed]],"")</f>
        <v/>
      </c>
      <c r="Q1904">
        <f>VLOOKUP(Table1[[#This Row],[Losing Seed]],'Seed History'!$N$4:$O$19,2)</f>
        <v>1.5208333333333333</v>
      </c>
      <c r="R1904" s="1">
        <f>IF(Table1[[#This Row],[Round]]="PI",0,Table1[[#This Row],[Round]]-1)</f>
        <v>2</v>
      </c>
      <c r="S1904">
        <f>Table1[[#This Row],[LAW]]-Table1[[#This Row],[LEW]]</f>
        <v>0.47916666666666674</v>
      </c>
    </row>
    <row r="1905" spans="1:19" x14ac:dyDescent="0.25">
      <c r="A1905" s="66">
        <v>41725</v>
      </c>
      <c r="B1905" s="51">
        <f>YEAR(Table1[[#This Row],[Date]])</f>
        <v>2014</v>
      </c>
      <c r="C1905" s="1">
        <v>3</v>
      </c>
      <c r="D1905" t="s">
        <v>38</v>
      </c>
      <c r="E1905" s="1">
        <v>2</v>
      </c>
      <c r="F1905" t="s">
        <v>39</v>
      </c>
      <c r="G1905" t="str">
        <f>VLOOKUP(Table1[[#This Row],[Winner]],Ranking!C:D,2,FALSE)</f>
        <v>B10</v>
      </c>
      <c r="H1905" s="1">
        <v>69</v>
      </c>
      <c r="I1905" s="1">
        <v>6</v>
      </c>
      <c r="J1905" t="s">
        <v>46</v>
      </c>
      <c r="K1905" t="str">
        <f>VLOOKUP(Table1[[#This Row],[Loser]],Ranking!C:D,2,FALSE)</f>
        <v>B12</v>
      </c>
      <c r="L1905" s="1">
        <v>52</v>
      </c>
      <c r="N1905" s="1">
        <f>Table1[[#This Row],[Winning Score]]-Table1[[#This Row],[Losing Score]]</f>
        <v>17</v>
      </c>
      <c r="O1905" s="1">
        <f>Table1[[#This Row],[Losing Seed]]-Table1[[#This Row],[Winning Seed]]</f>
        <v>4</v>
      </c>
      <c r="P1905" s="1" t="str">
        <f>IF(Table1[[#This Row],[SeD]]&lt;-2,Table1[[#This Row],[Winning Seed]]&amp; " over " &amp;Table1[[#This Row],[Losing Seed]],"")</f>
        <v/>
      </c>
      <c r="Q1905">
        <f>VLOOKUP(Table1[[#This Row],[Losing Seed]],'Seed History'!$N$4:$O$19,2)</f>
        <v>1.0625</v>
      </c>
      <c r="R1905" s="1">
        <f>IF(Table1[[#This Row],[Round]]="PI",0,Table1[[#This Row],[Round]]-1)</f>
        <v>2</v>
      </c>
      <c r="S1905">
        <f>Table1[[#This Row],[LAW]]-Table1[[#This Row],[LEW]]</f>
        <v>0.9375</v>
      </c>
    </row>
    <row r="1906" spans="1:19" x14ac:dyDescent="0.25">
      <c r="A1906" s="66">
        <v>41725</v>
      </c>
      <c r="B1906" s="51">
        <f>YEAR(Table1[[#This Row],[Date]])</f>
        <v>2014</v>
      </c>
      <c r="C1906" s="1">
        <v>3</v>
      </c>
      <c r="D1906" t="s">
        <v>63</v>
      </c>
      <c r="E1906" s="1">
        <v>11</v>
      </c>
      <c r="F1906" t="s">
        <v>57</v>
      </c>
      <c r="G1906" t="str">
        <f>VLOOKUP(Table1[[#This Row],[Winner]],Ranking!C:D,2,FALSE)</f>
        <v>A10</v>
      </c>
      <c r="H1906" s="1">
        <v>82</v>
      </c>
      <c r="I1906" s="1">
        <v>10</v>
      </c>
      <c r="J1906" t="s">
        <v>369</v>
      </c>
      <c r="K1906" t="str">
        <f>VLOOKUP(Table1[[#This Row],[Loser]],Ranking!C:D,2,FALSE)</f>
        <v>P12</v>
      </c>
      <c r="L1906" s="1">
        <v>72</v>
      </c>
      <c r="N1906" s="1">
        <f>Table1[[#This Row],[Winning Score]]-Table1[[#This Row],[Losing Score]]</f>
        <v>10</v>
      </c>
      <c r="O1906" s="1">
        <f>Table1[[#This Row],[Losing Seed]]-Table1[[#This Row],[Winning Seed]]</f>
        <v>-1</v>
      </c>
      <c r="P1906" s="1" t="str">
        <f>IF(Table1[[#This Row],[SeD]]&lt;-2,Table1[[#This Row],[Winning Seed]]&amp; " over " &amp;Table1[[#This Row],[Losing Seed]],"")</f>
        <v/>
      </c>
      <c r="Q1906">
        <f>VLOOKUP(Table1[[#This Row],[Losing Seed]],'Seed History'!$N$4:$O$19,2)</f>
        <v>0.61805555555555558</v>
      </c>
      <c r="R1906" s="1">
        <f>IF(Table1[[#This Row],[Round]]="PI",0,Table1[[#This Row],[Round]]-1)</f>
        <v>2</v>
      </c>
      <c r="S1906">
        <f>Table1[[#This Row],[LAW]]-Table1[[#This Row],[LEW]]</f>
        <v>1.3819444444444444</v>
      </c>
    </row>
    <row r="1907" spans="1:19" x14ac:dyDescent="0.25">
      <c r="A1907" s="66">
        <v>41726</v>
      </c>
      <c r="B1907" s="51">
        <f>YEAR(Table1[[#This Row],[Date]])</f>
        <v>2014</v>
      </c>
      <c r="C1907" s="1">
        <v>3</v>
      </c>
      <c r="D1907" t="s">
        <v>49</v>
      </c>
      <c r="E1907" s="1">
        <v>7</v>
      </c>
      <c r="F1907" t="s">
        <v>80</v>
      </c>
      <c r="G1907" t="str">
        <f>VLOOKUP(Table1[[#This Row],[Winner]],Ranking!C:D,2,FALSE)</f>
        <v>BE</v>
      </c>
      <c r="H1907" s="1">
        <v>81</v>
      </c>
      <c r="I1907" s="1">
        <v>3</v>
      </c>
      <c r="J1907" t="s">
        <v>237</v>
      </c>
      <c r="K1907" t="str">
        <f>VLOOKUP(Table1[[#This Row],[Loser]],Ranking!C:D,2,FALSE)</f>
        <v>B12</v>
      </c>
      <c r="L1907" s="1">
        <v>76</v>
      </c>
      <c r="N1907" s="1">
        <f>Table1[[#This Row],[Winning Score]]-Table1[[#This Row],[Losing Score]]</f>
        <v>5</v>
      </c>
      <c r="O1907" s="1">
        <f>Table1[[#This Row],[Losing Seed]]-Table1[[#This Row],[Winning Seed]]</f>
        <v>-4</v>
      </c>
      <c r="P1907" s="1" t="str">
        <f>IF(Table1[[#This Row],[SeD]]&lt;-2,Table1[[#This Row],[Winning Seed]]&amp; " over " &amp;Table1[[#This Row],[Losing Seed]],"")</f>
        <v>7 over 3</v>
      </c>
      <c r="Q1907">
        <f>VLOOKUP(Table1[[#This Row],[Losing Seed]],'Seed History'!$N$4:$O$19,2)</f>
        <v>1.8472222222222223</v>
      </c>
      <c r="R1907" s="1">
        <f>IF(Table1[[#This Row],[Round]]="PI",0,Table1[[#This Row],[Round]]-1)</f>
        <v>2</v>
      </c>
      <c r="S1907">
        <f>Table1[[#This Row],[LAW]]-Table1[[#This Row],[LEW]]</f>
        <v>0.15277777777777768</v>
      </c>
    </row>
    <row r="1908" spans="1:19" x14ac:dyDescent="0.25">
      <c r="A1908" s="66">
        <v>41726</v>
      </c>
      <c r="B1908" s="51">
        <f>YEAR(Table1[[#This Row],[Date]])</f>
        <v>2014</v>
      </c>
      <c r="C1908" s="1">
        <v>3</v>
      </c>
      <c r="D1908" t="s">
        <v>439</v>
      </c>
      <c r="E1908" s="1">
        <v>8</v>
      </c>
      <c r="F1908" t="s">
        <v>26</v>
      </c>
      <c r="G1908" t="str">
        <f>VLOOKUP(Table1[[#This Row],[Winner]],Ranking!C:D,2,FALSE)</f>
        <v>SEC</v>
      </c>
      <c r="H1908" s="1">
        <v>74</v>
      </c>
      <c r="I1908" s="1">
        <v>4</v>
      </c>
      <c r="J1908" t="s">
        <v>54</v>
      </c>
      <c r="K1908" t="str">
        <f>VLOOKUP(Table1[[#This Row],[Loser]],Ranking!C:D,2,FALSE)</f>
        <v>ACC</v>
      </c>
      <c r="L1908" s="1">
        <v>69</v>
      </c>
      <c r="N1908" s="1">
        <f>Table1[[#This Row],[Winning Score]]-Table1[[#This Row],[Losing Score]]</f>
        <v>5</v>
      </c>
      <c r="O1908" s="1">
        <f>Table1[[#This Row],[Losing Seed]]-Table1[[#This Row],[Winning Seed]]</f>
        <v>-4</v>
      </c>
      <c r="P1908" s="1" t="str">
        <f>IF(Table1[[#This Row],[SeD]]&lt;-2,Table1[[#This Row],[Winning Seed]]&amp; " over " &amp;Table1[[#This Row],[Losing Seed]],"")</f>
        <v>8 over 4</v>
      </c>
      <c r="Q1908">
        <f>VLOOKUP(Table1[[#This Row],[Losing Seed]],'Seed History'!$N$4:$O$19,2)</f>
        <v>1.5208333333333333</v>
      </c>
      <c r="R1908" s="1">
        <f>IF(Table1[[#This Row],[Round]]="PI",0,Table1[[#This Row],[Round]]-1)</f>
        <v>2</v>
      </c>
      <c r="S1908">
        <f>Table1[[#This Row],[LAW]]-Table1[[#This Row],[LEW]]</f>
        <v>0.47916666666666674</v>
      </c>
    </row>
    <row r="1909" spans="1:19" x14ac:dyDescent="0.25">
      <c r="A1909" s="66">
        <v>41726</v>
      </c>
      <c r="B1909" s="51">
        <f>YEAR(Table1[[#This Row],[Date]])</f>
        <v>2014</v>
      </c>
      <c r="C1909" s="1">
        <v>3</v>
      </c>
      <c r="D1909" t="s">
        <v>49</v>
      </c>
      <c r="E1909" s="1">
        <v>4</v>
      </c>
      <c r="F1909" t="s">
        <v>271</v>
      </c>
      <c r="G1909" t="str">
        <f>VLOOKUP(Table1[[#This Row],[Winner]],Ranking!C:D,2,FALSE)</f>
        <v>B10</v>
      </c>
      <c r="H1909" s="1">
        <v>61</v>
      </c>
      <c r="I1909" s="1">
        <v>1</v>
      </c>
      <c r="J1909" t="s">
        <v>61</v>
      </c>
      <c r="K1909" t="str">
        <f>VLOOKUP(Table1[[#This Row],[Loser]],Ranking!C:D,2,FALSE)</f>
        <v>ACC</v>
      </c>
      <c r="L1909" s="1">
        <v>59</v>
      </c>
      <c r="N1909" s="1">
        <f>Table1[[#This Row],[Winning Score]]-Table1[[#This Row],[Losing Score]]</f>
        <v>2</v>
      </c>
      <c r="O1909" s="1">
        <f>Table1[[#This Row],[Losing Seed]]-Table1[[#This Row],[Winning Seed]]</f>
        <v>-3</v>
      </c>
      <c r="P1909" s="1" t="str">
        <f>IF(Table1[[#This Row],[SeD]]&lt;-2,Table1[[#This Row],[Winning Seed]]&amp; " over " &amp;Table1[[#This Row],[Losing Seed]],"")</f>
        <v>4 over 1</v>
      </c>
      <c r="Q1909">
        <f>VLOOKUP(Table1[[#This Row],[Losing Seed]],'Seed History'!$N$4:$O$19,2)</f>
        <v>3.3263888888888888</v>
      </c>
      <c r="R1909" s="1">
        <f>IF(Table1[[#This Row],[Round]]="PI",0,Table1[[#This Row],[Round]]-1)</f>
        <v>2</v>
      </c>
      <c r="S1909">
        <f>Table1[[#This Row],[LAW]]-Table1[[#This Row],[LEW]]</f>
        <v>-1.3263888888888888</v>
      </c>
    </row>
    <row r="1910" spans="1:19" x14ac:dyDescent="0.25">
      <c r="A1910" s="66">
        <v>41726</v>
      </c>
      <c r="B1910" s="51">
        <f>YEAR(Table1[[#This Row],[Date]])</f>
        <v>2014</v>
      </c>
      <c r="C1910" s="1">
        <v>3</v>
      </c>
      <c r="D1910" t="s">
        <v>439</v>
      </c>
      <c r="E1910" s="1">
        <v>2</v>
      </c>
      <c r="F1910" t="s">
        <v>82</v>
      </c>
      <c r="G1910" t="str">
        <f>VLOOKUP(Table1[[#This Row],[Winner]],Ranking!C:D,2,FALSE)</f>
        <v>B10</v>
      </c>
      <c r="H1910" s="1">
        <v>73</v>
      </c>
      <c r="I1910" s="1">
        <v>11</v>
      </c>
      <c r="J1910" t="s">
        <v>374</v>
      </c>
      <c r="K1910" t="str">
        <f>VLOOKUP(Table1[[#This Row],[Loser]],Ranking!C:D,2,FALSE)</f>
        <v>SEC</v>
      </c>
      <c r="L1910" s="1">
        <v>71</v>
      </c>
      <c r="N1910" s="1">
        <f>Table1[[#This Row],[Winning Score]]-Table1[[#This Row],[Losing Score]]</f>
        <v>2</v>
      </c>
      <c r="O1910" s="1">
        <f>Table1[[#This Row],[Losing Seed]]-Table1[[#This Row],[Winning Seed]]</f>
        <v>9</v>
      </c>
      <c r="P1910" s="1" t="str">
        <f>IF(Table1[[#This Row],[SeD]]&lt;-2,Table1[[#This Row],[Winning Seed]]&amp; " over " &amp;Table1[[#This Row],[Losing Seed]],"")</f>
        <v/>
      </c>
      <c r="Q1910">
        <f>VLOOKUP(Table1[[#This Row],[Losing Seed]],'Seed History'!$N$4:$O$19,2)</f>
        <v>0.63194444444444442</v>
      </c>
      <c r="R1910" s="1">
        <f>IF(Table1[[#This Row],[Round]]="PI",0,Table1[[#This Row],[Round]]-1)</f>
        <v>2</v>
      </c>
      <c r="S1910">
        <f>Table1[[#This Row],[LAW]]-Table1[[#This Row],[LEW]]</f>
        <v>1.3680555555555556</v>
      </c>
    </row>
    <row r="1911" spans="1:19" x14ac:dyDescent="0.25">
      <c r="A1911" s="66">
        <v>41727</v>
      </c>
      <c r="B1911" s="51">
        <f>YEAR(Table1[[#This Row],[Date]])</f>
        <v>2014</v>
      </c>
      <c r="C1911" s="1">
        <v>4</v>
      </c>
      <c r="D1911" t="s">
        <v>63</v>
      </c>
      <c r="E1911" s="1">
        <v>1</v>
      </c>
      <c r="F1911" t="s">
        <v>81</v>
      </c>
      <c r="G1911" t="str">
        <f>VLOOKUP(Table1[[#This Row],[Winner]],Ranking!C:D,2,FALSE)</f>
        <v>SEC</v>
      </c>
      <c r="H1911" s="1">
        <v>62</v>
      </c>
      <c r="I1911" s="1">
        <v>11</v>
      </c>
      <c r="J1911" t="s">
        <v>57</v>
      </c>
      <c r="K1911" t="str">
        <f>VLOOKUP(Table1[[#This Row],[Loser]],Ranking!C:D,2,FALSE)</f>
        <v>A10</v>
      </c>
      <c r="L1911" s="1">
        <v>52</v>
      </c>
      <c r="N1911" s="1">
        <f>Table1[[#This Row],[Winning Score]]-Table1[[#This Row],[Losing Score]]</f>
        <v>10</v>
      </c>
      <c r="O1911" s="1">
        <f>Table1[[#This Row],[Losing Seed]]-Table1[[#This Row],[Winning Seed]]</f>
        <v>10</v>
      </c>
      <c r="P1911" s="1" t="str">
        <f>IF(Table1[[#This Row],[SeD]]&lt;-2,Table1[[#This Row],[Winning Seed]]&amp; " over " &amp;Table1[[#This Row],[Losing Seed]],"")</f>
        <v/>
      </c>
      <c r="Q1911">
        <f>VLOOKUP(Table1[[#This Row],[Losing Seed]],'Seed History'!$N$4:$O$19,2)</f>
        <v>0.63194444444444442</v>
      </c>
      <c r="R1911" s="1">
        <f>IF(Table1[[#This Row],[Round]]="PI",0,Table1[[#This Row],[Round]]-1)</f>
        <v>3</v>
      </c>
      <c r="S1911">
        <f>Table1[[#This Row],[LAW]]-Table1[[#This Row],[LEW]]</f>
        <v>2.3680555555555554</v>
      </c>
    </row>
    <row r="1912" spans="1:19" x14ac:dyDescent="0.25">
      <c r="A1912" s="66">
        <v>41727</v>
      </c>
      <c r="B1912" s="51">
        <f>YEAR(Table1[[#This Row],[Date]])</f>
        <v>2014</v>
      </c>
      <c r="C1912" s="1">
        <v>4</v>
      </c>
      <c r="D1912" t="s">
        <v>38</v>
      </c>
      <c r="E1912" s="1">
        <v>2</v>
      </c>
      <c r="F1912" t="s">
        <v>39</v>
      </c>
      <c r="G1912" t="str">
        <f>VLOOKUP(Table1[[#This Row],[Winner]],Ranking!C:D,2,FALSE)</f>
        <v>B10</v>
      </c>
      <c r="H1912" s="1">
        <v>64</v>
      </c>
      <c r="I1912" s="1">
        <v>1</v>
      </c>
      <c r="J1912" t="s">
        <v>48</v>
      </c>
      <c r="K1912" t="str">
        <f>VLOOKUP(Table1[[#This Row],[Loser]],Ranking!C:D,2,FALSE)</f>
        <v>P12</v>
      </c>
      <c r="L1912" s="1">
        <v>63</v>
      </c>
      <c r="M1912" s="1" t="s">
        <v>462</v>
      </c>
      <c r="N1912" s="1">
        <f>Table1[[#This Row],[Winning Score]]-Table1[[#This Row],[Losing Score]]</f>
        <v>1</v>
      </c>
      <c r="O1912" s="1">
        <f>Table1[[#This Row],[Losing Seed]]-Table1[[#This Row],[Winning Seed]]</f>
        <v>-1</v>
      </c>
      <c r="P1912" s="1" t="str">
        <f>IF(Table1[[#This Row],[SeD]]&lt;-2,Table1[[#This Row],[Winning Seed]]&amp; " over " &amp;Table1[[#This Row],[Losing Seed]],"")</f>
        <v/>
      </c>
      <c r="Q1912">
        <f>VLOOKUP(Table1[[#This Row],[Losing Seed]],'Seed History'!$N$4:$O$19,2)</f>
        <v>3.3263888888888888</v>
      </c>
      <c r="R1912" s="1">
        <f>IF(Table1[[#This Row],[Round]]="PI",0,Table1[[#This Row],[Round]]-1)</f>
        <v>3</v>
      </c>
      <c r="S1912">
        <f>Table1[[#This Row],[LAW]]-Table1[[#This Row],[LEW]]</f>
        <v>-0.32638888888888884</v>
      </c>
    </row>
    <row r="1913" spans="1:19" x14ac:dyDescent="0.25">
      <c r="A1913" s="66">
        <v>41728</v>
      </c>
      <c r="B1913" s="51">
        <f>YEAR(Table1[[#This Row],[Date]])</f>
        <v>2014</v>
      </c>
      <c r="C1913" s="1">
        <v>4</v>
      </c>
      <c r="D1913" t="s">
        <v>439</v>
      </c>
      <c r="E1913" s="1">
        <v>8</v>
      </c>
      <c r="F1913" t="s">
        <v>26</v>
      </c>
      <c r="G1913" t="str">
        <f>VLOOKUP(Table1[[#This Row],[Winner]],Ranking!C:D,2,FALSE)</f>
        <v>SEC</v>
      </c>
      <c r="H1913" s="1">
        <v>75</v>
      </c>
      <c r="I1913" s="1">
        <v>2</v>
      </c>
      <c r="J1913" t="s">
        <v>82</v>
      </c>
      <c r="K1913" t="str">
        <f>VLOOKUP(Table1[[#This Row],[Loser]],Ranking!C:D,2,FALSE)</f>
        <v>B10</v>
      </c>
      <c r="L1913" s="1">
        <v>72</v>
      </c>
      <c r="N1913" s="1">
        <f>Table1[[#This Row],[Winning Score]]-Table1[[#This Row],[Losing Score]]</f>
        <v>3</v>
      </c>
      <c r="O1913" s="1">
        <f>Table1[[#This Row],[Losing Seed]]-Table1[[#This Row],[Winning Seed]]</f>
        <v>-6</v>
      </c>
      <c r="P1913" s="1" t="str">
        <f>IF(Table1[[#This Row],[SeD]]&lt;-2,Table1[[#This Row],[Winning Seed]]&amp; " over " &amp;Table1[[#This Row],[Losing Seed]],"")</f>
        <v>8 over 2</v>
      </c>
      <c r="Q1913">
        <f>VLOOKUP(Table1[[#This Row],[Losing Seed]],'Seed History'!$N$4:$O$19,2)</f>
        <v>2.3472222222222223</v>
      </c>
      <c r="R1913" s="1">
        <f>IF(Table1[[#This Row],[Round]]="PI",0,Table1[[#This Row],[Round]]-1)</f>
        <v>3</v>
      </c>
      <c r="S1913">
        <f>Table1[[#This Row],[LAW]]-Table1[[#This Row],[LEW]]</f>
        <v>0.65277777777777768</v>
      </c>
    </row>
    <row r="1914" spans="1:19" x14ac:dyDescent="0.25">
      <c r="A1914" s="66">
        <v>41728</v>
      </c>
      <c r="B1914" s="51">
        <f>YEAR(Table1[[#This Row],[Date]])</f>
        <v>2014</v>
      </c>
      <c r="C1914" s="1">
        <v>4</v>
      </c>
      <c r="D1914" t="s">
        <v>49</v>
      </c>
      <c r="E1914" s="1">
        <v>7</v>
      </c>
      <c r="F1914" t="s">
        <v>80</v>
      </c>
      <c r="G1914" t="str">
        <f>VLOOKUP(Table1[[#This Row],[Winner]],Ranking!C:D,2,FALSE)</f>
        <v>BE</v>
      </c>
      <c r="H1914" s="1">
        <v>60</v>
      </c>
      <c r="I1914" s="1">
        <v>4</v>
      </c>
      <c r="J1914" t="s">
        <v>271</v>
      </c>
      <c r="K1914" t="str">
        <f>VLOOKUP(Table1[[#This Row],[Loser]],Ranking!C:D,2,FALSE)</f>
        <v>B10</v>
      </c>
      <c r="L1914" s="1">
        <v>54</v>
      </c>
      <c r="N1914" s="1">
        <f>Table1[[#This Row],[Winning Score]]-Table1[[#This Row],[Losing Score]]</f>
        <v>6</v>
      </c>
      <c r="O1914" s="1">
        <f>Table1[[#This Row],[Losing Seed]]-Table1[[#This Row],[Winning Seed]]</f>
        <v>-3</v>
      </c>
      <c r="P1914" s="1" t="str">
        <f>IF(Table1[[#This Row],[SeD]]&lt;-2,Table1[[#This Row],[Winning Seed]]&amp; " over " &amp;Table1[[#This Row],[Losing Seed]],"")</f>
        <v>7 over 4</v>
      </c>
      <c r="Q1914">
        <f>VLOOKUP(Table1[[#This Row],[Losing Seed]],'Seed History'!$N$4:$O$19,2)</f>
        <v>1.5208333333333333</v>
      </c>
      <c r="R1914" s="1">
        <f>IF(Table1[[#This Row],[Round]]="PI",0,Table1[[#This Row],[Round]]-1)</f>
        <v>3</v>
      </c>
      <c r="S1914">
        <f>Table1[[#This Row],[LAW]]-Table1[[#This Row],[LEW]]</f>
        <v>1.4791666666666667</v>
      </c>
    </row>
    <row r="1915" spans="1:19" x14ac:dyDescent="0.25">
      <c r="A1915" s="66">
        <v>41734</v>
      </c>
      <c r="B1915" s="51">
        <f>YEAR(Table1[[#This Row],[Date]])</f>
        <v>2014</v>
      </c>
      <c r="C1915" s="1">
        <v>5</v>
      </c>
      <c r="D1915" t="s">
        <v>467</v>
      </c>
      <c r="E1915" s="1">
        <v>7</v>
      </c>
      <c r="F1915" t="s">
        <v>80</v>
      </c>
      <c r="G1915" t="str">
        <f>VLOOKUP(Table1[[#This Row],[Winner]],Ranking!C:D,2,FALSE)</f>
        <v>BE</v>
      </c>
      <c r="H1915" s="1">
        <v>63</v>
      </c>
      <c r="I1915" s="1">
        <v>1</v>
      </c>
      <c r="J1915" t="s">
        <v>81</v>
      </c>
      <c r="K1915" t="str">
        <f>VLOOKUP(Table1[[#This Row],[Loser]],Ranking!C:D,2,FALSE)</f>
        <v>SEC</v>
      </c>
      <c r="L1915" s="1">
        <v>53</v>
      </c>
      <c r="N1915" s="1">
        <f>Table1[[#This Row],[Winning Score]]-Table1[[#This Row],[Losing Score]]</f>
        <v>10</v>
      </c>
      <c r="O1915" s="1">
        <f>Table1[[#This Row],[Losing Seed]]-Table1[[#This Row],[Winning Seed]]</f>
        <v>-6</v>
      </c>
      <c r="P1915" s="1" t="str">
        <f>IF(Table1[[#This Row],[SeD]]&lt;-2,Table1[[#This Row],[Winning Seed]]&amp; " over " &amp;Table1[[#This Row],[Losing Seed]],"")</f>
        <v>7 over 1</v>
      </c>
      <c r="Q1915">
        <f>VLOOKUP(Table1[[#This Row],[Losing Seed]],'Seed History'!$N$4:$O$19,2)</f>
        <v>3.3263888888888888</v>
      </c>
      <c r="R1915" s="1">
        <f>IF(Table1[[#This Row],[Round]]="PI",0,Table1[[#This Row],[Round]]-1)</f>
        <v>4</v>
      </c>
      <c r="S1915">
        <f>Table1[[#This Row],[LAW]]-Table1[[#This Row],[LEW]]</f>
        <v>0.67361111111111116</v>
      </c>
    </row>
    <row r="1916" spans="1:19" x14ac:dyDescent="0.25">
      <c r="A1916" s="66">
        <v>41734</v>
      </c>
      <c r="B1916" s="51">
        <f>YEAR(Table1[[#This Row],[Date]])</f>
        <v>2014</v>
      </c>
      <c r="C1916" s="1">
        <v>5</v>
      </c>
      <c r="D1916" t="s">
        <v>467</v>
      </c>
      <c r="E1916" s="1">
        <v>8</v>
      </c>
      <c r="F1916" t="s">
        <v>26</v>
      </c>
      <c r="G1916" t="str">
        <f>VLOOKUP(Table1[[#This Row],[Winner]],Ranking!C:D,2,FALSE)</f>
        <v>SEC</v>
      </c>
      <c r="H1916" s="1">
        <v>74</v>
      </c>
      <c r="I1916" s="1">
        <v>2</v>
      </c>
      <c r="J1916" t="s">
        <v>39</v>
      </c>
      <c r="K1916" t="str">
        <f>VLOOKUP(Table1[[#This Row],[Loser]],Ranking!C:D,2,FALSE)</f>
        <v>B10</v>
      </c>
      <c r="L1916" s="1">
        <v>73</v>
      </c>
      <c r="N1916" s="1">
        <f>Table1[[#This Row],[Winning Score]]-Table1[[#This Row],[Losing Score]]</f>
        <v>1</v>
      </c>
      <c r="O1916" s="1">
        <f>Table1[[#This Row],[Losing Seed]]-Table1[[#This Row],[Winning Seed]]</f>
        <v>-6</v>
      </c>
      <c r="P1916" s="1" t="str">
        <f>IF(Table1[[#This Row],[SeD]]&lt;-2,Table1[[#This Row],[Winning Seed]]&amp; " over " &amp;Table1[[#This Row],[Losing Seed]],"")</f>
        <v>8 over 2</v>
      </c>
      <c r="Q1916">
        <f>VLOOKUP(Table1[[#This Row],[Losing Seed]],'Seed History'!$N$4:$O$19,2)</f>
        <v>2.3472222222222223</v>
      </c>
      <c r="R1916" s="1">
        <f>IF(Table1[[#This Row],[Round]]="PI",0,Table1[[#This Row],[Round]]-1)</f>
        <v>4</v>
      </c>
      <c r="S1916">
        <f>Table1[[#This Row],[LAW]]-Table1[[#This Row],[LEW]]</f>
        <v>1.6527777777777777</v>
      </c>
    </row>
    <row r="1917" spans="1:19" x14ac:dyDescent="0.25">
      <c r="A1917" s="66">
        <v>41736</v>
      </c>
      <c r="B1917" s="51">
        <f>YEAR(Table1[[#This Row],[Date]])</f>
        <v>2014</v>
      </c>
      <c r="C1917" s="1">
        <v>6</v>
      </c>
      <c r="D1917" t="s">
        <v>468</v>
      </c>
      <c r="E1917" s="1">
        <v>7</v>
      </c>
      <c r="F1917" t="s">
        <v>80</v>
      </c>
      <c r="G1917" t="str">
        <f>VLOOKUP(Table1[[#This Row],[Winner]],Ranking!C:D,2,FALSE)</f>
        <v>BE</v>
      </c>
      <c r="H1917" s="1">
        <v>60</v>
      </c>
      <c r="I1917" s="1">
        <v>8</v>
      </c>
      <c r="J1917" t="s">
        <v>26</v>
      </c>
      <c r="K1917" t="str">
        <f>VLOOKUP(Table1[[#This Row],[Loser]],Ranking!C:D,2,FALSE)</f>
        <v>SEC</v>
      </c>
      <c r="L1917" s="1">
        <v>54</v>
      </c>
      <c r="N1917" s="1">
        <f>Table1[[#This Row],[Winning Score]]-Table1[[#This Row],[Losing Score]]</f>
        <v>6</v>
      </c>
      <c r="O1917" s="1">
        <f>Table1[[#This Row],[Losing Seed]]-Table1[[#This Row],[Winning Seed]]</f>
        <v>1</v>
      </c>
      <c r="P1917" s="1" t="str">
        <f>IF(Table1[[#This Row],[SeD]]&lt;-2,Table1[[#This Row],[Winning Seed]]&amp; " over " &amp;Table1[[#This Row],[Losing Seed]],"")</f>
        <v/>
      </c>
      <c r="Q1917">
        <f>VLOOKUP(Table1[[#This Row],[Losing Seed]],'Seed History'!$N$4:$O$19,2)</f>
        <v>0.70833333333333337</v>
      </c>
      <c r="R1917" s="1">
        <f>IF(Table1[[#This Row],[Round]]="PI",0,Table1[[#This Row],[Round]]-1)</f>
        <v>5</v>
      </c>
      <c r="S1917">
        <f>Table1[[#This Row],[LAW]]-Table1[[#This Row],[LEW]]</f>
        <v>4.291666666666667</v>
      </c>
    </row>
    <row r="1918" spans="1:19" x14ac:dyDescent="0.25">
      <c r="A1918" s="66">
        <v>42080</v>
      </c>
      <c r="B1918" s="51">
        <f>YEAR(Table1[[#This Row],[Date]])</f>
        <v>2015</v>
      </c>
      <c r="C1918" s="1" t="s">
        <v>476</v>
      </c>
      <c r="D1918" t="s">
        <v>439</v>
      </c>
      <c r="E1918" s="1">
        <v>16</v>
      </c>
      <c r="F1918" t="s">
        <v>27</v>
      </c>
      <c r="G1918" t="str">
        <f>VLOOKUP(Table1[[#This Row],[Winner]],Ranking!C:D,2,FALSE)</f>
        <v>BSth</v>
      </c>
      <c r="H1918" s="1">
        <v>74</v>
      </c>
      <c r="I1918" s="1">
        <v>16</v>
      </c>
      <c r="J1918" t="s">
        <v>73</v>
      </c>
      <c r="K1918" t="str">
        <f>VLOOKUP(Table1[[#This Row],[Loser]],Ranking!C:D,2,FALSE)</f>
        <v>MAAC</v>
      </c>
      <c r="L1918" s="1">
        <v>64</v>
      </c>
      <c r="N1918" s="1">
        <f>Table1[[#This Row],[Winning Score]]-Table1[[#This Row],[Losing Score]]</f>
        <v>10</v>
      </c>
      <c r="O1918" s="1">
        <f>Table1[[#This Row],[Losing Seed]]-Table1[[#This Row],[Winning Seed]]</f>
        <v>0</v>
      </c>
      <c r="P1918" s="1" t="str">
        <f>IF(Table1[[#This Row],[SeD]]&lt;-2,Table1[[#This Row],[Winning Seed]]&amp; " over " &amp;Table1[[#This Row],[Losing Seed]],"")</f>
        <v/>
      </c>
      <c r="Q1918">
        <f>VLOOKUP(Table1[[#This Row],[Losing Seed]],'Seed History'!$N$4:$O$19,2)</f>
        <v>6.9444444444444441E-3</v>
      </c>
      <c r="R1918" s="1">
        <f>IF(Table1[[#This Row],[Round]]="PI",0,Table1[[#This Row],[Round]]-1)</f>
        <v>0</v>
      </c>
      <c r="S1918">
        <f>Table1[[#This Row],[LAW]]-Table1[[#This Row],[LEW]]</f>
        <v>-6.9444444444444441E-3</v>
      </c>
    </row>
    <row r="1919" spans="1:19" x14ac:dyDescent="0.25">
      <c r="A1919" s="66">
        <v>42080</v>
      </c>
      <c r="B1919" s="51">
        <f>YEAR(Table1[[#This Row],[Date]])</f>
        <v>2015</v>
      </c>
      <c r="C1919" s="1" t="s">
        <v>476</v>
      </c>
      <c r="D1919" t="s">
        <v>38</v>
      </c>
      <c r="E1919" s="1">
        <v>11</v>
      </c>
      <c r="F1919" t="s">
        <v>45</v>
      </c>
      <c r="G1919" t="str">
        <f>VLOOKUP(Table1[[#This Row],[Winner]],Ranking!C:D,2,FALSE)</f>
        <v>SEC</v>
      </c>
      <c r="H1919" s="1">
        <v>94</v>
      </c>
      <c r="I1919" s="1">
        <v>11</v>
      </c>
      <c r="J1919" t="s">
        <v>72</v>
      </c>
      <c r="K1919" t="str">
        <f>VLOOKUP(Table1[[#This Row],[Loser]],Ranking!C:D,2,FALSE)</f>
        <v>WCC</v>
      </c>
      <c r="L1919" s="1">
        <v>90</v>
      </c>
      <c r="N1919" s="1">
        <f>Table1[[#This Row],[Winning Score]]-Table1[[#This Row],[Losing Score]]</f>
        <v>4</v>
      </c>
      <c r="O1919" s="1">
        <f>Table1[[#This Row],[Losing Seed]]-Table1[[#This Row],[Winning Seed]]</f>
        <v>0</v>
      </c>
      <c r="P1919" s="1" t="str">
        <f>IF(Table1[[#This Row],[SeD]]&lt;-2,Table1[[#This Row],[Winning Seed]]&amp; " over " &amp;Table1[[#This Row],[Losing Seed]],"")</f>
        <v/>
      </c>
      <c r="Q1919">
        <f>VLOOKUP(Table1[[#This Row],[Losing Seed]],'Seed History'!$N$4:$O$19,2)</f>
        <v>0.63194444444444442</v>
      </c>
      <c r="R1919" s="1">
        <f>IF(Table1[[#This Row],[Round]]="PI",0,Table1[[#This Row],[Round]]-1)</f>
        <v>0</v>
      </c>
      <c r="S1919">
        <f>Table1[[#This Row],[LAW]]-Table1[[#This Row],[LEW]]</f>
        <v>-0.63194444444444442</v>
      </c>
    </row>
    <row r="1920" spans="1:19" x14ac:dyDescent="0.25">
      <c r="A1920" s="66">
        <v>42081</v>
      </c>
      <c r="B1920" s="51">
        <f>YEAR(Table1[[#This Row],[Date]])</f>
        <v>2015</v>
      </c>
      <c r="C1920" s="1" t="s">
        <v>476</v>
      </c>
      <c r="D1920" t="s">
        <v>49</v>
      </c>
      <c r="E1920" s="1">
        <v>11</v>
      </c>
      <c r="F1920" t="s">
        <v>57</v>
      </c>
      <c r="G1920" t="str">
        <f>VLOOKUP(Table1[[#This Row],[Winner]],Ranking!C:D,2,FALSE)</f>
        <v>A10</v>
      </c>
      <c r="H1920" s="1">
        <v>56</v>
      </c>
      <c r="I1920" s="1">
        <v>11</v>
      </c>
      <c r="J1920" t="s">
        <v>137</v>
      </c>
      <c r="K1920" t="str">
        <f>VLOOKUP(Table1[[#This Row],[Loser]],Ranking!C:D,2,FALSE)</f>
        <v>MWC</v>
      </c>
      <c r="L1920" s="1">
        <v>55</v>
      </c>
      <c r="N1920" s="1">
        <f>Table1[[#This Row],[Winning Score]]-Table1[[#This Row],[Losing Score]]</f>
        <v>1</v>
      </c>
      <c r="O1920" s="1">
        <f>Table1[[#This Row],[Losing Seed]]-Table1[[#This Row],[Winning Seed]]</f>
        <v>0</v>
      </c>
      <c r="P1920" s="1" t="str">
        <f>IF(Table1[[#This Row],[SeD]]&lt;-2,Table1[[#This Row],[Winning Seed]]&amp; " over " &amp;Table1[[#This Row],[Losing Seed]],"")</f>
        <v/>
      </c>
      <c r="Q1920">
        <f>VLOOKUP(Table1[[#This Row],[Losing Seed]],'Seed History'!$N$4:$O$19,2)</f>
        <v>0.63194444444444442</v>
      </c>
      <c r="R1920" s="1">
        <f>IF(Table1[[#This Row],[Round]]="PI",0,Table1[[#This Row],[Round]]-1)</f>
        <v>0</v>
      </c>
      <c r="S1920">
        <f>Table1[[#This Row],[LAW]]-Table1[[#This Row],[LEW]]</f>
        <v>-0.63194444444444442</v>
      </c>
    </row>
    <row r="1921" spans="1:19" x14ac:dyDescent="0.25">
      <c r="A1921" s="66">
        <v>42081</v>
      </c>
      <c r="B1921" s="51">
        <f>YEAR(Table1[[#This Row],[Date]])</f>
        <v>2015</v>
      </c>
      <c r="C1921" s="1" t="s">
        <v>476</v>
      </c>
      <c r="D1921" t="s">
        <v>63</v>
      </c>
      <c r="E1921" s="1">
        <v>16</v>
      </c>
      <c r="F1921" t="s">
        <v>333</v>
      </c>
      <c r="G1921" t="str">
        <f>VLOOKUP(Table1[[#This Row],[Winner]],Ranking!C:D,2,FALSE)</f>
        <v>Horz</v>
      </c>
      <c r="H1921" s="1">
        <v>81</v>
      </c>
      <c r="I1921" s="1">
        <v>16</v>
      </c>
      <c r="J1921" t="s">
        <v>304</v>
      </c>
      <c r="K1921" t="str">
        <f>VLOOKUP(Table1[[#This Row],[Loser]],Ranking!C:D,2,FALSE)</f>
        <v>ASun</v>
      </c>
      <c r="L1921" s="1">
        <v>77</v>
      </c>
      <c r="N1921" s="1">
        <f>Table1[[#This Row],[Winning Score]]-Table1[[#This Row],[Losing Score]]</f>
        <v>4</v>
      </c>
      <c r="O1921" s="1">
        <f>Table1[[#This Row],[Losing Seed]]-Table1[[#This Row],[Winning Seed]]</f>
        <v>0</v>
      </c>
      <c r="P1921" s="1" t="str">
        <f>IF(Table1[[#This Row],[SeD]]&lt;-2,Table1[[#This Row],[Winning Seed]]&amp; " over " &amp;Table1[[#This Row],[Losing Seed]],"")</f>
        <v/>
      </c>
      <c r="Q1921">
        <f>VLOOKUP(Table1[[#This Row],[Losing Seed]],'Seed History'!$N$4:$O$19,2)</f>
        <v>6.9444444444444441E-3</v>
      </c>
      <c r="R1921" s="1">
        <f>IF(Table1[[#This Row],[Round]]="PI",0,Table1[[#This Row],[Round]]-1)</f>
        <v>0</v>
      </c>
      <c r="S1921">
        <f>Table1[[#This Row],[LAW]]-Table1[[#This Row],[LEW]]</f>
        <v>-6.9444444444444441E-3</v>
      </c>
    </row>
    <row r="1922" spans="1:19" x14ac:dyDescent="0.25">
      <c r="A1922" s="66">
        <v>42082</v>
      </c>
      <c r="B1922" s="51">
        <f>YEAR(Table1[[#This Row],[Date]])</f>
        <v>2015</v>
      </c>
      <c r="C1922" s="1">
        <v>1</v>
      </c>
      <c r="D1922" t="s">
        <v>63</v>
      </c>
      <c r="E1922" s="1">
        <v>14</v>
      </c>
      <c r="F1922" t="s">
        <v>68</v>
      </c>
      <c r="G1922" t="str">
        <f>VLOOKUP(Table1[[#This Row],[Winner]],Ranking!C:D,2,FALSE)</f>
        <v>CUSA</v>
      </c>
      <c r="H1922" s="1">
        <v>60</v>
      </c>
      <c r="I1922" s="1">
        <v>3</v>
      </c>
      <c r="J1922" t="s">
        <v>237</v>
      </c>
      <c r="K1922" t="str">
        <f>VLOOKUP(Table1[[#This Row],[Loser]],Ranking!C:D,2,FALSE)</f>
        <v>B12</v>
      </c>
      <c r="L1922" s="1">
        <v>59</v>
      </c>
      <c r="N1922" s="1">
        <f>Table1[[#This Row],[Winning Score]]-Table1[[#This Row],[Losing Score]]</f>
        <v>1</v>
      </c>
      <c r="O1922" s="1">
        <f>Table1[[#This Row],[Losing Seed]]-Table1[[#This Row],[Winning Seed]]</f>
        <v>-11</v>
      </c>
      <c r="P1922" s="1" t="str">
        <f>IF(Table1[[#This Row],[SeD]]&lt;-2,Table1[[#This Row],[Winning Seed]]&amp; " over " &amp;Table1[[#This Row],[Losing Seed]],"")</f>
        <v>14 over 3</v>
      </c>
      <c r="Q1922">
        <f>VLOOKUP(Table1[[#This Row],[Losing Seed]],'Seed History'!$N$4:$O$19,2)</f>
        <v>1.8472222222222223</v>
      </c>
      <c r="R1922" s="1">
        <f>IF(Table1[[#This Row],[Round]]="PI",0,Table1[[#This Row],[Round]]-1)</f>
        <v>0</v>
      </c>
      <c r="S1922">
        <f>Table1[[#This Row],[LAW]]-Table1[[#This Row],[LEW]]</f>
        <v>-1.8472222222222223</v>
      </c>
    </row>
    <row r="1923" spans="1:19" x14ac:dyDescent="0.25">
      <c r="A1923" s="66">
        <v>42082</v>
      </c>
      <c r="B1923" s="51">
        <f>YEAR(Table1[[#This Row],[Date]])</f>
        <v>2015</v>
      </c>
      <c r="C1923" s="1">
        <v>1</v>
      </c>
      <c r="D1923" t="s">
        <v>38</v>
      </c>
      <c r="E1923" s="1">
        <v>14</v>
      </c>
      <c r="F1923" t="s">
        <v>215</v>
      </c>
      <c r="G1923" t="str">
        <f>VLOOKUP(Table1[[#This Row],[Winner]],Ranking!C:D,2,FALSE)</f>
        <v>SB</v>
      </c>
      <c r="H1923" s="1">
        <v>57</v>
      </c>
      <c r="I1923" s="1">
        <v>3</v>
      </c>
      <c r="J1923" t="s">
        <v>46</v>
      </c>
      <c r="K1923" t="str">
        <f>VLOOKUP(Table1[[#This Row],[Loser]],Ranking!C:D,2,FALSE)</f>
        <v>B12</v>
      </c>
      <c r="L1923" s="1">
        <v>56</v>
      </c>
      <c r="N1923" s="1">
        <f>Table1[[#This Row],[Winning Score]]-Table1[[#This Row],[Losing Score]]</f>
        <v>1</v>
      </c>
      <c r="O1923" s="1">
        <f>Table1[[#This Row],[Losing Seed]]-Table1[[#This Row],[Winning Seed]]</f>
        <v>-11</v>
      </c>
      <c r="P1923" s="1" t="str">
        <f>IF(Table1[[#This Row],[SeD]]&lt;-2,Table1[[#This Row],[Winning Seed]]&amp; " over " &amp;Table1[[#This Row],[Losing Seed]],"")</f>
        <v>14 over 3</v>
      </c>
      <c r="Q1923">
        <f>VLOOKUP(Table1[[#This Row],[Losing Seed]],'Seed History'!$N$4:$O$19,2)</f>
        <v>1.8472222222222223</v>
      </c>
      <c r="R1923" s="1">
        <f>IF(Table1[[#This Row],[Round]]="PI",0,Table1[[#This Row],[Round]]-1)</f>
        <v>0</v>
      </c>
      <c r="S1923">
        <f>Table1[[#This Row],[LAW]]-Table1[[#This Row],[LEW]]</f>
        <v>-1.8472222222222223</v>
      </c>
    </row>
    <row r="1924" spans="1:19" x14ac:dyDescent="0.25">
      <c r="A1924" s="66">
        <v>42082</v>
      </c>
      <c r="B1924" s="51">
        <f>YEAR(Table1[[#This Row],[Date]])</f>
        <v>2015</v>
      </c>
      <c r="C1924" s="1">
        <v>1</v>
      </c>
      <c r="D1924" t="s">
        <v>63</v>
      </c>
      <c r="E1924" s="1">
        <v>11</v>
      </c>
      <c r="F1924" t="s">
        <v>67</v>
      </c>
      <c r="G1924" t="str">
        <f>VLOOKUP(Table1[[#This Row],[Winner]],Ranking!C:D,2,FALSE)</f>
        <v>P12</v>
      </c>
      <c r="H1924" s="1">
        <v>60</v>
      </c>
      <c r="I1924" s="1">
        <v>6</v>
      </c>
      <c r="J1924" t="s">
        <v>352</v>
      </c>
      <c r="K1924" t="str">
        <f>VLOOKUP(Table1[[#This Row],[Loser]],Ranking!C:D,2,FALSE)</f>
        <v>Amer</v>
      </c>
      <c r="L1924" s="1">
        <v>59</v>
      </c>
      <c r="N1924" s="1">
        <f>Table1[[#This Row],[Winning Score]]-Table1[[#This Row],[Losing Score]]</f>
        <v>1</v>
      </c>
      <c r="O1924" s="1">
        <f>Table1[[#This Row],[Losing Seed]]-Table1[[#This Row],[Winning Seed]]</f>
        <v>-5</v>
      </c>
      <c r="P1924" s="1" t="str">
        <f>IF(Table1[[#This Row],[SeD]]&lt;-2,Table1[[#This Row],[Winning Seed]]&amp; " over " &amp;Table1[[#This Row],[Losing Seed]],"")</f>
        <v>11 over 6</v>
      </c>
      <c r="Q1924">
        <f>VLOOKUP(Table1[[#This Row],[Losing Seed]],'Seed History'!$N$4:$O$19,2)</f>
        <v>1.0625</v>
      </c>
      <c r="R1924" s="1">
        <f>IF(Table1[[#This Row],[Round]]="PI",0,Table1[[#This Row],[Round]]-1)</f>
        <v>0</v>
      </c>
      <c r="S1924">
        <f>Table1[[#This Row],[LAW]]-Table1[[#This Row],[LEW]]</f>
        <v>-1.0625</v>
      </c>
    </row>
    <row r="1925" spans="1:19" x14ac:dyDescent="0.25">
      <c r="A1925" s="66">
        <v>42082</v>
      </c>
      <c r="B1925" s="51">
        <f>YEAR(Table1[[#This Row],[Date]])</f>
        <v>2015</v>
      </c>
      <c r="C1925" s="1">
        <v>1</v>
      </c>
      <c r="D1925" t="s">
        <v>38</v>
      </c>
      <c r="E1925" s="1">
        <v>10</v>
      </c>
      <c r="F1925" t="s">
        <v>315</v>
      </c>
      <c r="G1925" t="str">
        <f>VLOOKUP(Table1[[#This Row],[Winner]],Ranking!C:D,2,FALSE)</f>
        <v>B10</v>
      </c>
      <c r="H1925" s="1">
        <v>75</v>
      </c>
      <c r="I1925" s="1">
        <v>7</v>
      </c>
      <c r="J1925" t="s">
        <v>47</v>
      </c>
      <c r="K1925" t="str">
        <f>VLOOKUP(Table1[[#This Row],[Loser]],Ranking!C:D,2,FALSE)</f>
        <v>A10</v>
      </c>
      <c r="L1925" s="1">
        <v>72</v>
      </c>
      <c r="M1925" s="1" t="s">
        <v>462</v>
      </c>
      <c r="N1925" s="1">
        <f>Table1[[#This Row],[Winning Score]]-Table1[[#This Row],[Losing Score]]</f>
        <v>3</v>
      </c>
      <c r="O1925" s="1">
        <f>Table1[[#This Row],[Losing Seed]]-Table1[[#This Row],[Winning Seed]]</f>
        <v>-3</v>
      </c>
      <c r="P1925" s="1" t="str">
        <f>IF(Table1[[#This Row],[SeD]]&lt;-2,Table1[[#This Row],[Winning Seed]]&amp; " over " &amp;Table1[[#This Row],[Losing Seed]],"")</f>
        <v>10 over 7</v>
      </c>
      <c r="Q1925">
        <f>VLOOKUP(Table1[[#This Row],[Losing Seed]],'Seed History'!$N$4:$O$19,2)</f>
        <v>0.90277777777777779</v>
      </c>
      <c r="R1925" s="1">
        <f>IF(Table1[[#This Row],[Round]]="PI",0,Table1[[#This Row],[Round]]-1)</f>
        <v>0</v>
      </c>
      <c r="S1925">
        <f>Table1[[#This Row],[LAW]]-Table1[[#This Row],[LEW]]</f>
        <v>-0.90277777777777779</v>
      </c>
    </row>
    <row r="1926" spans="1:19" x14ac:dyDescent="0.25">
      <c r="A1926" s="66">
        <v>42082</v>
      </c>
      <c r="B1926" s="51">
        <f>YEAR(Table1[[#This Row],[Date]])</f>
        <v>2015</v>
      </c>
      <c r="C1926" s="1">
        <v>1</v>
      </c>
      <c r="D1926" t="s">
        <v>49</v>
      </c>
      <c r="E1926" s="1">
        <v>1</v>
      </c>
      <c r="F1926" t="s">
        <v>50</v>
      </c>
      <c r="G1926" t="str">
        <f>VLOOKUP(Table1[[#This Row],[Winner]],Ranking!C:D,2,FALSE)</f>
        <v>BE</v>
      </c>
      <c r="H1926" s="1">
        <v>93</v>
      </c>
      <c r="I1926" s="1">
        <v>16</v>
      </c>
      <c r="J1926" t="s">
        <v>51</v>
      </c>
      <c r="K1926" t="str">
        <f>VLOOKUP(Table1[[#This Row],[Loser]],Ranking!C:D,2,FALSE)</f>
        <v>Pat</v>
      </c>
      <c r="L1926" s="1">
        <v>52</v>
      </c>
      <c r="N1926" s="1">
        <f>Table1[[#This Row],[Winning Score]]-Table1[[#This Row],[Losing Score]]</f>
        <v>41</v>
      </c>
      <c r="O1926" s="1">
        <f>Table1[[#This Row],[Losing Seed]]-Table1[[#This Row],[Winning Seed]]</f>
        <v>15</v>
      </c>
      <c r="P1926" s="1" t="str">
        <f>IF(Table1[[#This Row],[SeD]]&lt;-2,Table1[[#This Row],[Winning Seed]]&amp; " over " &amp;Table1[[#This Row],[Losing Seed]],"")</f>
        <v/>
      </c>
      <c r="Q1926">
        <f>VLOOKUP(Table1[[#This Row],[Losing Seed]],'Seed History'!$N$4:$O$19,2)</f>
        <v>6.9444444444444441E-3</v>
      </c>
      <c r="R1926" s="1">
        <f>IF(Table1[[#This Row],[Round]]="PI",0,Table1[[#This Row],[Round]]-1)</f>
        <v>0</v>
      </c>
      <c r="S1926">
        <f>Table1[[#This Row],[LAW]]-Table1[[#This Row],[LEW]]</f>
        <v>-6.9444444444444441E-3</v>
      </c>
    </row>
    <row r="1927" spans="1:19" x14ac:dyDescent="0.25">
      <c r="A1927" s="66">
        <v>42082</v>
      </c>
      <c r="B1927" s="51">
        <f>YEAR(Table1[[#This Row],[Date]])</f>
        <v>2015</v>
      </c>
      <c r="C1927" s="1">
        <v>1</v>
      </c>
      <c r="D1927" t="s">
        <v>49</v>
      </c>
      <c r="E1927" s="1">
        <v>8</v>
      </c>
      <c r="F1927" t="s">
        <v>301</v>
      </c>
      <c r="G1927" t="e">
        <f>VLOOKUP(Table1[[#This Row],[Winner]],Ranking!C:D,2,FALSE)</f>
        <v>#N/A</v>
      </c>
      <c r="H1927" s="1">
        <v>66</v>
      </c>
      <c r="I1927" s="1">
        <v>9</v>
      </c>
      <c r="J1927" t="s">
        <v>52</v>
      </c>
      <c r="K1927" t="str">
        <f>VLOOKUP(Table1[[#This Row],[Loser]],Ranking!C:D,2,FALSE)</f>
        <v>SEC</v>
      </c>
      <c r="L1927" s="1">
        <v>65</v>
      </c>
      <c r="N1927" s="1">
        <f>Table1[[#This Row],[Winning Score]]-Table1[[#This Row],[Losing Score]]</f>
        <v>1</v>
      </c>
      <c r="O1927" s="1">
        <f>Table1[[#This Row],[Losing Seed]]-Table1[[#This Row],[Winning Seed]]</f>
        <v>1</v>
      </c>
      <c r="P1927" s="1" t="str">
        <f>IF(Table1[[#This Row],[SeD]]&lt;-2,Table1[[#This Row],[Winning Seed]]&amp; " over " &amp;Table1[[#This Row],[Losing Seed]],"")</f>
        <v/>
      </c>
      <c r="Q1927">
        <f>VLOOKUP(Table1[[#This Row],[Losing Seed]],'Seed History'!$N$4:$O$19,2)</f>
        <v>0.59027777777777779</v>
      </c>
      <c r="R1927" s="1">
        <f>IF(Table1[[#This Row],[Round]]="PI",0,Table1[[#This Row],[Round]]-1)</f>
        <v>0</v>
      </c>
      <c r="S1927">
        <f>Table1[[#This Row],[LAW]]-Table1[[#This Row],[LEW]]</f>
        <v>-0.59027777777777779</v>
      </c>
    </row>
    <row r="1928" spans="1:19" x14ac:dyDescent="0.25">
      <c r="A1928" s="66">
        <v>42082</v>
      </c>
      <c r="B1928" s="51">
        <f>YEAR(Table1[[#This Row],[Date]])</f>
        <v>2015</v>
      </c>
      <c r="C1928" s="1">
        <v>1</v>
      </c>
      <c r="D1928" t="s">
        <v>439</v>
      </c>
      <c r="E1928" s="1">
        <v>1</v>
      </c>
      <c r="F1928" t="s">
        <v>26</v>
      </c>
      <c r="G1928" t="str">
        <f>VLOOKUP(Table1[[#This Row],[Winner]],Ranking!C:D,2,FALSE)</f>
        <v>SEC</v>
      </c>
      <c r="H1928" s="1">
        <v>79</v>
      </c>
      <c r="I1928" s="1">
        <v>16</v>
      </c>
      <c r="J1928" t="s">
        <v>27</v>
      </c>
      <c r="K1928" t="str">
        <f>VLOOKUP(Table1[[#This Row],[Loser]],Ranking!C:D,2,FALSE)</f>
        <v>BSth</v>
      </c>
      <c r="L1928" s="1">
        <v>56</v>
      </c>
      <c r="N1928" s="1">
        <f>Table1[[#This Row],[Winning Score]]-Table1[[#This Row],[Losing Score]]</f>
        <v>23</v>
      </c>
      <c r="O1928" s="1">
        <f>Table1[[#This Row],[Losing Seed]]-Table1[[#This Row],[Winning Seed]]</f>
        <v>15</v>
      </c>
      <c r="P1928" s="1" t="str">
        <f>IF(Table1[[#This Row],[SeD]]&lt;-2,Table1[[#This Row],[Winning Seed]]&amp; " over " &amp;Table1[[#This Row],[Losing Seed]],"")</f>
        <v/>
      </c>
      <c r="Q1928">
        <f>VLOOKUP(Table1[[#This Row],[Losing Seed]],'Seed History'!$N$4:$O$19,2)</f>
        <v>6.9444444444444441E-3</v>
      </c>
      <c r="R1928" s="1">
        <f>IF(Table1[[#This Row],[Round]]="PI",0,Table1[[#This Row],[Round]]-1)</f>
        <v>0</v>
      </c>
      <c r="S1928">
        <f>Table1[[#This Row],[LAW]]-Table1[[#This Row],[LEW]]</f>
        <v>-6.9444444444444441E-3</v>
      </c>
    </row>
    <row r="1929" spans="1:19" x14ac:dyDescent="0.25">
      <c r="A1929" s="66">
        <v>42082</v>
      </c>
      <c r="B1929" s="51">
        <f>YEAR(Table1[[#This Row],[Date]])</f>
        <v>2015</v>
      </c>
      <c r="C1929" s="1">
        <v>1</v>
      </c>
      <c r="D1929" t="s">
        <v>439</v>
      </c>
      <c r="E1929" s="1">
        <v>3</v>
      </c>
      <c r="F1929" t="s">
        <v>35</v>
      </c>
      <c r="G1929" t="str">
        <f>VLOOKUP(Table1[[#This Row],[Winner]],Ranking!C:D,2,FALSE)</f>
        <v>ACC</v>
      </c>
      <c r="H1929" s="1">
        <v>69</v>
      </c>
      <c r="I1929" s="1">
        <v>14</v>
      </c>
      <c r="J1929" t="s">
        <v>306</v>
      </c>
      <c r="K1929" t="str">
        <f>VLOOKUP(Table1[[#This Row],[Loser]],Ranking!C:D,2,FALSE)</f>
        <v>CAA</v>
      </c>
      <c r="L1929" s="1">
        <v>65</v>
      </c>
      <c r="N1929" s="1">
        <f>Table1[[#This Row],[Winning Score]]-Table1[[#This Row],[Losing Score]]</f>
        <v>4</v>
      </c>
      <c r="O1929" s="1">
        <f>Table1[[#This Row],[Losing Seed]]-Table1[[#This Row],[Winning Seed]]</f>
        <v>11</v>
      </c>
      <c r="P1929" s="1" t="str">
        <f>IF(Table1[[#This Row],[SeD]]&lt;-2,Table1[[#This Row],[Winning Seed]]&amp; " over " &amp;Table1[[#This Row],[Losing Seed]],"")</f>
        <v/>
      </c>
      <c r="Q1929">
        <f>VLOOKUP(Table1[[#This Row],[Losing Seed]],'Seed History'!$N$4:$O$19,2)</f>
        <v>0.16666666666666666</v>
      </c>
      <c r="R1929" s="1">
        <f>IF(Table1[[#This Row],[Round]]="PI",0,Table1[[#This Row],[Round]]-1)</f>
        <v>0</v>
      </c>
      <c r="S1929">
        <f>Table1[[#This Row],[LAW]]-Table1[[#This Row],[LEW]]</f>
        <v>-0.16666666666666666</v>
      </c>
    </row>
    <row r="1930" spans="1:19" x14ac:dyDescent="0.25">
      <c r="A1930" s="66">
        <v>42082</v>
      </c>
      <c r="B1930" s="51">
        <f>YEAR(Table1[[#This Row],[Date]])</f>
        <v>2015</v>
      </c>
      <c r="C1930" s="1">
        <v>1</v>
      </c>
      <c r="D1930" t="s">
        <v>439</v>
      </c>
      <c r="E1930" s="1">
        <v>6</v>
      </c>
      <c r="F1930" t="s">
        <v>33</v>
      </c>
      <c r="G1930" t="str">
        <f>VLOOKUP(Table1[[#This Row],[Winner]],Ranking!C:D,2,FALSE)</f>
        <v>BE</v>
      </c>
      <c r="H1930" s="1">
        <v>56</v>
      </c>
      <c r="I1930" s="1">
        <v>11</v>
      </c>
      <c r="J1930" t="s">
        <v>34</v>
      </c>
      <c r="K1930" t="str">
        <f>VLOOKUP(Table1[[#This Row],[Loser]],Ranking!C:D,2,FALSE)</f>
        <v>B12</v>
      </c>
      <c r="L1930" s="1">
        <v>48</v>
      </c>
      <c r="N1930" s="1">
        <f>Table1[[#This Row],[Winning Score]]-Table1[[#This Row],[Losing Score]]</f>
        <v>8</v>
      </c>
      <c r="O1930" s="1">
        <f>Table1[[#This Row],[Losing Seed]]-Table1[[#This Row],[Winning Seed]]</f>
        <v>5</v>
      </c>
      <c r="P1930" s="1" t="str">
        <f>IF(Table1[[#This Row],[SeD]]&lt;-2,Table1[[#This Row],[Winning Seed]]&amp; " over " &amp;Table1[[#This Row],[Losing Seed]],"")</f>
        <v/>
      </c>
      <c r="Q1930">
        <f>VLOOKUP(Table1[[#This Row],[Losing Seed]],'Seed History'!$N$4:$O$19,2)</f>
        <v>0.63194444444444442</v>
      </c>
      <c r="R1930" s="1">
        <f>IF(Table1[[#This Row],[Round]]="PI",0,Table1[[#This Row],[Round]]-1)</f>
        <v>0</v>
      </c>
      <c r="S1930">
        <f>Table1[[#This Row],[LAW]]-Table1[[#This Row],[LEW]]</f>
        <v>-0.63194444444444442</v>
      </c>
    </row>
    <row r="1931" spans="1:19" x14ac:dyDescent="0.25">
      <c r="A1931" s="66">
        <v>42082</v>
      </c>
      <c r="B1931" s="51">
        <f>YEAR(Table1[[#This Row],[Date]])</f>
        <v>2015</v>
      </c>
      <c r="C1931" s="1">
        <v>1</v>
      </c>
      <c r="D1931" t="s">
        <v>439</v>
      </c>
      <c r="E1931" s="1">
        <v>8</v>
      </c>
      <c r="F1931" t="s">
        <v>28</v>
      </c>
      <c r="G1931" t="str">
        <f>VLOOKUP(Table1[[#This Row],[Winner]],Ranking!C:D,2,FALSE)</f>
        <v>Amer</v>
      </c>
      <c r="H1931" s="1">
        <v>66</v>
      </c>
      <c r="I1931" s="1">
        <v>9</v>
      </c>
      <c r="J1931" t="s">
        <v>29</v>
      </c>
      <c r="K1931" t="str">
        <f>VLOOKUP(Table1[[#This Row],[Loser]],Ranking!C:D,2,FALSE)</f>
        <v>B10</v>
      </c>
      <c r="L1931" s="1">
        <v>65</v>
      </c>
      <c r="M1931" s="1" t="s">
        <v>462</v>
      </c>
      <c r="N1931" s="1">
        <f>Table1[[#This Row],[Winning Score]]-Table1[[#This Row],[Losing Score]]</f>
        <v>1</v>
      </c>
      <c r="O1931" s="1">
        <f>Table1[[#This Row],[Losing Seed]]-Table1[[#This Row],[Winning Seed]]</f>
        <v>1</v>
      </c>
      <c r="P1931" s="1" t="str">
        <f>IF(Table1[[#This Row],[SeD]]&lt;-2,Table1[[#This Row],[Winning Seed]]&amp; " over " &amp;Table1[[#This Row],[Losing Seed]],"")</f>
        <v/>
      </c>
      <c r="Q1931">
        <f>VLOOKUP(Table1[[#This Row],[Losing Seed]],'Seed History'!$N$4:$O$19,2)</f>
        <v>0.59027777777777779</v>
      </c>
      <c r="R1931" s="1">
        <f>IF(Table1[[#This Row],[Round]]="PI",0,Table1[[#This Row],[Round]]-1)</f>
        <v>0</v>
      </c>
      <c r="S1931">
        <f>Table1[[#This Row],[LAW]]-Table1[[#This Row],[LEW]]</f>
        <v>-0.59027777777777779</v>
      </c>
    </row>
    <row r="1932" spans="1:19" x14ac:dyDescent="0.25">
      <c r="A1932" s="66">
        <v>42082</v>
      </c>
      <c r="B1932" s="51">
        <f>YEAR(Table1[[#This Row],[Date]])</f>
        <v>2015</v>
      </c>
      <c r="C1932" s="1">
        <v>1</v>
      </c>
      <c r="D1932" t="s">
        <v>63</v>
      </c>
      <c r="E1932" s="1">
        <v>4</v>
      </c>
      <c r="F1932" t="s">
        <v>66</v>
      </c>
      <c r="G1932" t="str">
        <f>VLOOKUP(Table1[[#This Row],[Winner]],Ranking!C:D,2,FALSE)</f>
        <v>BE</v>
      </c>
      <c r="H1932" s="1">
        <v>84</v>
      </c>
      <c r="I1932" s="1">
        <v>13</v>
      </c>
      <c r="J1932" t="s">
        <v>196</v>
      </c>
      <c r="K1932" t="str">
        <f>VLOOKUP(Table1[[#This Row],[Loser]],Ranking!C:D,2,FALSE)</f>
        <v>BSky</v>
      </c>
      <c r="L1932" s="1">
        <v>74</v>
      </c>
      <c r="N1932" s="1">
        <f>Table1[[#This Row],[Winning Score]]-Table1[[#This Row],[Losing Score]]</f>
        <v>10</v>
      </c>
      <c r="O1932" s="1">
        <f>Table1[[#This Row],[Losing Seed]]-Table1[[#This Row],[Winning Seed]]</f>
        <v>9</v>
      </c>
      <c r="P1932" s="1" t="str">
        <f>IF(Table1[[#This Row],[SeD]]&lt;-2,Table1[[#This Row],[Winning Seed]]&amp; " over " &amp;Table1[[#This Row],[Losing Seed]],"")</f>
        <v/>
      </c>
      <c r="Q1932">
        <f>VLOOKUP(Table1[[#This Row],[Losing Seed]],'Seed History'!$N$4:$O$19,2)</f>
        <v>0.25694444444444442</v>
      </c>
      <c r="R1932" s="1">
        <f>IF(Table1[[#This Row],[Round]]="PI",0,Table1[[#This Row],[Round]]-1)</f>
        <v>0</v>
      </c>
      <c r="S1932">
        <f>Table1[[#This Row],[LAW]]-Table1[[#This Row],[LEW]]</f>
        <v>-0.25694444444444442</v>
      </c>
    </row>
    <row r="1933" spans="1:19" x14ac:dyDescent="0.25">
      <c r="A1933" s="66">
        <v>42082</v>
      </c>
      <c r="B1933" s="51">
        <f>YEAR(Table1[[#This Row],[Date]])</f>
        <v>2015</v>
      </c>
      <c r="C1933" s="1">
        <v>1</v>
      </c>
      <c r="D1933" t="s">
        <v>63</v>
      </c>
      <c r="E1933" s="1">
        <v>5</v>
      </c>
      <c r="F1933" t="s">
        <v>65</v>
      </c>
      <c r="G1933" t="str">
        <f>VLOOKUP(Table1[[#This Row],[Winner]],Ranking!C:D,2,FALSE)</f>
        <v>P12</v>
      </c>
      <c r="H1933" s="1">
        <v>57</v>
      </c>
      <c r="I1933" s="1">
        <v>12</v>
      </c>
      <c r="J1933" t="s">
        <v>370</v>
      </c>
      <c r="K1933" t="str">
        <f>VLOOKUP(Table1[[#This Row],[Loser]],Ranking!C:D,2,FALSE)</f>
        <v>Slnd</v>
      </c>
      <c r="L1933" s="1">
        <v>50</v>
      </c>
      <c r="N1933" s="1">
        <f>Table1[[#This Row],[Winning Score]]-Table1[[#This Row],[Losing Score]]</f>
        <v>7</v>
      </c>
      <c r="O1933" s="1">
        <f>Table1[[#This Row],[Losing Seed]]-Table1[[#This Row],[Winning Seed]]</f>
        <v>7</v>
      </c>
      <c r="P1933" s="1" t="str">
        <f>IF(Table1[[#This Row],[SeD]]&lt;-2,Table1[[#This Row],[Winning Seed]]&amp; " over " &amp;Table1[[#This Row],[Losing Seed]],"")</f>
        <v/>
      </c>
      <c r="Q1933">
        <f>VLOOKUP(Table1[[#This Row],[Losing Seed]],'Seed History'!$N$4:$O$19,2)</f>
        <v>0.52083333333333337</v>
      </c>
      <c r="R1933" s="1">
        <f>IF(Table1[[#This Row],[Round]]="PI",0,Table1[[#This Row],[Round]]-1)</f>
        <v>0</v>
      </c>
      <c r="S1933">
        <f>Table1[[#This Row],[LAW]]-Table1[[#This Row],[LEW]]</f>
        <v>-0.52083333333333337</v>
      </c>
    </row>
    <row r="1934" spans="1:19" x14ac:dyDescent="0.25">
      <c r="A1934" s="66">
        <v>42082</v>
      </c>
      <c r="B1934" s="51">
        <f>YEAR(Table1[[#This Row],[Date]])</f>
        <v>2015</v>
      </c>
      <c r="C1934" s="1">
        <v>1</v>
      </c>
      <c r="D1934" t="s">
        <v>38</v>
      </c>
      <c r="E1934" s="1">
        <v>2</v>
      </c>
      <c r="F1934" t="s">
        <v>48</v>
      </c>
      <c r="G1934" t="str">
        <f>VLOOKUP(Table1[[#This Row],[Winner]],Ranking!C:D,2,FALSE)</f>
        <v>P12</v>
      </c>
      <c r="H1934" s="1">
        <v>93</v>
      </c>
      <c r="I1934" s="1">
        <v>15</v>
      </c>
      <c r="J1934" t="s">
        <v>379</v>
      </c>
      <c r="K1934" t="str">
        <f>VLOOKUP(Table1[[#This Row],[Loser]],Ranking!C:D,2,FALSE)</f>
        <v>SWAC</v>
      </c>
      <c r="L1934" s="1">
        <v>72</v>
      </c>
      <c r="N1934" s="1">
        <f>Table1[[#This Row],[Winning Score]]-Table1[[#This Row],[Losing Score]]</f>
        <v>21</v>
      </c>
      <c r="O1934" s="1">
        <f>Table1[[#This Row],[Losing Seed]]-Table1[[#This Row],[Winning Seed]]</f>
        <v>13</v>
      </c>
      <c r="P1934" s="1" t="str">
        <f>IF(Table1[[#This Row],[SeD]]&lt;-2,Table1[[#This Row],[Winning Seed]]&amp; " over " &amp;Table1[[#This Row],[Losing Seed]],"")</f>
        <v/>
      </c>
      <c r="Q1934">
        <f>VLOOKUP(Table1[[#This Row],[Losing Seed]],'Seed History'!$N$4:$O$19,2)</f>
        <v>7.6388888888888895E-2</v>
      </c>
      <c r="R1934" s="1">
        <f>IF(Table1[[#This Row],[Round]]="PI",0,Table1[[#This Row],[Round]]-1)</f>
        <v>0</v>
      </c>
      <c r="S1934">
        <f>Table1[[#This Row],[LAW]]-Table1[[#This Row],[LEW]]</f>
        <v>-7.6388888888888895E-2</v>
      </c>
    </row>
    <row r="1935" spans="1:19" x14ac:dyDescent="0.25">
      <c r="A1935" s="66">
        <v>42082</v>
      </c>
      <c r="B1935" s="51">
        <f>YEAR(Table1[[#This Row],[Date]])</f>
        <v>2015</v>
      </c>
      <c r="C1935" s="1">
        <v>1</v>
      </c>
      <c r="D1935" t="s">
        <v>38</v>
      </c>
      <c r="E1935" s="1">
        <v>4</v>
      </c>
      <c r="F1935" t="s">
        <v>298</v>
      </c>
      <c r="G1935" t="str">
        <f>VLOOKUP(Table1[[#This Row],[Winner]],Ranking!C:D,2,FALSE)</f>
        <v>ACC</v>
      </c>
      <c r="H1935" s="1">
        <v>67</v>
      </c>
      <c r="I1935" s="1">
        <v>13</v>
      </c>
      <c r="J1935" t="s">
        <v>43</v>
      </c>
      <c r="K1935" t="str">
        <f>VLOOKUP(Table1[[#This Row],[Loser]],Ranking!C:D,2,FALSE)</f>
        <v>Ivy</v>
      </c>
      <c r="L1935" s="1">
        <v>65</v>
      </c>
      <c r="N1935" s="1">
        <f>Table1[[#This Row],[Winning Score]]-Table1[[#This Row],[Losing Score]]</f>
        <v>2</v>
      </c>
      <c r="O1935" s="1">
        <f>Table1[[#This Row],[Losing Seed]]-Table1[[#This Row],[Winning Seed]]</f>
        <v>9</v>
      </c>
      <c r="P1935" s="1" t="str">
        <f>IF(Table1[[#This Row],[SeD]]&lt;-2,Table1[[#This Row],[Winning Seed]]&amp; " over " &amp;Table1[[#This Row],[Losing Seed]],"")</f>
        <v/>
      </c>
      <c r="Q1935">
        <f>VLOOKUP(Table1[[#This Row],[Losing Seed]],'Seed History'!$N$4:$O$19,2)</f>
        <v>0.25694444444444442</v>
      </c>
      <c r="R1935" s="1">
        <f>IF(Table1[[#This Row],[Round]]="PI",0,Table1[[#This Row],[Round]]-1)</f>
        <v>0</v>
      </c>
      <c r="S1935">
        <f>Table1[[#This Row],[LAW]]-Table1[[#This Row],[LEW]]</f>
        <v>-0.25694444444444442</v>
      </c>
    </row>
    <row r="1936" spans="1:19" x14ac:dyDescent="0.25">
      <c r="A1936" s="66">
        <v>42082</v>
      </c>
      <c r="B1936" s="51">
        <f>YEAR(Table1[[#This Row],[Date]])</f>
        <v>2015</v>
      </c>
      <c r="C1936" s="1">
        <v>1</v>
      </c>
      <c r="D1936" t="s">
        <v>38</v>
      </c>
      <c r="E1936" s="1">
        <v>5</v>
      </c>
      <c r="F1936" t="s">
        <v>41</v>
      </c>
      <c r="G1936" t="str">
        <f>VLOOKUP(Table1[[#This Row],[Winner]],Ranking!C:D,2,FALSE)</f>
        <v>SEC</v>
      </c>
      <c r="H1936" s="1">
        <v>56</v>
      </c>
      <c r="I1936" s="1">
        <v>12</v>
      </c>
      <c r="J1936" t="s">
        <v>42</v>
      </c>
      <c r="K1936" t="str">
        <f>VLOOKUP(Table1[[#This Row],[Loser]],Ranking!C:D,2,FALSE)</f>
        <v>SC</v>
      </c>
      <c r="L1936" s="1">
        <v>53</v>
      </c>
      <c r="N1936" s="1">
        <f>Table1[[#This Row],[Winning Score]]-Table1[[#This Row],[Losing Score]]</f>
        <v>3</v>
      </c>
      <c r="O1936" s="1">
        <f>Table1[[#This Row],[Losing Seed]]-Table1[[#This Row],[Winning Seed]]</f>
        <v>7</v>
      </c>
      <c r="P1936" s="1" t="str">
        <f>IF(Table1[[#This Row],[SeD]]&lt;-2,Table1[[#This Row],[Winning Seed]]&amp; " over " &amp;Table1[[#This Row],[Losing Seed]],"")</f>
        <v/>
      </c>
      <c r="Q1936">
        <f>VLOOKUP(Table1[[#This Row],[Losing Seed]],'Seed History'!$N$4:$O$19,2)</f>
        <v>0.52083333333333337</v>
      </c>
      <c r="R1936" s="1">
        <f>IF(Table1[[#This Row],[Round]]="PI",0,Table1[[#This Row],[Round]]-1)</f>
        <v>0</v>
      </c>
      <c r="S1936">
        <f>Table1[[#This Row],[LAW]]-Table1[[#This Row],[LEW]]</f>
        <v>-0.52083333333333337</v>
      </c>
    </row>
    <row r="1937" spans="1:19" x14ac:dyDescent="0.25">
      <c r="A1937" s="66">
        <v>42082</v>
      </c>
      <c r="B1937" s="51">
        <f>YEAR(Table1[[#This Row],[Date]])</f>
        <v>2015</v>
      </c>
      <c r="C1937" s="1">
        <v>1</v>
      </c>
      <c r="D1937" t="s">
        <v>38</v>
      </c>
      <c r="E1937" s="1">
        <v>6</v>
      </c>
      <c r="F1937" t="s">
        <v>44</v>
      </c>
      <c r="G1937" t="str">
        <f>VLOOKUP(Table1[[#This Row],[Winner]],Ranking!C:D,2,FALSE)</f>
        <v>BE</v>
      </c>
      <c r="H1937" s="1">
        <v>76</v>
      </c>
      <c r="I1937" s="1">
        <v>11</v>
      </c>
      <c r="J1937" t="s">
        <v>45</v>
      </c>
      <c r="K1937" t="str">
        <f>VLOOKUP(Table1[[#This Row],[Loser]],Ranking!C:D,2,FALSE)</f>
        <v>SEC</v>
      </c>
      <c r="L1937" s="1">
        <v>57</v>
      </c>
      <c r="N1937" s="1">
        <f>Table1[[#This Row],[Winning Score]]-Table1[[#This Row],[Losing Score]]</f>
        <v>19</v>
      </c>
      <c r="O1937" s="1">
        <f>Table1[[#This Row],[Losing Seed]]-Table1[[#This Row],[Winning Seed]]</f>
        <v>5</v>
      </c>
      <c r="P1937" s="1" t="str">
        <f>IF(Table1[[#This Row],[SeD]]&lt;-2,Table1[[#This Row],[Winning Seed]]&amp; " over " &amp;Table1[[#This Row],[Losing Seed]],"")</f>
        <v/>
      </c>
      <c r="Q1937">
        <f>VLOOKUP(Table1[[#This Row],[Losing Seed]],'Seed History'!$N$4:$O$19,2)</f>
        <v>0.63194444444444442</v>
      </c>
      <c r="R1937" s="1">
        <f>IF(Table1[[#This Row],[Round]]="PI",0,Table1[[#This Row],[Round]]-1)</f>
        <v>0</v>
      </c>
      <c r="S1937">
        <f>Table1[[#This Row],[LAW]]-Table1[[#This Row],[LEW]]</f>
        <v>-0.63194444444444442</v>
      </c>
    </row>
    <row r="1938" spans="1:19" x14ac:dyDescent="0.25">
      <c r="A1938" s="66">
        <v>42083</v>
      </c>
      <c r="B1938" s="51">
        <f>YEAR(Table1[[#This Row],[Date]])</f>
        <v>2015</v>
      </c>
      <c r="C1938" s="1">
        <v>1</v>
      </c>
      <c r="D1938" t="s">
        <v>49</v>
      </c>
      <c r="E1938" s="1">
        <v>11</v>
      </c>
      <c r="F1938" t="s">
        <v>57</v>
      </c>
      <c r="G1938" t="str">
        <f>VLOOKUP(Table1[[#This Row],[Winner]],Ranking!C:D,2,FALSE)</f>
        <v>A10</v>
      </c>
      <c r="H1938" s="1">
        <v>66</v>
      </c>
      <c r="I1938" s="1">
        <v>6</v>
      </c>
      <c r="J1938" t="s">
        <v>56</v>
      </c>
      <c r="K1938" t="str">
        <f>VLOOKUP(Table1[[#This Row],[Loser]],Ranking!C:D,2,FALSE)</f>
        <v>BE</v>
      </c>
      <c r="L1938" s="1">
        <v>53</v>
      </c>
      <c r="N1938" s="1">
        <f>Table1[[#This Row],[Winning Score]]-Table1[[#This Row],[Losing Score]]</f>
        <v>13</v>
      </c>
      <c r="O1938" s="1">
        <f>Table1[[#This Row],[Losing Seed]]-Table1[[#This Row],[Winning Seed]]</f>
        <v>-5</v>
      </c>
      <c r="P1938" s="1" t="str">
        <f>IF(Table1[[#This Row],[SeD]]&lt;-2,Table1[[#This Row],[Winning Seed]]&amp; " over " &amp;Table1[[#This Row],[Losing Seed]],"")</f>
        <v>11 over 6</v>
      </c>
      <c r="Q1938">
        <f>VLOOKUP(Table1[[#This Row],[Losing Seed]],'Seed History'!$N$4:$O$19,2)</f>
        <v>1.0625</v>
      </c>
      <c r="R1938" s="1">
        <f>IF(Table1[[#This Row],[Round]]="PI",0,Table1[[#This Row],[Round]]-1)</f>
        <v>0</v>
      </c>
      <c r="S1938">
        <f>Table1[[#This Row],[LAW]]-Table1[[#This Row],[LEW]]</f>
        <v>-1.0625</v>
      </c>
    </row>
    <row r="1939" spans="1:19" x14ac:dyDescent="0.25">
      <c r="A1939" s="66">
        <v>42083</v>
      </c>
      <c r="B1939" s="51">
        <f>YEAR(Table1[[#This Row],[Date]])</f>
        <v>2015</v>
      </c>
      <c r="C1939" s="1">
        <v>1</v>
      </c>
      <c r="D1939" t="s">
        <v>49</v>
      </c>
      <c r="E1939" s="1">
        <v>2</v>
      </c>
      <c r="F1939" t="s">
        <v>61</v>
      </c>
      <c r="G1939" t="str">
        <f>VLOOKUP(Table1[[#This Row],[Winner]],Ranking!C:D,2,FALSE)</f>
        <v>ACC</v>
      </c>
      <c r="H1939" s="1">
        <v>79</v>
      </c>
      <c r="I1939" s="1">
        <v>15</v>
      </c>
      <c r="J1939" t="s">
        <v>62</v>
      </c>
      <c r="K1939" t="str">
        <f>VLOOKUP(Table1[[#This Row],[Loser]],Ranking!C:D,2,FALSE)</f>
        <v>OVC</v>
      </c>
      <c r="L1939" s="1">
        <v>67</v>
      </c>
      <c r="N1939" s="1">
        <f>Table1[[#This Row],[Winning Score]]-Table1[[#This Row],[Losing Score]]</f>
        <v>12</v>
      </c>
      <c r="O1939" s="1">
        <f>Table1[[#This Row],[Losing Seed]]-Table1[[#This Row],[Winning Seed]]</f>
        <v>13</v>
      </c>
      <c r="P1939" s="1" t="str">
        <f>IF(Table1[[#This Row],[SeD]]&lt;-2,Table1[[#This Row],[Winning Seed]]&amp; " over " &amp;Table1[[#This Row],[Losing Seed]],"")</f>
        <v/>
      </c>
      <c r="Q1939">
        <f>VLOOKUP(Table1[[#This Row],[Losing Seed]],'Seed History'!$N$4:$O$19,2)</f>
        <v>7.6388888888888895E-2</v>
      </c>
      <c r="R1939" s="1">
        <f>IF(Table1[[#This Row],[Round]]="PI",0,Table1[[#This Row],[Round]]-1)</f>
        <v>0</v>
      </c>
      <c r="S1939">
        <f>Table1[[#This Row],[LAW]]-Table1[[#This Row],[LEW]]</f>
        <v>-7.6388888888888895E-2</v>
      </c>
    </row>
    <row r="1940" spans="1:19" x14ac:dyDescent="0.25">
      <c r="A1940" s="66">
        <v>42083</v>
      </c>
      <c r="B1940" s="51">
        <f>YEAR(Table1[[#This Row],[Date]])</f>
        <v>2015</v>
      </c>
      <c r="C1940" s="1">
        <v>1</v>
      </c>
      <c r="D1940" t="s">
        <v>49</v>
      </c>
      <c r="E1940" s="1">
        <v>3</v>
      </c>
      <c r="F1940" t="s">
        <v>58</v>
      </c>
      <c r="G1940" t="str">
        <f>VLOOKUP(Table1[[#This Row],[Winner]],Ranking!C:D,2,FALSE)</f>
        <v>B12</v>
      </c>
      <c r="H1940" s="1">
        <v>69</v>
      </c>
      <c r="I1940" s="1">
        <v>14</v>
      </c>
      <c r="J1940" t="s">
        <v>59</v>
      </c>
      <c r="K1940" t="str">
        <f>VLOOKUP(Table1[[#This Row],[Loser]],Ranking!C:D,2,FALSE)</f>
        <v>AE</v>
      </c>
      <c r="L1940" s="1">
        <v>60</v>
      </c>
      <c r="N1940" s="1">
        <f>Table1[[#This Row],[Winning Score]]-Table1[[#This Row],[Losing Score]]</f>
        <v>9</v>
      </c>
      <c r="O1940" s="1">
        <f>Table1[[#This Row],[Losing Seed]]-Table1[[#This Row],[Winning Seed]]</f>
        <v>11</v>
      </c>
      <c r="P1940" s="1" t="str">
        <f>IF(Table1[[#This Row],[SeD]]&lt;-2,Table1[[#This Row],[Winning Seed]]&amp; " over " &amp;Table1[[#This Row],[Losing Seed]],"")</f>
        <v/>
      </c>
      <c r="Q1940">
        <f>VLOOKUP(Table1[[#This Row],[Losing Seed]],'Seed History'!$N$4:$O$19,2)</f>
        <v>0.16666666666666666</v>
      </c>
      <c r="R1940" s="1">
        <f>IF(Table1[[#This Row],[Round]]="PI",0,Table1[[#This Row],[Round]]-1)</f>
        <v>0</v>
      </c>
      <c r="S1940">
        <f>Table1[[#This Row],[LAW]]-Table1[[#This Row],[LEW]]</f>
        <v>-0.16666666666666666</v>
      </c>
    </row>
    <row r="1941" spans="1:19" x14ac:dyDescent="0.25">
      <c r="A1941" s="66">
        <v>42083</v>
      </c>
      <c r="B1941" s="51">
        <f>YEAR(Table1[[#This Row],[Date]])</f>
        <v>2015</v>
      </c>
      <c r="C1941" s="1">
        <v>1</v>
      </c>
      <c r="D1941" t="s">
        <v>49</v>
      </c>
      <c r="E1941" s="1">
        <v>4</v>
      </c>
      <c r="F1941" t="s">
        <v>54</v>
      </c>
      <c r="G1941" t="str">
        <f>VLOOKUP(Table1[[#This Row],[Winner]],Ranking!C:D,2,FALSE)</f>
        <v>ACC</v>
      </c>
      <c r="H1941" s="1">
        <v>57</v>
      </c>
      <c r="I1941" s="1">
        <v>13</v>
      </c>
      <c r="J1941" t="s">
        <v>55</v>
      </c>
      <c r="K1941" t="str">
        <f>VLOOKUP(Table1[[#This Row],[Loser]],Ranking!C:D,2,FALSE)</f>
        <v>BW</v>
      </c>
      <c r="L1941" s="1">
        <v>55</v>
      </c>
      <c r="N1941" s="1">
        <f>Table1[[#This Row],[Winning Score]]-Table1[[#This Row],[Losing Score]]</f>
        <v>2</v>
      </c>
      <c r="O1941" s="1">
        <f>Table1[[#This Row],[Losing Seed]]-Table1[[#This Row],[Winning Seed]]</f>
        <v>9</v>
      </c>
      <c r="P1941" s="1" t="str">
        <f>IF(Table1[[#This Row],[SeD]]&lt;-2,Table1[[#This Row],[Winning Seed]]&amp; " over " &amp;Table1[[#This Row],[Losing Seed]],"")</f>
        <v/>
      </c>
      <c r="Q1941">
        <f>VLOOKUP(Table1[[#This Row],[Losing Seed]],'Seed History'!$N$4:$O$19,2)</f>
        <v>0.25694444444444442</v>
      </c>
      <c r="R1941" s="1">
        <f>IF(Table1[[#This Row],[Round]]="PI",0,Table1[[#This Row],[Round]]-1)</f>
        <v>0</v>
      </c>
      <c r="S1941">
        <f>Table1[[#This Row],[LAW]]-Table1[[#This Row],[LEW]]</f>
        <v>-0.25694444444444442</v>
      </c>
    </row>
    <row r="1942" spans="1:19" x14ac:dyDescent="0.25">
      <c r="A1942" s="66">
        <v>42083</v>
      </c>
      <c r="B1942" s="51">
        <f>YEAR(Table1[[#This Row],[Date]])</f>
        <v>2015</v>
      </c>
      <c r="C1942" s="1">
        <v>1</v>
      </c>
      <c r="D1942" t="s">
        <v>49</v>
      </c>
      <c r="E1942" s="1">
        <v>5</v>
      </c>
      <c r="F1942" t="s">
        <v>310</v>
      </c>
      <c r="G1942" t="str">
        <f>VLOOKUP(Table1[[#This Row],[Winner]],Ranking!C:D,2,FALSE)</f>
        <v>MVC</v>
      </c>
      <c r="H1942" s="1">
        <v>71</v>
      </c>
      <c r="I1942" s="1">
        <v>12</v>
      </c>
      <c r="J1942" t="s">
        <v>53</v>
      </c>
      <c r="K1942" t="str">
        <f>VLOOKUP(Table1[[#This Row],[Loser]],Ranking!C:D,2,FALSE)</f>
        <v>MWC</v>
      </c>
      <c r="L1942" s="1">
        <v>54</v>
      </c>
      <c r="N1942" s="1">
        <f>Table1[[#This Row],[Winning Score]]-Table1[[#This Row],[Losing Score]]</f>
        <v>17</v>
      </c>
      <c r="O1942" s="1">
        <f>Table1[[#This Row],[Losing Seed]]-Table1[[#This Row],[Winning Seed]]</f>
        <v>7</v>
      </c>
      <c r="P1942" s="1" t="str">
        <f>IF(Table1[[#This Row],[SeD]]&lt;-2,Table1[[#This Row],[Winning Seed]]&amp; " over " &amp;Table1[[#This Row],[Losing Seed]],"")</f>
        <v/>
      </c>
      <c r="Q1942">
        <f>VLOOKUP(Table1[[#This Row],[Losing Seed]],'Seed History'!$N$4:$O$19,2)</f>
        <v>0.52083333333333337</v>
      </c>
      <c r="R1942" s="1">
        <f>IF(Table1[[#This Row],[Round]]="PI",0,Table1[[#This Row],[Round]]-1)</f>
        <v>0</v>
      </c>
      <c r="S1942">
        <f>Table1[[#This Row],[LAW]]-Table1[[#This Row],[LEW]]</f>
        <v>-0.52083333333333337</v>
      </c>
    </row>
    <row r="1943" spans="1:19" x14ac:dyDescent="0.25">
      <c r="A1943" s="66">
        <v>42083</v>
      </c>
      <c r="B1943" s="51">
        <f>YEAR(Table1[[#This Row],[Date]])</f>
        <v>2015</v>
      </c>
      <c r="C1943" s="1">
        <v>1</v>
      </c>
      <c r="D1943" t="s">
        <v>49</v>
      </c>
      <c r="E1943" s="1">
        <v>7</v>
      </c>
      <c r="F1943" t="s">
        <v>271</v>
      </c>
      <c r="G1943" t="str">
        <f>VLOOKUP(Table1[[#This Row],[Winner]],Ranking!C:D,2,FALSE)</f>
        <v>B10</v>
      </c>
      <c r="H1943" s="1">
        <v>70</v>
      </c>
      <c r="I1943" s="1">
        <v>10</v>
      </c>
      <c r="J1943" t="s">
        <v>60</v>
      </c>
      <c r="K1943" t="str">
        <f>VLOOKUP(Table1[[#This Row],[Loser]],Ranking!C:D,2,FALSE)</f>
        <v>SEC</v>
      </c>
      <c r="L1943" s="1">
        <v>63</v>
      </c>
      <c r="N1943" s="1">
        <f>Table1[[#This Row],[Winning Score]]-Table1[[#This Row],[Losing Score]]</f>
        <v>7</v>
      </c>
      <c r="O1943" s="1">
        <f>Table1[[#This Row],[Losing Seed]]-Table1[[#This Row],[Winning Seed]]</f>
        <v>3</v>
      </c>
      <c r="P1943" s="1" t="str">
        <f>IF(Table1[[#This Row],[SeD]]&lt;-2,Table1[[#This Row],[Winning Seed]]&amp; " over " &amp;Table1[[#This Row],[Losing Seed]],"")</f>
        <v/>
      </c>
      <c r="Q1943">
        <f>VLOOKUP(Table1[[#This Row],[Losing Seed]],'Seed History'!$N$4:$O$19,2)</f>
        <v>0.61805555555555558</v>
      </c>
      <c r="R1943" s="1">
        <f>IF(Table1[[#This Row],[Round]]="PI",0,Table1[[#This Row],[Round]]-1)</f>
        <v>0</v>
      </c>
      <c r="S1943">
        <f>Table1[[#This Row],[LAW]]-Table1[[#This Row],[LEW]]</f>
        <v>-0.61805555555555558</v>
      </c>
    </row>
    <row r="1944" spans="1:19" x14ac:dyDescent="0.25">
      <c r="A1944" s="66">
        <v>42083</v>
      </c>
      <c r="B1944" s="51">
        <f>YEAR(Table1[[#This Row],[Date]])</f>
        <v>2015</v>
      </c>
      <c r="C1944" s="1">
        <v>1</v>
      </c>
      <c r="D1944" t="s">
        <v>439</v>
      </c>
      <c r="E1944" s="1">
        <v>2</v>
      </c>
      <c r="F1944" t="s">
        <v>37</v>
      </c>
      <c r="G1944" t="str">
        <f>VLOOKUP(Table1[[#This Row],[Winner]],Ranking!C:D,2,FALSE)</f>
        <v>B12</v>
      </c>
      <c r="H1944" s="1">
        <v>75</v>
      </c>
      <c r="I1944" s="1">
        <v>15</v>
      </c>
      <c r="J1944" t="s">
        <v>292</v>
      </c>
      <c r="K1944" t="str">
        <f>VLOOKUP(Table1[[#This Row],[Loser]],Ranking!C:D,2,FALSE)</f>
        <v>WAC</v>
      </c>
      <c r="L1944" s="1">
        <v>56</v>
      </c>
      <c r="N1944" s="1">
        <f>Table1[[#This Row],[Winning Score]]-Table1[[#This Row],[Losing Score]]</f>
        <v>19</v>
      </c>
      <c r="O1944" s="1">
        <f>Table1[[#This Row],[Losing Seed]]-Table1[[#This Row],[Winning Seed]]</f>
        <v>13</v>
      </c>
      <c r="P1944" s="1" t="str">
        <f>IF(Table1[[#This Row],[SeD]]&lt;-2,Table1[[#This Row],[Winning Seed]]&amp; " over " &amp;Table1[[#This Row],[Losing Seed]],"")</f>
        <v/>
      </c>
      <c r="Q1944">
        <f>VLOOKUP(Table1[[#This Row],[Losing Seed]],'Seed History'!$N$4:$O$19,2)</f>
        <v>7.6388888888888895E-2</v>
      </c>
      <c r="R1944" s="1">
        <f>IF(Table1[[#This Row],[Round]]="PI",0,Table1[[#This Row],[Round]]-1)</f>
        <v>0</v>
      </c>
      <c r="S1944">
        <f>Table1[[#This Row],[LAW]]-Table1[[#This Row],[LEW]]</f>
        <v>-7.6388888888888895E-2</v>
      </c>
    </row>
    <row r="1945" spans="1:19" x14ac:dyDescent="0.25">
      <c r="A1945" s="66">
        <v>42083</v>
      </c>
      <c r="B1945" s="51">
        <f>YEAR(Table1[[#This Row],[Date]])</f>
        <v>2015</v>
      </c>
      <c r="C1945" s="1">
        <v>1</v>
      </c>
      <c r="D1945" t="s">
        <v>439</v>
      </c>
      <c r="E1945" s="1">
        <v>4</v>
      </c>
      <c r="F1945" t="s">
        <v>31</v>
      </c>
      <c r="G1945" t="str">
        <f>VLOOKUP(Table1[[#This Row],[Winner]],Ranking!C:D,2,FALSE)</f>
        <v>B10</v>
      </c>
      <c r="H1945" s="1">
        <v>65</v>
      </c>
      <c r="I1945" s="1">
        <v>13</v>
      </c>
      <c r="J1945" t="s">
        <v>32</v>
      </c>
      <c r="K1945" t="str">
        <f>VLOOKUP(Table1[[#This Row],[Loser]],Ranking!C:D,2,FALSE)</f>
        <v>MVC</v>
      </c>
      <c r="L1945" s="1">
        <v>62</v>
      </c>
      <c r="N1945" s="1">
        <f>Table1[[#This Row],[Winning Score]]-Table1[[#This Row],[Losing Score]]</f>
        <v>3</v>
      </c>
      <c r="O1945" s="1">
        <f>Table1[[#This Row],[Losing Seed]]-Table1[[#This Row],[Winning Seed]]</f>
        <v>9</v>
      </c>
      <c r="P1945" s="1" t="str">
        <f>IF(Table1[[#This Row],[SeD]]&lt;-2,Table1[[#This Row],[Winning Seed]]&amp; " over " &amp;Table1[[#This Row],[Losing Seed]],"")</f>
        <v/>
      </c>
      <c r="Q1945">
        <f>VLOOKUP(Table1[[#This Row],[Losing Seed]],'Seed History'!$N$4:$O$19,2)</f>
        <v>0.25694444444444442</v>
      </c>
      <c r="R1945" s="1">
        <f>IF(Table1[[#This Row],[Round]]="PI",0,Table1[[#This Row],[Round]]-1)</f>
        <v>0</v>
      </c>
      <c r="S1945">
        <f>Table1[[#This Row],[LAW]]-Table1[[#This Row],[LEW]]</f>
        <v>-0.25694444444444442</v>
      </c>
    </row>
    <row r="1946" spans="1:19" x14ac:dyDescent="0.25">
      <c r="A1946" s="66">
        <v>42083</v>
      </c>
      <c r="B1946" s="51">
        <f>YEAR(Table1[[#This Row],[Date]])</f>
        <v>2015</v>
      </c>
      <c r="C1946" s="1">
        <v>1</v>
      </c>
      <c r="D1946" t="s">
        <v>439</v>
      </c>
      <c r="E1946" s="1">
        <v>5</v>
      </c>
      <c r="F1946" t="s">
        <v>412</v>
      </c>
      <c r="G1946" t="str">
        <f>VLOOKUP(Table1[[#This Row],[Winner]],Ranking!C:D,2,FALSE)</f>
        <v>B12</v>
      </c>
      <c r="H1946" s="1">
        <v>68</v>
      </c>
      <c r="I1946" s="1">
        <v>12</v>
      </c>
      <c r="J1946" t="s">
        <v>30</v>
      </c>
      <c r="K1946" t="str">
        <f>VLOOKUP(Table1[[#This Row],[Loser]],Ranking!C:D,2,FALSE)</f>
        <v>MAC</v>
      </c>
      <c r="L1946" s="1">
        <v>62</v>
      </c>
      <c r="N1946" s="1">
        <f>Table1[[#This Row],[Winning Score]]-Table1[[#This Row],[Losing Score]]</f>
        <v>6</v>
      </c>
      <c r="O1946" s="1">
        <f>Table1[[#This Row],[Losing Seed]]-Table1[[#This Row],[Winning Seed]]</f>
        <v>7</v>
      </c>
      <c r="P1946" s="1" t="str">
        <f>IF(Table1[[#This Row],[SeD]]&lt;-2,Table1[[#This Row],[Winning Seed]]&amp; " over " &amp;Table1[[#This Row],[Losing Seed]],"")</f>
        <v/>
      </c>
      <c r="Q1946">
        <f>VLOOKUP(Table1[[#This Row],[Losing Seed]],'Seed History'!$N$4:$O$19,2)</f>
        <v>0.52083333333333337</v>
      </c>
      <c r="R1946" s="1">
        <f>IF(Table1[[#This Row],[Round]]="PI",0,Table1[[#This Row],[Round]]-1)</f>
        <v>0</v>
      </c>
      <c r="S1946">
        <f>Table1[[#This Row],[LAW]]-Table1[[#This Row],[LEW]]</f>
        <v>-0.52083333333333337</v>
      </c>
    </row>
    <row r="1947" spans="1:19" x14ac:dyDescent="0.25">
      <c r="A1947" s="66">
        <v>42083</v>
      </c>
      <c r="B1947" s="51">
        <f>YEAR(Table1[[#This Row],[Date]])</f>
        <v>2015</v>
      </c>
      <c r="C1947" s="1">
        <v>1</v>
      </c>
      <c r="D1947" t="s">
        <v>439</v>
      </c>
      <c r="E1947" s="1">
        <v>7</v>
      </c>
      <c r="F1947" t="s">
        <v>417</v>
      </c>
      <c r="G1947" t="str">
        <f>VLOOKUP(Table1[[#This Row],[Winner]],Ranking!C:D,2,FALSE)</f>
        <v>Amer</v>
      </c>
      <c r="H1947" s="1">
        <v>81</v>
      </c>
      <c r="I1947" s="1">
        <v>10</v>
      </c>
      <c r="J1947" t="s">
        <v>36</v>
      </c>
      <c r="K1947" t="str">
        <f>VLOOKUP(Table1[[#This Row],[Loser]],Ranking!C:D,2,FALSE)</f>
        <v>B10</v>
      </c>
      <c r="L1947" s="1">
        <v>76</v>
      </c>
      <c r="N1947" s="1">
        <f>Table1[[#This Row],[Winning Score]]-Table1[[#This Row],[Losing Score]]</f>
        <v>5</v>
      </c>
      <c r="O1947" s="1">
        <f>Table1[[#This Row],[Losing Seed]]-Table1[[#This Row],[Winning Seed]]</f>
        <v>3</v>
      </c>
      <c r="P1947" s="1" t="str">
        <f>IF(Table1[[#This Row],[SeD]]&lt;-2,Table1[[#This Row],[Winning Seed]]&amp; " over " &amp;Table1[[#This Row],[Losing Seed]],"")</f>
        <v/>
      </c>
      <c r="Q1947">
        <f>VLOOKUP(Table1[[#This Row],[Losing Seed]],'Seed History'!$N$4:$O$19,2)</f>
        <v>0.61805555555555558</v>
      </c>
      <c r="R1947" s="1">
        <f>IF(Table1[[#This Row],[Round]]="PI",0,Table1[[#This Row],[Round]]-1)</f>
        <v>0</v>
      </c>
      <c r="S1947">
        <f>Table1[[#This Row],[LAW]]-Table1[[#This Row],[LEW]]</f>
        <v>-0.61805555555555558</v>
      </c>
    </row>
    <row r="1948" spans="1:19" x14ac:dyDescent="0.25">
      <c r="A1948" s="66">
        <v>42083</v>
      </c>
      <c r="B1948" s="51">
        <f>YEAR(Table1[[#This Row],[Date]])</f>
        <v>2015</v>
      </c>
      <c r="C1948" s="1">
        <v>1</v>
      </c>
      <c r="D1948" t="s">
        <v>63</v>
      </c>
      <c r="E1948" s="1">
        <v>1</v>
      </c>
      <c r="F1948" t="s">
        <v>64</v>
      </c>
      <c r="G1948" t="str">
        <f>VLOOKUP(Table1[[#This Row],[Winner]],Ranking!C:D,2,FALSE)</f>
        <v>ACC</v>
      </c>
      <c r="H1948" s="1">
        <v>85</v>
      </c>
      <c r="I1948" s="1">
        <v>16</v>
      </c>
      <c r="J1948" t="s">
        <v>333</v>
      </c>
      <c r="K1948" t="str">
        <f>VLOOKUP(Table1[[#This Row],[Loser]],Ranking!C:D,2,FALSE)</f>
        <v>Horz</v>
      </c>
      <c r="L1948" s="1">
        <v>56</v>
      </c>
      <c r="N1948" s="1">
        <f>Table1[[#This Row],[Winning Score]]-Table1[[#This Row],[Losing Score]]</f>
        <v>29</v>
      </c>
      <c r="O1948" s="1">
        <f>Table1[[#This Row],[Losing Seed]]-Table1[[#This Row],[Winning Seed]]</f>
        <v>15</v>
      </c>
      <c r="P1948" s="1" t="str">
        <f>IF(Table1[[#This Row],[SeD]]&lt;-2,Table1[[#This Row],[Winning Seed]]&amp; " over " &amp;Table1[[#This Row],[Losing Seed]],"")</f>
        <v/>
      </c>
      <c r="Q1948">
        <f>VLOOKUP(Table1[[#This Row],[Losing Seed]],'Seed History'!$N$4:$O$19,2)</f>
        <v>6.9444444444444441E-3</v>
      </c>
      <c r="R1948" s="1">
        <f>IF(Table1[[#This Row],[Round]]="PI",0,Table1[[#This Row],[Round]]-1)</f>
        <v>0</v>
      </c>
      <c r="S1948">
        <f>Table1[[#This Row],[LAW]]-Table1[[#This Row],[LEW]]</f>
        <v>-6.9444444444444441E-3</v>
      </c>
    </row>
    <row r="1949" spans="1:19" x14ac:dyDescent="0.25">
      <c r="A1949" s="66">
        <v>42083</v>
      </c>
      <c r="B1949" s="51">
        <f>YEAR(Table1[[#This Row],[Date]])</f>
        <v>2015</v>
      </c>
      <c r="C1949" s="1">
        <v>1</v>
      </c>
      <c r="D1949" t="s">
        <v>63</v>
      </c>
      <c r="E1949" s="1">
        <v>2</v>
      </c>
      <c r="F1949" t="s">
        <v>71</v>
      </c>
      <c r="G1949" t="str">
        <f>VLOOKUP(Table1[[#This Row],[Winner]],Ranking!C:D,2,FALSE)</f>
        <v>WCC</v>
      </c>
      <c r="H1949" s="1">
        <v>86</v>
      </c>
      <c r="I1949" s="1">
        <v>15</v>
      </c>
      <c r="J1949" t="s">
        <v>303</v>
      </c>
      <c r="K1949" t="str">
        <f>VLOOKUP(Table1[[#This Row],[Loser]],Ranking!C:D,2,FALSE)</f>
        <v>Sum</v>
      </c>
      <c r="L1949" s="1">
        <v>76</v>
      </c>
      <c r="N1949" s="1">
        <f>Table1[[#This Row],[Winning Score]]-Table1[[#This Row],[Losing Score]]</f>
        <v>10</v>
      </c>
      <c r="O1949" s="1">
        <f>Table1[[#This Row],[Losing Seed]]-Table1[[#This Row],[Winning Seed]]</f>
        <v>13</v>
      </c>
      <c r="P1949" s="1" t="str">
        <f>IF(Table1[[#This Row],[SeD]]&lt;-2,Table1[[#This Row],[Winning Seed]]&amp; " over " &amp;Table1[[#This Row],[Losing Seed]],"")</f>
        <v/>
      </c>
      <c r="Q1949">
        <f>VLOOKUP(Table1[[#This Row],[Losing Seed]],'Seed History'!$N$4:$O$19,2)</f>
        <v>7.6388888888888895E-2</v>
      </c>
      <c r="R1949" s="1">
        <f>IF(Table1[[#This Row],[Round]]="PI",0,Table1[[#This Row],[Round]]-1)</f>
        <v>0</v>
      </c>
      <c r="S1949">
        <f>Table1[[#This Row],[LAW]]-Table1[[#This Row],[LEW]]</f>
        <v>-7.6388888888888895E-2</v>
      </c>
    </row>
    <row r="1950" spans="1:19" x14ac:dyDescent="0.25">
      <c r="A1950" s="66">
        <v>42083</v>
      </c>
      <c r="B1950" s="51">
        <f>YEAR(Table1[[#This Row],[Date]])</f>
        <v>2015</v>
      </c>
      <c r="C1950" s="1">
        <v>1</v>
      </c>
      <c r="D1950" t="s">
        <v>63</v>
      </c>
      <c r="E1950" s="1">
        <v>7</v>
      </c>
      <c r="F1950" t="s">
        <v>69</v>
      </c>
      <c r="G1950" t="str">
        <f>VLOOKUP(Table1[[#This Row],[Winner]],Ranking!C:D,2,FALSE)</f>
        <v>B10</v>
      </c>
      <c r="H1950" s="1">
        <v>83</v>
      </c>
      <c r="I1950" s="1">
        <v>10</v>
      </c>
      <c r="J1950" t="s">
        <v>70</v>
      </c>
      <c r="K1950" t="str">
        <f>VLOOKUP(Table1[[#This Row],[Loser]],Ranking!C:D,2,FALSE)</f>
        <v>A10</v>
      </c>
      <c r="L1950" s="1">
        <v>52</v>
      </c>
      <c r="N1950" s="1">
        <f>Table1[[#This Row],[Winning Score]]-Table1[[#This Row],[Losing Score]]</f>
        <v>31</v>
      </c>
      <c r="O1950" s="1">
        <f>Table1[[#This Row],[Losing Seed]]-Table1[[#This Row],[Winning Seed]]</f>
        <v>3</v>
      </c>
      <c r="P1950" s="1" t="str">
        <f>IF(Table1[[#This Row],[SeD]]&lt;-2,Table1[[#This Row],[Winning Seed]]&amp; " over " &amp;Table1[[#This Row],[Losing Seed]],"")</f>
        <v/>
      </c>
      <c r="Q1950">
        <f>VLOOKUP(Table1[[#This Row],[Losing Seed]],'Seed History'!$N$4:$O$19,2)</f>
        <v>0.61805555555555558</v>
      </c>
      <c r="R1950" s="1">
        <f>IF(Table1[[#This Row],[Round]]="PI",0,Table1[[#This Row],[Round]]-1)</f>
        <v>0</v>
      </c>
      <c r="S1950">
        <f>Table1[[#This Row],[LAW]]-Table1[[#This Row],[LEW]]</f>
        <v>-0.61805555555555558</v>
      </c>
    </row>
    <row r="1951" spans="1:19" x14ac:dyDescent="0.25">
      <c r="A1951" s="66">
        <v>42083</v>
      </c>
      <c r="B1951" s="51">
        <f>YEAR(Table1[[#This Row],[Date]])</f>
        <v>2015</v>
      </c>
      <c r="C1951" s="1">
        <v>1</v>
      </c>
      <c r="D1951" t="s">
        <v>63</v>
      </c>
      <c r="E1951" s="1">
        <v>8</v>
      </c>
      <c r="F1951" t="s">
        <v>344</v>
      </c>
      <c r="G1951" t="str">
        <f>VLOOKUP(Table1[[#This Row],[Winner]],Ranking!C:D,2,FALSE)</f>
        <v>MWC</v>
      </c>
      <c r="H1951" s="1">
        <v>76</v>
      </c>
      <c r="I1951" s="1">
        <v>9</v>
      </c>
      <c r="J1951" t="s">
        <v>368</v>
      </c>
      <c r="K1951" t="str">
        <f>VLOOKUP(Table1[[#This Row],[Loser]],Ranking!C:D,2,FALSE)</f>
        <v>BE</v>
      </c>
      <c r="L1951" s="1">
        <v>64</v>
      </c>
      <c r="N1951" s="1">
        <f>Table1[[#This Row],[Winning Score]]-Table1[[#This Row],[Losing Score]]</f>
        <v>12</v>
      </c>
      <c r="O1951" s="1">
        <f>Table1[[#This Row],[Losing Seed]]-Table1[[#This Row],[Winning Seed]]</f>
        <v>1</v>
      </c>
      <c r="P1951" s="1" t="str">
        <f>IF(Table1[[#This Row],[SeD]]&lt;-2,Table1[[#This Row],[Winning Seed]]&amp; " over " &amp;Table1[[#This Row],[Losing Seed]],"")</f>
        <v/>
      </c>
      <c r="Q1951">
        <f>VLOOKUP(Table1[[#This Row],[Losing Seed]],'Seed History'!$N$4:$O$19,2)</f>
        <v>0.59027777777777779</v>
      </c>
      <c r="R1951" s="1">
        <f>IF(Table1[[#This Row],[Round]]="PI",0,Table1[[#This Row],[Round]]-1)</f>
        <v>0</v>
      </c>
      <c r="S1951">
        <f>Table1[[#This Row],[LAW]]-Table1[[#This Row],[LEW]]</f>
        <v>-0.59027777777777779</v>
      </c>
    </row>
    <row r="1952" spans="1:19" x14ac:dyDescent="0.25">
      <c r="A1952" s="66">
        <v>42083</v>
      </c>
      <c r="B1952" s="51">
        <f>YEAR(Table1[[#This Row],[Date]])</f>
        <v>2015</v>
      </c>
      <c r="C1952" s="1">
        <v>1</v>
      </c>
      <c r="D1952" t="s">
        <v>38</v>
      </c>
      <c r="E1952" s="1">
        <v>1</v>
      </c>
      <c r="F1952" t="s">
        <v>39</v>
      </c>
      <c r="G1952" t="str">
        <f>VLOOKUP(Table1[[#This Row],[Winner]],Ranking!C:D,2,FALSE)</f>
        <v>B10</v>
      </c>
      <c r="H1952" s="1">
        <v>86</v>
      </c>
      <c r="I1952" s="1">
        <v>16</v>
      </c>
      <c r="J1952" t="s">
        <v>173</v>
      </c>
      <c r="K1952" t="str">
        <f>VLOOKUP(Table1[[#This Row],[Loser]],Ranking!C:D,2,FALSE)</f>
        <v>SB</v>
      </c>
      <c r="L1952" s="1">
        <v>72</v>
      </c>
      <c r="N1952" s="1">
        <f>Table1[[#This Row],[Winning Score]]-Table1[[#This Row],[Losing Score]]</f>
        <v>14</v>
      </c>
      <c r="O1952" s="1">
        <f>Table1[[#This Row],[Losing Seed]]-Table1[[#This Row],[Winning Seed]]</f>
        <v>15</v>
      </c>
      <c r="P1952" s="1" t="str">
        <f>IF(Table1[[#This Row],[SeD]]&lt;-2,Table1[[#This Row],[Winning Seed]]&amp; " over " &amp;Table1[[#This Row],[Losing Seed]],"")</f>
        <v/>
      </c>
      <c r="Q1952">
        <f>VLOOKUP(Table1[[#This Row],[Losing Seed]],'Seed History'!$N$4:$O$19,2)</f>
        <v>6.9444444444444441E-3</v>
      </c>
      <c r="R1952" s="1">
        <f>IF(Table1[[#This Row],[Round]]="PI",0,Table1[[#This Row],[Round]]-1)</f>
        <v>0</v>
      </c>
      <c r="S1952">
        <f>Table1[[#This Row],[LAW]]-Table1[[#This Row],[LEW]]</f>
        <v>-6.9444444444444441E-3</v>
      </c>
    </row>
    <row r="1953" spans="1:19" x14ac:dyDescent="0.25">
      <c r="A1953" s="66">
        <v>42083</v>
      </c>
      <c r="B1953" s="51">
        <f>YEAR(Table1[[#This Row],[Date]])</f>
        <v>2015</v>
      </c>
      <c r="C1953" s="1">
        <v>1</v>
      </c>
      <c r="D1953" t="s">
        <v>38</v>
      </c>
      <c r="E1953" s="1">
        <v>8</v>
      </c>
      <c r="F1953" t="s">
        <v>40</v>
      </c>
      <c r="G1953" t="str">
        <f>VLOOKUP(Table1[[#This Row],[Winner]],Ranking!C:D,2,FALSE)</f>
        <v>P12</v>
      </c>
      <c r="H1953" s="1">
        <v>79</v>
      </c>
      <c r="I1953" s="1">
        <v>9</v>
      </c>
      <c r="J1953" t="s">
        <v>316</v>
      </c>
      <c r="K1953" t="str">
        <f>VLOOKUP(Table1[[#This Row],[Loser]],Ranking!C:D,2,FALSE)</f>
        <v>B12</v>
      </c>
      <c r="L1953" s="1">
        <v>73</v>
      </c>
      <c r="N1953" s="1">
        <f>Table1[[#This Row],[Winning Score]]-Table1[[#This Row],[Losing Score]]</f>
        <v>6</v>
      </c>
      <c r="O1953" s="1">
        <f>Table1[[#This Row],[Losing Seed]]-Table1[[#This Row],[Winning Seed]]</f>
        <v>1</v>
      </c>
      <c r="P1953" s="1" t="str">
        <f>IF(Table1[[#This Row],[SeD]]&lt;-2,Table1[[#This Row],[Winning Seed]]&amp; " over " &amp;Table1[[#This Row],[Losing Seed]],"")</f>
        <v/>
      </c>
      <c r="Q1953">
        <f>VLOOKUP(Table1[[#This Row],[Losing Seed]],'Seed History'!$N$4:$O$19,2)</f>
        <v>0.59027777777777779</v>
      </c>
      <c r="R1953" s="1">
        <f>IF(Table1[[#This Row],[Round]]="PI",0,Table1[[#This Row],[Round]]-1)</f>
        <v>0</v>
      </c>
      <c r="S1953">
        <f>Table1[[#This Row],[LAW]]-Table1[[#This Row],[LEW]]</f>
        <v>-0.59027777777777779</v>
      </c>
    </row>
    <row r="1954" spans="1:19" x14ac:dyDescent="0.25">
      <c r="A1954" s="66">
        <v>42084</v>
      </c>
      <c r="B1954" s="51">
        <f>YEAR(Table1[[#This Row],[Date]])</f>
        <v>2015</v>
      </c>
      <c r="C1954" s="1">
        <v>2</v>
      </c>
      <c r="D1954" t="s">
        <v>49</v>
      </c>
      <c r="E1954" s="1">
        <v>8</v>
      </c>
      <c r="F1954" t="s">
        <v>301</v>
      </c>
      <c r="G1954" t="e">
        <f>VLOOKUP(Table1[[#This Row],[Winner]],Ranking!C:D,2,FALSE)</f>
        <v>#N/A</v>
      </c>
      <c r="H1954" s="1">
        <v>71</v>
      </c>
      <c r="I1954" s="1">
        <v>1</v>
      </c>
      <c r="J1954" t="s">
        <v>50</v>
      </c>
      <c r="K1954" t="str">
        <f>VLOOKUP(Table1[[#This Row],[Loser]],Ranking!C:D,2,FALSE)</f>
        <v>BE</v>
      </c>
      <c r="L1954" s="1">
        <v>68</v>
      </c>
      <c r="N1954" s="1">
        <f>Table1[[#This Row],[Winning Score]]-Table1[[#This Row],[Losing Score]]</f>
        <v>3</v>
      </c>
      <c r="O1954" s="1">
        <f>Table1[[#This Row],[Losing Seed]]-Table1[[#This Row],[Winning Seed]]</f>
        <v>-7</v>
      </c>
      <c r="P1954" s="1" t="str">
        <f>IF(Table1[[#This Row],[SeD]]&lt;-2,Table1[[#This Row],[Winning Seed]]&amp; " over " &amp;Table1[[#This Row],[Losing Seed]],"")</f>
        <v>8 over 1</v>
      </c>
      <c r="Q1954">
        <f>VLOOKUP(Table1[[#This Row],[Losing Seed]],'Seed History'!$N$4:$O$19,2)</f>
        <v>3.3263888888888888</v>
      </c>
      <c r="R1954" s="1">
        <f>IF(Table1[[#This Row],[Round]]="PI",0,Table1[[#This Row],[Round]]-1)</f>
        <v>1</v>
      </c>
      <c r="S1954">
        <f>Table1[[#This Row],[LAW]]-Table1[[#This Row],[LEW]]</f>
        <v>-2.3263888888888888</v>
      </c>
    </row>
    <row r="1955" spans="1:19" x14ac:dyDescent="0.25">
      <c r="A1955" s="66">
        <v>42084</v>
      </c>
      <c r="B1955" s="51">
        <f>YEAR(Table1[[#This Row],[Date]])</f>
        <v>2015</v>
      </c>
      <c r="C1955" s="1">
        <v>2</v>
      </c>
      <c r="D1955" t="s">
        <v>439</v>
      </c>
      <c r="E1955" s="1">
        <v>1</v>
      </c>
      <c r="F1955" t="s">
        <v>26</v>
      </c>
      <c r="G1955" t="str">
        <f>VLOOKUP(Table1[[#This Row],[Winner]],Ranking!C:D,2,FALSE)</f>
        <v>SEC</v>
      </c>
      <c r="H1955" s="1">
        <v>64</v>
      </c>
      <c r="I1955" s="1">
        <v>8</v>
      </c>
      <c r="J1955" t="s">
        <v>28</v>
      </c>
      <c r="K1955" t="str">
        <f>VLOOKUP(Table1[[#This Row],[Loser]],Ranking!C:D,2,FALSE)</f>
        <v>Amer</v>
      </c>
      <c r="L1955" s="1">
        <v>51</v>
      </c>
      <c r="N1955" s="1">
        <f>Table1[[#This Row],[Winning Score]]-Table1[[#This Row],[Losing Score]]</f>
        <v>13</v>
      </c>
      <c r="O1955" s="1">
        <f>Table1[[#This Row],[Losing Seed]]-Table1[[#This Row],[Winning Seed]]</f>
        <v>7</v>
      </c>
      <c r="P1955" s="1" t="str">
        <f>IF(Table1[[#This Row],[SeD]]&lt;-2,Table1[[#This Row],[Winning Seed]]&amp; " over " &amp;Table1[[#This Row],[Losing Seed]],"")</f>
        <v/>
      </c>
      <c r="Q1955">
        <f>VLOOKUP(Table1[[#This Row],[Losing Seed]],'Seed History'!$N$4:$O$19,2)</f>
        <v>0.70833333333333337</v>
      </c>
      <c r="R1955" s="1">
        <f>IF(Table1[[#This Row],[Round]]="PI",0,Table1[[#This Row],[Round]]-1)</f>
        <v>1</v>
      </c>
      <c r="S1955">
        <f>Table1[[#This Row],[LAW]]-Table1[[#This Row],[LEW]]</f>
        <v>0.29166666666666663</v>
      </c>
    </row>
    <row r="1956" spans="1:19" x14ac:dyDescent="0.25">
      <c r="A1956" s="66">
        <v>42084</v>
      </c>
      <c r="B1956" s="51">
        <f>YEAR(Table1[[#This Row],[Date]])</f>
        <v>2015</v>
      </c>
      <c r="C1956" s="1">
        <v>2</v>
      </c>
      <c r="D1956" t="s">
        <v>439</v>
      </c>
      <c r="E1956" s="1">
        <v>3</v>
      </c>
      <c r="F1956" t="s">
        <v>35</v>
      </c>
      <c r="G1956" t="str">
        <f>VLOOKUP(Table1[[#This Row],[Winner]],Ranking!C:D,2,FALSE)</f>
        <v>ACC</v>
      </c>
      <c r="H1956" s="1">
        <v>67</v>
      </c>
      <c r="I1956" s="1">
        <v>6</v>
      </c>
      <c r="J1956" t="s">
        <v>33</v>
      </c>
      <c r="K1956" t="str">
        <f>VLOOKUP(Table1[[#This Row],[Loser]],Ranking!C:D,2,FALSE)</f>
        <v>BE</v>
      </c>
      <c r="L1956" s="1">
        <v>64</v>
      </c>
      <c r="M1956" s="1" t="s">
        <v>462</v>
      </c>
      <c r="N1956" s="1">
        <f>Table1[[#This Row],[Winning Score]]-Table1[[#This Row],[Losing Score]]</f>
        <v>3</v>
      </c>
      <c r="O1956" s="1">
        <f>Table1[[#This Row],[Losing Seed]]-Table1[[#This Row],[Winning Seed]]</f>
        <v>3</v>
      </c>
      <c r="P1956" s="1" t="str">
        <f>IF(Table1[[#This Row],[SeD]]&lt;-2,Table1[[#This Row],[Winning Seed]]&amp; " over " &amp;Table1[[#This Row],[Losing Seed]],"")</f>
        <v/>
      </c>
      <c r="Q1956">
        <f>VLOOKUP(Table1[[#This Row],[Losing Seed]],'Seed History'!$N$4:$O$19,2)</f>
        <v>1.0625</v>
      </c>
      <c r="R1956" s="1">
        <f>IF(Table1[[#This Row],[Round]]="PI",0,Table1[[#This Row],[Round]]-1)</f>
        <v>1</v>
      </c>
      <c r="S1956">
        <f>Table1[[#This Row],[LAW]]-Table1[[#This Row],[LEW]]</f>
        <v>-6.25E-2</v>
      </c>
    </row>
    <row r="1957" spans="1:19" x14ac:dyDescent="0.25">
      <c r="A1957" s="66">
        <v>42084</v>
      </c>
      <c r="B1957" s="51">
        <f>YEAR(Table1[[#This Row],[Date]])</f>
        <v>2015</v>
      </c>
      <c r="C1957" s="1">
        <v>2</v>
      </c>
      <c r="D1957" t="s">
        <v>63</v>
      </c>
      <c r="E1957" s="1">
        <v>11</v>
      </c>
      <c r="F1957" t="s">
        <v>67</v>
      </c>
      <c r="G1957" t="str">
        <f>VLOOKUP(Table1[[#This Row],[Winner]],Ranking!C:D,2,FALSE)</f>
        <v>P12</v>
      </c>
      <c r="H1957" s="1">
        <v>92</v>
      </c>
      <c r="I1957" s="1">
        <v>14</v>
      </c>
      <c r="J1957" t="s">
        <v>68</v>
      </c>
      <c r="K1957" t="str">
        <f>VLOOKUP(Table1[[#This Row],[Loser]],Ranking!C:D,2,FALSE)</f>
        <v>CUSA</v>
      </c>
      <c r="L1957" s="1">
        <v>75</v>
      </c>
      <c r="N1957" s="1">
        <f>Table1[[#This Row],[Winning Score]]-Table1[[#This Row],[Losing Score]]</f>
        <v>17</v>
      </c>
      <c r="O1957" s="1">
        <f>Table1[[#This Row],[Losing Seed]]-Table1[[#This Row],[Winning Seed]]</f>
        <v>3</v>
      </c>
      <c r="P1957" s="1" t="str">
        <f>IF(Table1[[#This Row],[SeD]]&lt;-2,Table1[[#This Row],[Winning Seed]]&amp; " over " &amp;Table1[[#This Row],[Losing Seed]],"")</f>
        <v/>
      </c>
      <c r="Q1957">
        <f>VLOOKUP(Table1[[#This Row],[Losing Seed]],'Seed History'!$N$4:$O$19,2)</f>
        <v>0.16666666666666666</v>
      </c>
      <c r="R1957" s="1">
        <f>IF(Table1[[#This Row],[Round]]="PI",0,Table1[[#This Row],[Round]]-1)</f>
        <v>1</v>
      </c>
      <c r="S1957">
        <f>Table1[[#This Row],[LAW]]-Table1[[#This Row],[LEW]]</f>
        <v>0.83333333333333337</v>
      </c>
    </row>
    <row r="1958" spans="1:19" x14ac:dyDescent="0.25">
      <c r="A1958" s="66">
        <v>42084</v>
      </c>
      <c r="B1958" s="51">
        <f>YEAR(Table1[[#This Row],[Date]])</f>
        <v>2015</v>
      </c>
      <c r="C1958" s="1">
        <v>2</v>
      </c>
      <c r="D1958" t="s">
        <v>38</v>
      </c>
      <c r="E1958" s="1">
        <v>2</v>
      </c>
      <c r="F1958" t="s">
        <v>48</v>
      </c>
      <c r="G1958" t="str">
        <f>VLOOKUP(Table1[[#This Row],[Winner]],Ranking!C:D,2,FALSE)</f>
        <v>P12</v>
      </c>
      <c r="H1958" s="1">
        <v>73</v>
      </c>
      <c r="I1958" s="1">
        <v>10</v>
      </c>
      <c r="J1958" t="s">
        <v>315</v>
      </c>
      <c r="K1958" t="str">
        <f>VLOOKUP(Table1[[#This Row],[Loser]],Ranking!C:D,2,FALSE)</f>
        <v>B10</v>
      </c>
      <c r="L1958" s="1">
        <v>58</v>
      </c>
      <c r="N1958" s="1">
        <f>Table1[[#This Row],[Winning Score]]-Table1[[#This Row],[Losing Score]]</f>
        <v>15</v>
      </c>
      <c r="O1958" s="1">
        <f>Table1[[#This Row],[Losing Seed]]-Table1[[#This Row],[Winning Seed]]</f>
        <v>8</v>
      </c>
      <c r="P1958" s="1" t="str">
        <f>IF(Table1[[#This Row],[SeD]]&lt;-2,Table1[[#This Row],[Winning Seed]]&amp; " over " &amp;Table1[[#This Row],[Losing Seed]],"")</f>
        <v/>
      </c>
      <c r="Q1958">
        <f>VLOOKUP(Table1[[#This Row],[Losing Seed]],'Seed History'!$N$4:$O$19,2)</f>
        <v>0.61805555555555558</v>
      </c>
      <c r="R1958" s="1">
        <f>IF(Table1[[#This Row],[Round]]="PI",0,Table1[[#This Row],[Round]]-1)</f>
        <v>1</v>
      </c>
      <c r="S1958">
        <f>Table1[[#This Row],[LAW]]-Table1[[#This Row],[LEW]]</f>
        <v>0.38194444444444442</v>
      </c>
    </row>
    <row r="1959" spans="1:19" x14ac:dyDescent="0.25">
      <c r="A1959" s="66">
        <v>42084</v>
      </c>
      <c r="B1959" s="51">
        <f>YEAR(Table1[[#This Row],[Date]])</f>
        <v>2015</v>
      </c>
      <c r="C1959" s="1">
        <v>2</v>
      </c>
      <c r="D1959" t="s">
        <v>38</v>
      </c>
      <c r="E1959" s="1">
        <v>4</v>
      </c>
      <c r="F1959" t="s">
        <v>298</v>
      </c>
      <c r="G1959" t="str">
        <f>VLOOKUP(Table1[[#This Row],[Winner]],Ranking!C:D,2,FALSE)</f>
        <v>ACC</v>
      </c>
      <c r="H1959" s="1">
        <v>87</v>
      </c>
      <c r="I1959" s="1">
        <v>5</v>
      </c>
      <c r="J1959" t="s">
        <v>41</v>
      </c>
      <c r="K1959" t="str">
        <f>VLOOKUP(Table1[[#This Row],[Loser]],Ranking!C:D,2,FALSE)</f>
        <v>SEC</v>
      </c>
      <c r="L1959" s="1">
        <v>78</v>
      </c>
      <c r="N1959" s="1">
        <f>Table1[[#This Row],[Winning Score]]-Table1[[#This Row],[Losing Score]]</f>
        <v>9</v>
      </c>
      <c r="O1959" s="1">
        <f>Table1[[#This Row],[Losing Seed]]-Table1[[#This Row],[Winning Seed]]</f>
        <v>1</v>
      </c>
      <c r="P1959" s="1" t="str">
        <f>IF(Table1[[#This Row],[SeD]]&lt;-2,Table1[[#This Row],[Winning Seed]]&amp; " over " &amp;Table1[[#This Row],[Losing Seed]],"")</f>
        <v/>
      </c>
      <c r="Q1959">
        <f>VLOOKUP(Table1[[#This Row],[Losing Seed]],'Seed History'!$N$4:$O$19,2)</f>
        <v>1.1180555555555556</v>
      </c>
      <c r="R1959" s="1">
        <f>IF(Table1[[#This Row],[Round]]="PI",0,Table1[[#This Row],[Round]]-1)</f>
        <v>1</v>
      </c>
      <c r="S1959">
        <f>Table1[[#This Row],[LAW]]-Table1[[#This Row],[LEW]]</f>
        <v>-0.11805555555555558</v>
      </c>
    </row>
    <row r="1960" spans="1:19" x14ac:dyDescent="0.25">
      <c r="A1960" s="66">
        <v>42084</v>
      </c>
      <c r="B1960" s="51">
        <f>YEAR(Table1[[#This Row],[Date]])</f>
        <v>2015</v>
      </c>
      <c r="C1960" s="1">
        <v>2</v>
      </c>
      <c r="D1960" t="s">
        <v>38</v>
      </c>
      <c r="E1960" s="1">
        <v>6</v>
      </c>
      <c r="F1960" t="s">
        <v>44</v>
      </c>
      <c r="G1960" t="str">
        <f>VLOOKUP(Table1[[#This Row],[Winner]],Ranking!C:D,2,FALSE)</f>
        <v>BE</v>
      </c>
      <c r="H1960" s="1">
        <v>75</v>
      </c>
      <c r="I1960" s="1">
        <v>14</v>
      </c>
      <c r="J1960" t="s">
        <v>215</v>
      </c>
      <c r="K1960" t="str">
        <f>VLOOKUP(Table1[[#This Row],[Loser]],Ranking!C:D,2,FALSE)</f>
        <v>SB</v>
      </c>
      <c r="L1960" s="1">
        <v>67</v>
      </c>
      <c r="N1960" s="1">
        <f>Table1[[#This Row],[Winning Score]]-Table1[[#This Row],[Losing Score]]</f>
        <v>8</v>
      </c>
      <c r="O1960" s="1">
        <f>Table1[[#This Row],[Losing Seed]]-Table1[[#This Row],[Winning Seed]]</f>
        <v>8</v>
      </c>
      <c r="P1960" s="1" t="str">
        <f>IF(Table1[[#This Row],[SeD]]&lt;-2,Table1[[#This Row],[Winning Seed]]&amp; " over " &amp;Table1[[#This Row],[Losing Seed]],"")</f>
        <v/>
      </c>
      <c r="Q1960">
        <f>VLOOKUP(Table1[[#This Row],[Losing Seed]],'Seed History'!$N$4:$O$19,2)</f>
        <v>0.16666666666666666</v>
      </c>
      <c r="R1960" s="1">
        <f>IF(Table1[[#This Row],[Round]]="PI",0,Table1[[#This Row],[Round]]-1)</f>
        <v>1</v>
      </c>
      <c r="S1960">
        <f>Table1[[#This Row],[LAW]]-Table1[[#This Row],[LEW]]</f>
        <v>0.83333333333333337</v>
      </c>
    </row>
    <row r="1961" spans="1:19" x14ac:dyDescent="0.25">
      <c r="A1961" s="66">
        <v>42084</v>
      </c>
      <c r="B1961" s="51">
        <f>YEAR(Table1[[#This Row],[Date]])</f>
        <v>2015</v>
      </c>
      <c r="C1961" s="1">
        <v>2</v>
      </c>
      <c r="D1961" t="s">
        <v>63</v>
      </c>
      <c r="E1961" s="1">
        <v>5</v>
      </c>
      <c r="F1961" t="s">
        <v>65</v>
      </c>
      <c r="G1961" t="str">
        <f>VLOOKUP(Table1[[#This Row],[Winner]],Ranking!C:D,2,FALSE)</f>
        <v>P12</v>
      </c>
      <c r="H1961" s="1">
        <v>75</v>
      </c>
      <c r="I1961" s="1">
        <v>4</v>
      </c>
      <c r="J1961" t="s">
        <v>66</v>
      </c>
      <c r="K1961" t="str">
        <f>VLOOKUP(Table1[[#This Row],[Loser]],Ranking!C:D,2,FALSE)</f>
        <v>BE</v>
      </c>
      <c r="L1961" s="1">
        <v>64</v>
      </c>
      <c r="N1961" s="1">
        <f>Table1[[#This Row],[Winning Score]]-Table1[[#This Row],[Losing Score]]</f>
        <v>11</v>
      </c>
      <c r="O1961" s="1">
        <f>Table1[[#This Row],[Losing Seed]]-Table1[[#This Row],[Winning Seed]]</f>
        <v>-1</v>
      </c>
      <c r="P1961" s="1" t="str">
        <f>IF(Table1[[#This Row],[SeD]]&lt;-2,Table1[[#This Row],[Winning Seed]]&amp; " over " &amp;Table1[[#This Row],[Losing Seed]],"")</f>
        <v/>
      </c>
      <c r="Q1961">
        <f>VLOOKUP(Table1[[#This Row],[Losing Seed]],'Seed History'!$N$4:$O$19,2)</f>
        <v>1.5208333333333333</v>
      </c>
      <c r="R1961" s="1">
        <f>IF(Table1[[#This Row],[Round]]="PI",0,Table1[[#This Row],[Round]]-1)</f>
        <v>1</v>
      </c>
      <c r="S1961">
        <f>Table1[[#This Row],[LAW]]-Table1[[#This Row],[LEW]]</f>
        <v>-0.52083333333333326</v>
      </c>
    </row>
    <row r="1962" spans="1:19" x14ac:dyDescent="0.25">
      <c r="A1962" s="66">
        <v>42085</v>
      </c>
      <c r="B1962" s="51">
        <f>YEAR(Table1[[#This Row],[Date]])</f>
        <v>2015</v>
      </c>
      <c r="C1962" s="1">
        <v>2</v>
      </c>
      <c r="D1962" t="s">
        <v>49</v>
      </c>
      <c r="E1962" s="1">
        <v>7</v>
      </c>
      <c r="F1962" t="s">
        <v>271</v>
      </c>
      <c r="G1962" t="str">
        <f>VLOOKUP(Table1[[#This Row],[Winner]],Ranking!C:D,2,FALSE)</f>
        <v>B10</v>
      </c>
      <c r="H1962" s="1">
        <v>60</v>
      </c>
      <c r="I1962" s="1">
        <v>2</v>
      </c>
      <c r="J1962" t="s">
        <v>61</v>
      </c>
      <c r="K1962" t="str">
        <f>VLOOKUP(Table1[[#This Row],[Loser]],Ranking!C:D,2,FALSE)</f>
        <v>ACC</v>
      </c>
      <c r="L1962" s="1">
        <v>54</v>
      </c>
      <c r="N1962" s="1">
        <f>Table1[[#This Row],[Winning Score]]-Table1[[#This Row],[Losing Score]]</f>
        <v>6</v>
      </c>
      <c r="O1962" s="1">
        <f>Table1[[#This Row],[Losing Seed]]-Table1[[#This Row],[Winning Seed]]</f>
        <v>-5</v>
      </c>
      <c r="P1962" s="1" t="str">
        <f>IF(Table1[[#This Row],[SeD]]&lt;-2,Table1[[#This Row],[Winning Seed]]&amp; " over " &amp;Table1[[#This Row],[Losing Seed]],"")</f>
        <v>7 over 2</v>
      </c>
      <c r="Q1962">
        <f>VLOOKUP(Table1[[#This Row],[Losing Seed]],'Seed History'!$N$4:$O$19,2)</f>
        <v>2.3472222222222223</v>
      </c>
      <c r="R1962" s="1">
        <f>IF(Table1[[#This Row],[Round]]="PI",0,Table1[[#This Row],[Round]]-1)</f>
        <v>1</v>
      </c>
      <c r="S1962">
        <f>Table1[[#This Row],[LAW]]-Table1[[#This Row],[LEW]]</f>
        <v>-1.3472222222222223</v>
      </c>
    </row>
    <row r="1963" spans="1:19" x14ac:dyDescent="0.25">
      <c r="A1963" s="66">
        <v>42085</v>
      </c>
      <c r="B1963" s="51">
        <f>YEAR(Table1[[#This Row],[Date]])</f>
        <v>2015</v>
      </c>
      <c r="C1963" s="1">
        <v>2</v>
      </c>
      <c r="D1963" t="s">
        <v>439</v>
      </c>
      <c r="E1963" s="1">
        <v>7</v>
      </c>
      <c r="F1963" t="s">
        <v>417</v>
      </c>
      <c r="G1963" t="str">
        <f>VLOOKUP(Table1[[#This Row],[Winner]],Ranking!C:D,2,FALSE)</f>
        <v>Amer</v>
      </c>
      <c r="H1963" s="1">
        <v>78</v>
      </c>
      <c r="I1963" s="1">
        <v>2</v>
      </c>
      <c r="J1963" t="s">
        <v>37</v>
      </c>
      <c r="K1963" t="str">
        <f>VLOOKUP(Table1[[#This Row],[Loser]],Ranking!C:D,2,FALSE)</f>
        <v>B12</v>
      </c>
      <c r="L1963" s="1">
        <v>65</v>
      </c>
      <c r="N1963" s="1">
        <f>Table1[[#This Row],[Winning Score]]-Table1[[#This Row],[Losing Score]]</f>
        <v>13</v>
      </c>
      <c r="O1963" s="1">
        <f>Table1[[#This Row],[Losing Seed]]-Table1[[#This Row],[Winning Seed]]</f>
        <v>-5</v>
      </c>
      <c r="P1963" s="1" t="str">
        <f>IF(Table1[[#This Row],[SeD]]&lt;-2,Table1[[#This Row],[Winning Seed]]&amp; " over " &amp;Table1[[#This Row],[Losing Seed]],"")</f>
        <v>7 over 2</v>
      </c>
      <c r="Q1963">
        <f>VLOOKUP(Table1[[#This Row],[Losing Seed]],'Seed History'!$N$4:$O$19,2)</f>
        <v>2.3472222222222223</v>
      </c>
      <c r="R1963" s="1">
        <f>IF(Table1[[#This Row],[Round]]="PI",0,Table1[[#This Row],[Round]]-1)</f>
        <v>1</v>
      </c>
      <c r="S1963">
        <f>Table1[[#This Row],[LAW]]-Table1[[#This Row],[LEW]]</f>
        <v>-1.3472222222222223</v>
      </c>
    </row>
    <row r="1964" spans="1:19" x14ac:dyDescent="0.25">
      <c r="A1964" s="66">
        <v>42085</v>
      </c>
      <c r="B1964" s="51">
        <f>YEAR(Table1[[#This Row],[Date]])</f>
        <v>2015</v>
      </c>
      <c r="C1964" s="1">
        <v>2</v>
      </c>
      <c r="D1964" t="s">
        <v>49</v>
      </c>
      <c r="E1964" s="1">
        <v>3</v>
      </c>
      <c r="F1964" t="s">
        <v>58</v>
      </c>
      <c r="G1964" t="str">
        <f>VLOOKUP(Table1[[#This Row],[Winner]],Ranking!C:D,2,FALSE)</f>
        <v>B12</v>
      </c>
      <c r="H1964" s="1">
        <v>72</v>
      </c>
      <c r="I1964" s="1">
        <v>11</v>
      </c>
      <c r="J1964" t="s">
        <v>57</v>
      </c>
      <c r="K1964" t="str">
        <f>VLOOKUP(Table1[[#This Row],[Loser]],Ranking!C:D,2,FALSE)</f>
        <v>A10</v>
      </c>
      <c r="L1964" s="1">
        <v>66</v>
      </c>
      <c r="N1964" s="1">
        <f>Table1[[#This Row],[Winning Score]]-Table1[[#This Row],[Losing Score]]</f>
        <v>6</v>
      </c>
      <c r="O1964" s="1">
        <f>Table1[[#This Row],[Losing Seed]]-Table1[[#This Row],[Winning Seed]]</f>
        <v>8</v>
      </c>
      <c r="P1964" s="1" t="str">
        <f>IF(Table1[[#This Row],[SeD]]&lt;-2,Table1[[#This Row],[Winning Seed]]&amp; " over " &amp;Table1[[#This Row],[Losing Seed]],"")</f>
        <v/>
      </c>
      <c r="Q1964">
        <f>VLOOKUP(Table1[[#This Row],[Losing Seed]],'Seed History'!$N$4:$O$19,2)</f>
        <v>0.63194444444444442</v>
      </c>
      <c r="R1964" s="1">
        <f>IF(Table1[[#This Row],[Round]]="PI",0,Table1[[#This Row],[Round]]-1)</f>
        <v>1</v>
      </c>
      <c r="S1964">
        <f>Table1[[#This Row],[LAW]]-Table1[[#This Row],[LEW]]</f>
        <v>0.36805555555555558</v>
      </c>
    </row>
    <row r="1965" spans="1:19" x14ac:dyDescent="0.25">
      <c r="A1965" s="66">
        <v>42085</v>
      </c>
      <c r="B1965" s="51">
        <f>YEAR(Table1[[#This Row],[Date]])</f>
        <v>2015</v>
      </c>
      <c r="C1965" s="1">
        <v>2</v>
      </c>
      <c r="D1965" t="s">
        <v>49</v>
      </c>
      <c r="E1965" s="1">
        <v>4</v>
      </c>
      <c r="F1965" t="s">
        <v>54</v>
      </c>
      <c r="G1965" t="str">
        <f>VLOOKUP(Table1[[#This Row],[Winner]],Ranking!C:D,2,FALSE)</f>
        <v>ACC</v>
      </c>
      <c r="H1965" s="1">
        <v>66</v>
      </c>
      <c r="I1965" s="1">
        <v>5</v>
      </c>
      <c r="J1965" t="s">
        <v>310</v>
      </c>
      <c r="K1965" t="str">
        <f>VLOOKUP(Table1[[#This Row],[Loser]],Ranking!C:D,2,FALSE)</f>
        <v>MVC</v>
      </c>
      <c r="L1965" s="1">
        <v>53</v>
      </c>
      <c r="N1965" s="1">
        <f>Table1[[#This Row],[Winning Score]]-Table1[[#This Row],[Losing Score]]</f>
        <v>13</v>
      </c>
      <c r="O1965" s="1">
        <f>Table1[[#This Row],[Losing Seed]]-Table1[[#This Row],[Winning Seed]]</f>
        <v>1</v>
      </c>
      <c r="P1965" s="1" t="str">
        <f>IF(Table1[[#This Row],[SeD]]&lt;-2,Table1[[#This Row],[Winning Seed]]&amp; " over " &amp;Table1[[#This Row],[Losing Seed]],"")</f>
        <v/>
      </c>
      <c r="Q1965">
        <f>VLOOKUP(Table1[[#This Row],[Losing Seed]],'Seed History'!$N$4:$O$19,2)</f>
        <v>1.1180555555555556</v>
      </c>
      <c r="R1965" s="1">
        <f>IF(Table1[[#This Row],[Round]]="PI",0,Table1[[#This Row],[Round]]-1)</f>
        <v>1</v>
      </c>
      <c r="S1965">
        <f>Table1[[#This Row],[LAW]]-Table1[[#This Row],[LEW]]</f>
        <v>-0.11805555555555558</v>
      </c>
    </row>
    <row r="1966" spans="1:19" x14ac:dyDescent="0.25">
      <c r="A1966" s="66">
        <v>42085</v>
      </c>
      <c r="B1966" s="51">
        <f>YEAR(Table1[[#This Row],[Date]])</f>
        <v>2015</v>
      </c>
      <c r="C1966" s="1">
        <v>2</v>
      </c>
      <c r="D1966" t="s">
        <v>63</v>
      </c>
      <c r="E1966" s="1">
        <v>1</v>
      </c>
      <c r="F1966" t="s">
        <v>64</v>
      </c>
      <c r="G1966" t="str">
        <f>VLOOKUP(Table1[[#This Row],[Winner]],Ranking!C:D,2,FALSE)</f>
        <v>ACC</v>
      </c>
      <c r="H1966" s="1">
        <v>68</v>
      </c>
      <c r="I1966" s="1">
        <v>8</v>
      </c>
      <c r="J1966" t="s">
        <v>344</v>
      </c>
      <c r="K1966" t="str">
        <f>VLOOKUP(Table1[[#This Row],[Loser]],Ranking!C:D,2,FALSE)</f>
        <v>MWC</v>
      </c>
      <c r="L1966" s="1">
        <v>49</v>
      </c>
      <c r="N1966" s="1">
        <f>Table1[[#This Row],[Winning Score]]-Table1[[#This Row],[Losing Score]]</f>
        <v>19</v>
      </c>
      <c r="O1966" s="1">
        <f>Table1[[#This Row],[Losing Seed]]-Table1[[#This Row],[Winning Seed]]</f>
        <v>7</v>
      </c>
      <c r="P1966" s="1" t="str">
        <f>IF(Table1[[#This Row],[SeD]]&lt;-2,Table1[[#This Row],[Winning Seed]]&amp; " over " &amp;Table1[[#This Row],[Losing Seed]],"")</f>
        <v/>
      </c>
      <c r="Q1966">
        <f>VLOOKUP(Table1[[#This Row],[Losing Seed]],'Seed History'!$N$4:$O$19,2)</f>
        <v>0.70833333333333337</v>
      </c>
      <c r="R1966" s="1">
        <f>IF(Table1[[#This Row],[Round]]="PI",0,Table1[[#This Row],[Round]]-1)</f>
        <v>1</v>
      </c>
      <c r="S1966">
        <f>Table1[[#This Row],[LAW]]-Table1[[#This Row],[LEW]]</f>
        <v>0.29166666666666663</v>
      </c>
    </row>
    <row r="1967" spans="1:19" x14ac:dyDescent="0.25">
      <c r="A1967" s="66">
        <v>42085</v>
      </c>
      <c r="B1967" s="51">
        <f>YEAR(Table1[[#This Row],[Date]])</f>
        <v>2015</v>
      </c>
      <c r="C1967" s="1">
        <v>2</v>
      </c>
      <c r="D1967" t="s">
        <v>63</v>
      </c>
      <c r="E1967" s="1">
        <v>2</v>
      </c>
      <c r="F1967" t="s">
        <v>71</v>
      </c>
      <c r="G1967" t="str">
        <f>VLOOKUP(Table1[[#This Row],[Winner]],Ranking!C:D,2,FALSE)</f>
        <v>WCC</v>
      </c>
      <c r="H1967" s="1">
        <v>87</v>
      </c>
      <c r="I1967" s="1">
        <v>7</v>
      </c>
      <c r="J1967" t="s">
        <v>69</v>
      </c>
      <c r="K1967" t="str">
        <f>VLOOKUP(Table1[[#This Row],[Loser]],Ranking!C:D,2,FALSE)</f>
        <v>B10</v>
      </c>
      <c r="L1967" s="1">
        <v>69</v>
      </c>
      <c r="N1967" s="1">
        <f>Table1[[#This Row],[Winning Score]]-Table1[[#This Row],[Losing Score]]</f>
        <v>18</v>
      </c>
      <c r="O1967" s="1">
        <f>Table1[[#This Row],[Losing Seed]]-Table1[[#This Row],[Winning Seed]]</f>
        <v>5</v>
      </c>
      <c r="P1967" s="1" t="str">
        <f>IF(Table1[[#This Row],[SeD]]&lt;-2,Table1[[#This Row],[Winning Seed]]&amp; " over " &amp;Table1[[#This Row],[Losing Seed]],"")</f>
        <v/>
      </c>
      <c r="Q1967">
        <f>VLOOKUP(Table1[[#This Row],[Losing Seed]],'Seed History'!$N$4:$O$19,2)</f>
        <v>0.90277777777777779</v>
      </c>
      <c r="R1967" s="1">
        <f>IF(Table1[[#This Row],[Round]]="PI",0,Table1[[#This Row],[Round]]-1)</f>
        <v>1</v>
      </c>
      <c r="S1967">
        <f>Table1[[#This Row],[LAW]]-Table1[[#This Row],[LEW]]</f>
        <v>9.722222222222221E-2</v>
      </c>
    </row>
    <row r="1968" spans="1:19" x14ac:dyDescent="0.25">
      <c r="A1968" s="66">
        <v>42085</v>
      </c>
      <c r="B1968" s="51">
        <f>YEAR(Table1[[#This Row],[Date]])</f>
        <v>2015</v>
      </c>
      <c r="C1968" s="1">
        <v>2</v>
      </c>
      <c r="D1968" t="s">
        <v>38</v>
      </c>
      <c r="E1968" s="1">
        <v>1</v>
      </c>
      <c r="F1968" t="s">
        <v>39</v>
      </c>
      <c r="G1968" t="str">
        <f>VLOOKUP(Table1[[#This Row],[Winner]],Ranking!C:D,2,FALSE)</f>
        <v>B10</v>
      </c>
      <c r="H1968" s="1">
        <v>72</v>
      </c>
      <c r="I1968" s="1">
        <v>8</v>
      </c>
      <c r="J1968" t="s">
        <v>40</v>
      </c>
      <c r="K1968" t="str">
        <f>VLOOKUP(Table1[[#This Row],[Loser]],Ranking!C:D,2,FALSE)</f>
        <v>P12</v>
      </c>
      <c r="L1968" s="1">
        <v>65</v>
      </c>
      <c r="N1968" s="1">
        <f>Table1[[#This Row],[Winning Score]]-Table1[[#This Row],[Losing Score]]</f>
        <v>7</v>
      </c>
      <c r="O1968" s="1">
        <f>Table1[[#This Row],[Losing Seed]]-Table1[[#This Row],[Winning Seed]]</f>
        <v>7</v>
      </c>
      <c r="P1968" s="1" t="str">
        <f>IF(Table1[[#This Row],[SeD]]&lt;-2,Table1[[#This Row],[Winning Seed]]&amp; " over " &amp;Table1[[#This Row],[Losing Seed]],"")</f>
        <v/>
      </c>
      <c r="Q1968">
        <f>VLOOKUP(Table1[[#This Row],[Losing Seed]],'Seed History'!$N$4:$O$19,2)</f>
        <v>0.70833333333333337</v>
      </c>
      <c r="R1968" s="1">
        <f>IF(Table1[[#This Row],[Round]]="PI",0,Table1[[#This Row],[Round]]-1)</f>
        <v>1</v>
      </c>
      <c r="S1968">
        <f>Table1[[#This Row],[LAW]]-Table1[[#This Row],[LEW]]</f>
        <v>0.29166666666666663</v>
      </c>
    </row>
    <row r="1969" spans="1:19" x14ac:dyDescent="0.25">
      <c r="A1969" s="66">
        <v>42085</v>
      </c>
      <c r="B1969" s="51">
        <f>YEAR(Table1[[#This Row],[Date]])</f>
        <v>2015</v>
      </c>
      <c r="C1969" s="1">
        <v>2</v>
      </c>
      <c r="D1969" t="s">
        <v>439</v>
      </c>
      <c r="E1969" s="1">
        <v>5</v>
      </c>
      <c r="F1969" t="s">
        <v>412</v>
      </c>
      <c r="G1969" t="str">
        <f>VLOOKUP(Table1[[#This Row],[Winner]],Ranking!C:D,2,FALSE)</f>
        <v>B12</v>
      </c>
      <c r="H1969" s="1">
        <v>69</v>
      </c>
      <c r="I1969" s="1">
        <v>4</v>
      </c>
      <c r="J1969" t="s">
        <v>31</v>
      </c>
      <c r="K1969" t="str">
        <f>VLOOKUP(Table1[[#This Row],[Loser]],Ranking!C:D,2,FALSE)</f>
        <v>B10</v>
      </c>
      <c r="L1969" s="1">
        <v>59</v>
      </c>
      <c r="N1969" s="1">
        <f>Table1[[#This Row],[Winning Score]]-Table1[[#This Row],[Losing Score]]</f>
        <v>10</v>
      </c>
      <c r="O1969" s="1">
        <f>Table1[[#This Row],[Losing Seed]]-Table1[[#This Row],[Winning Seed]]</f>
        <v>-1</v>
      </c>
      <c r="P1969" s="1" t="str">
        <f>IF(Table1[[#This Row],[SeD]]&lt;-2,Table1[[#This Row],[Winning Seed]]&amp; " over " &amp;Table1[[#This Row],[Losing Seed]],"")</f>
        <v/>
      </c>
      <c r="Q1969">
        <f>VLOOKUP(Table1[[#This Row],[Losing Seed]],'Seed History'!$N$4:$O$19,2)</f>
        <v>1.5208333333333333</v>
      </c>
      <c r="R1969" s="1">
        <f>IF(Table1[[#This Row],[Round]]="PI",0,Table1[[#This Row],[Round]]-1)</f>
        <v>1</v>
      </c>
      <c r="S1969">
        <f>Table1[[#This Row],[LAW]]-Table1[[#This Row],[LEW]]</f>
        <v>-0.52083333333333326</v>
      </c>
    </row>
    <row r="1970" spans="1:19" x14ac:dyDescent="0.25">
      <c r="A1970" s="66">
        <v>42089</v>
      </c>
      <c r="B1970" s="51">
        <f>YEAR(Table1[[#This Row],[Date]])</f>
        <v>2015</v>
      </c>
      <c r="C1970" s="1">
        <v>3</v>
      </c>
      <c r="D1970" t="s">
        <v>439</v>
      </c>
      <c r="E1970" s="1">
        <v>1</v>
      </c>
      <c r="F1970" t="s">
        <v>26</v>
      </c>
      <c r="G1970" t="str">
        <f>VLOOKUP(Table1[[#This Row],[Winner]],Ranking!C:D,2,FALSE)</f>
        <v>SEC</v>
      </c>
      <c r="H1970" s="1">
        <v>78</v>
      </c>
      <c r="I1970" s="1">
        <v>5</v>
      </c>
      <c r="J1970" t="s">
        <v>412</v>
      </c>
      <c r="K1970" t="str">
        <f>VLOOKUP(Table1[[#This Row],[Loser]],Ranking!C:D,2,FALSE)</f>
        <v>B12</v>
      </c>
      <c r="L1970" s="1">
        <v>39</v>
      </c>
      <c r="N1970" s="1">
        <f>Table1[[#This Row],[Winning Score]]-Table1[[#This Row],[Losing Score]]</f>
        <v>39</v>
      </c>
      <c r="O1970" s="1">
        <f>Table1[[#This Row],[Losing Seed]]-Table1[[#This Row],[Winning Seed]]</f>
        <v>4</v>
      </c>
      <c r="P1970" s="1" t="str">
        <f>IF(Table1[[#This Row],[SeD]]&lt;-2,Table1[[#This Row],[Winning Seed]]&amp; " over " &amp;Table1[[#This Row],[Losing Seed]],"")</f>
        <v/>
      </c>
      <c r="Q1970">
        <f>VLOOKUP(Table1[[#This Row],[Losing Seed]],'Seed History'!$N$4:$O$19,2)</f>
        <v>1.1180555555555556</v>
      </c>
      <c r="R1970" s="1">
        <f>IF(Table1[[#This Row],[Round]]="PI",0,Table1[[#This Row],[Round]]-1)</f>
        <v>2</v>
      </c>
      <c r="S1970">
        <f>Table1[[#This Row],[LAW]]-Table1[[#This Row],[LEW]]</f>
        <v>0.88194444444444442</v>
      </c>
    </row>
    <row r="1971" spans="1:19" x14ac:dyDescent="0.25">
      <c r="A1971" s="66">
        <v>42089</v>
      </c>
      <c r="B1971" s="51">
        <f>YEAR(Table1[[#This Row],[Date]])</f>
        <v>2015</v>
      </c>
      <c r="C1971" s="1">
        <v>3</v>
      </c>
      <c r="D1971" t="s">
        <v>439</v>
      </c>
      <c r="E1971" s="1">
        <v>3</v>
      </c>
      <c r="F1971" t="s">
        <v>35</v>
      </c>
      <c r="G1971" t="str">
        <f>VLOOKUP(Table1[[#This Row],[Winner]],Ranking!C:D,2,FALSE)</f>
        <v>ACC</v>
      </c>
      <c r="H1971" s="1">
        <v>81</v>
      </c>
      <c r="I1971" s="1">
        <v>7</v>
      </c>
      <c r="J1971" t="s">
        <v>417</v>
      </c>
      <c r="K1971" t="str">
        <f>VLOOKUP(Table1[[#This Row],[Loser]],Ranking!C:D,2,FALSE)</f>
        <v>Amer</v>
      </c>
      <c r="L1971" s="1">
        <v>70</v>
      </c>
      <c r="N1971" s="1">
        <f>Table1[[#This Row],[Winning Score]]-Table1[[#This Row],[Losing Score]]</f>
        <v>11</v>
      </c>
      <c r="O1971" s="1">
        <f>Table1[[#This Row],[Losing Seed]]-Table1[[#This Row],[Winning Seed]]</f>
        <v>4</v>
      </c>
      <c r="P1971" s="1" t="str">
        <f>IF(Table1[[#This Row],[SeD]]&lt;-2,Table1[[#This Row],[Winning Seed]]&amp; " over " &amp;Table1[[#This Row],[Losing Seed]],"")</f>
        <v/>
      </c>
      <c r="Q1971">
        <f>VLOOKUP(Table1[[#This Row],[Losing Seed]],'Seed History'!$N$4:$O$19,2)</f>
        <v>0.90277777777777779</v>
      </c>
      <c r="R1971" s="1">
        <f>IF(Table1[[#This Row],[Round]]="PI",0,Table1[[#This Row],[Round]]-1)</f>
        <v>2</v>
      </c>
      <c r="S1971">
        <f>Table1[[#This Row],[LAW]]-Table1[[#This Row],[LEW]]</f>
        <v>1.0972222222222223</v>
      </c>
    </row>
    <row r="1972" spans="1:19" x14ac:dyDescent="0.25">
      <c r="A1972" s="66">
        <v>42089</v>
      </c>
      <c r="B1972" s="51">
        <f>YEAR(Table1[[#This Row],[Date]])</f>
        <v>2015</v>
      </c>
      <c r="C1972" s="1">
        <v>3</v>
      </c>
      <c r="D1972" t="s">
        <v>38</v>
      </c>
      <c r="E1972" s="1">
        <v>1</v>
      </c>
      <c r="F1972" t="s">
        <v>39</v>
      </c>
      <c r="G1972" t="str">
        <f>VLOOKUP(Table1[[#This Row],[Winner]],Ranking!C:D,2,FALSE)</f>
        <v>B10</v>
      </c>
      <c r="H1972" s="1">
        <v>79</v>
      </c>
      <c r="I1972" s="1">
        <v>4</v>
      </c>
      <c r="J1972" t="s">
        <v>298</v>
      </c>
      <c r="K1972" t="str">
        <f>VLOOKUP(Table1[[#This Row],[Loser]],Ranking!C:D,2,FALSE)</f>
        <v>ACC</v>
      </c>
      <c r="L1972" s="1">
        <v>72</v>
      </c>
      <c r="N1972" s="1">
        <f>Table1[[#This Row],[Winning Score]]-Table1[[#This Row],[Losing Score]]</f>
        <v>7</v>
      </c>
      <c r="O1972" s="1">
        <f>Table1[[#This Row],[Losing Seed]]-Table1[[#This Row],[Winning Seed]]</f>
        <v>3</v>
      </c>
      <c r="P1972" s="1" t="str">
        <f>IF(Table1[[#This Row],[SeD]]&lt;-2,Table1[[#This Row],[Winning Seed]]&amp; " over " &amp;Table1[[#This Row],[Losing Seed]],"")</f>
        <v/>
      </c>
      <c r="Q1972">
        <f>VLOOKUP(Table1[[#This Row],[Losing Seed]],'Seed History'!$N$4:$O$19,2)</f>
        <v>1.5208333333333333</v>
      </c>
      <c r="R1972" s="1">
        <f>IF(Table1[[#This Row],[Round]]="PI",0,Table1[[#This Row],[Round]]-1)</f>
        <v>2</v>
      </c>
      <c r="S1972">
        <f>Table1[[#This Row],[LAW]]-Table1[[#This Row],[LEW]]</f>
        <v>0.47916666666666674</v>
      </c>
    </row>
    <row r="1973" spans="1:19" x14ac:dyDescent="0.25">
      <c r="A1973" s="66">
        <v>42089</v>
      </c>
      <c r="B1973" s="51">
        <f>YEAR(Table1[[#This Row],[Date]])</f>
        <v>2015</v>
      </c>
      <c r="C1973" s="1">
        <v>3</v>
      </c>
      <c r="D1973" t="s">
        <v>38</v>
      </c>
      <c r="E1973" s="1">
        <v>2</v>
      </c>
      <c r="F1973" t="s">
        <v>48</v>
      </c>
      <c r="G1973" t="str">
        <f>VLOOKUP(Table1[[#This Row],[Winner]],Ranking!C:D,2,FALSE)</f>
        <v>P12</v>
      </c>
      <c r="H1973" s="1">
        <v>68</v>
      </c>
      <c r="I1973" s="1">
        <v>6</v>
      </c>
      <c r="J1973" t="s">
        <v>44</v>
      </c>
      <c r="K1973" t="str">
        <f>VLOOKUP(Table1[[#This Row],[Loser]],Ranking!C:D,2,FALSE)</f>
        <v>BE</v>
      </c>
      <c r="L1973" s="1">
        <v>60</v>
      </c>
      <c r="N1973" s="1">
        <f>Table1[[#This Row],[Winning Score]]-Table1[[#This Row],[Losing Score]]</f>
        <v>8</v>
      </c>
      <c r="O1973" s="1">
        <f>Table1[[#This Row],[Losing Seed]]-Table1[[#This Row],[Winning Seed]]</f>
        <v>4</v>
      </c>
      <c r="P1973" s="1" t="str">
        <f>IF(Table1[[#This Row],[SeD]]&lt;-2,Table1[[#This Row],[Winning Seed]]&amp; " over " &amp;Table1[[#This Row],[Losing Seed]],"")</f>
        <v/>
      </c>
      <c r="Q1973">
        <f>VLOOKUP(Table1[[#This Row],[Losing Seed]],'Seed History'!$N$4:$O$19,2)</f>
        <v>1.0625</v>
      </c>
      <c r="R1973" s="1">
        <f>IF(Table1[[#This Row],[Round]]="PI",0,Table1[[#This Row],[Round]]-1)</f>
        <v>2</v>
      </c>
      <c r="S1973">
        <f>Table1[[#This Row],[LAW]]-Table1[[#This Row],[LEW]]</f>
        <v>0.9375</v>
      </c>
    </row>
    <row r="1974" spans="1:19" x14ac:dyDescent="0.25">
      <c r="A1974" s="66">
        <v>42090</v>
      </c>
      <c r="B1974" s="51">
        <f>YEAR(Table1[[#This Row],[Date]])</f>
        <v>2015</v>
      </c>
      <c r="C1974" s="1">
        <v>3</v>
      </c>
      <c r="D1974" t="s">
        <v>49</v>
      </c>
      <c r="E1974" s="1">
        <v>7</v>
      </c>
      <c r="F1974" t="s">
        <v>271</v>
      </c>
      <c r="G1974" t="str">
        <f>VLOOKUP(Table1[[#This Row],[Winner]],Ranking!C:D,2,FALSE)</f>
        <v>B10</v>
      </c>
      <c r="H1974" s="1">
        <v>62</v>
      </c>
      <c r="I1974" s="1">
        <v>3</v>
      </c>
      <c r="J1974" t="s">
        <v>58</v>
      </c>
      <c r="K1974" t="str">
        <f>VLOOKUP(Table1[[#This Row],[Loser]],Ranking!C:D,2,FALSE)</f>
        <v>B12</v>
      </c>
      <c r="L1974" s="1">
        <v>58</v>
      </c>
      <c r="N1974" s="1">
        <f>Table1[[#This Row],[Winning Score]]-Table1[[#This Row],[Losing Score]]</f>
        <v>4</v>
      </c>
      <c r="O1974" s="1">
        <f>Table1[[#This Row],[Losing Seed]]-Table1[[#This Row],[Winning Seed]]</f>
        <v>-4</v>
      </c>
      <c r="P1974" s="1" t="str">
        <f>IF(Table1[[#This Row],[SeD]]&lt;-2,Table1[[#This Row],[Winning Seed]]&amp; " over " &amp;Table1[[#This Row],[Losing Seed]],"")</f>
        <v>7 over 3</v>
      </c>
      <c r="Q1974">
        <f>VLOOKUP(Table1[[#This Row],[Losing Seed]],'Seed History'!$N$4:$O$19,2)</f>
        <v>1.8472222222222223</v>
      </c>
      <c r="R1974" s="1">
        <f>IF(Table1[[#This Row],[Round]]="PI",0,Table1[[#This Row],[Round]]-1)</f>
        <v>2</v>
      </c>
      <c r="S1974">
        <f>Table1[[#This Row],[LAW]]-Table1[[#This Row],[LEW]]</f>
        <v>0.15277777777777768</v>
      </c>
    </row>
    <row r="1975" spans="1:19" x14ac:dyDescent="0.25">
      <c r="A1975" s="66">
        <v>42090</v>
      </c>
      <c r="B1975" s="51">
        <f>YEAR(Table1[[#This Row],[Date]])</f>
        <v>2015</v>
      </c>
      <c r="C1975" s="1">
        <v>3</v>
      </c>
      <c r="D1975" t="s">
        <v>49</v>
      </c>
      <c r="E1975" s="1">
        <v>4</v>
      </c>
      <c r="F1975" t="s">
        <v>54</v>
      </c>
      <c r="G1975" t="str">
        <f>VLOOKUP(Table1[[#This Row],[Winner]],Ranking!C:D,2,FALSE)</f>
        <v>ACC</v>
      </c>
      <c r="H1975" s="1">
        <v>75</v>
      </c>
      <c r="I1975" s="1">
        <v>8</v>
      </c>
      <c r="J1975" t="s">
        <v>301</v>
      </c>
      <c r="K1975" t="e">
        <f>VLOOKUP(Table1[[#This Row],[Loser]],Ranking!C:D,2,FALSE)</f>
        <v>#N/A</v>
      </c>
      <c r="L1975" s="1">
        <v>65</v>
      </c>
      <c r="N1975" s="1">
        <f>Table1[[#This Row],[Winning Score]]-Table1[[#This Row],[Losing Score]]</f>
        <v>10</v>
      </c>
      <c r="O1975" s="1">
        <f>Table1[[#This Row],[Losing Seed]]-Table1[[#This Row],[Winning Seed]]</f>
        <v>4</v>
      </c>
      <c r="P1975" s="1" t="str">
        <f>IF(Table1[[#This Row],[SeD]]&lt;-2,Table1[[#This Row],[Winning Seed]]&amp; " over " &amp;Table1[[#This Row],[Losing Seed]],"")</f>
        <v/>
      </c>
      <c r="Q1975">
        <f>VLOOKUP(Table1[[#This Row],[Losing Seed]],'Seed History'!$N$4:$O$19,2)</f>
        <v>0.70833333333333337</v>
      </c>
      <c r="R1975" s="1">
        <f>IF(Table1[[#This Row],[Round]]="PI",0,Table1[[#This Row],[Round]]-1)</f>
        <v>2</v>
      </c>
      <c r="S1975">
        <f>Table1[[#This Row],[LAW]]-Table1[[#This Row],[LEW]]</f>
        <v>1.2916666666666665</v>
      </c>
    </row>
    <row r="1976" spans="1:19" x14ac:dyDescent="0.25">
      <c r="A1976" s="66">
        <v>42090</v>
      </c>
      <c r="B1976" s="51">
        <f>YEAR(Table1[[#This Row],[Date]])</f>
        <v>2015</v>
      </c>
      <c r="C1976" s="1">
        <v>3</v>
      </c>
      <c r="D1976" t="s">
        <v>63</v>
      </c>
      <c r="E1976" s="1">
        <v>1</v>
      </c>
      <c r="F1976" t="s">
        <v>64</v>
      </c>
      <c r="G1976" t="str">
        <f>VLOOKUP(Table1[[#This Row],[Winner]],Ranking!C:D,2,FALSE)</f>
        <v>ACC</v>
      </c>
      <c r="H1976" s="1">
        <v>63</v>
      </c>
      <c r="I1976" s="1">
        <v>5</v>
      </c>
      <c r="J1976" t="s">
        <v>65</v>
      </c>
      <c r="K1976" t="str">
        <f>VLOOKUP(Table1[[#This Row],[Loser]],Ranking!C:D,2,FALSE)</f>
        <v>P12</v>
      </c>
      <c r="L1976" s="1">
        <v>57</v>
      </c>
      <c r="N1976" s="1">
        <f>Table1[[#This Row],[Winning Score]]-Table1[[#This Row],[Losing Score]]</f>
        <v>6</v>
      </c>
      <c r="O1976" s="1">
        <f>Table1[[#This Row],[Losing Seed]]-Table1[[#This Row],[Winning Seed]]</f>
        <v>4</v>
      </c>
      <c r="P1976" s="1" t="str">
        <f>IF(Table1[[#This Row],[SeD]]&lt;-2,Table1[[#This Row],[Winning Seed]]&amp; " over " &amp;Table1[[#This Row],[Losing Seed]],"")</f>
        <v/>
      </c>
      <c r="Q1976">
        <f>VLOOKUP(Table1[[#This Row],[Losing Seed]],'Seed History'!$N$4:$O$19,2)</f>
        <v>1.1180555555555556</v>
      </c>
      <c r="R1976" s="1">
        <f>IF(Table1[[#This Row],[Round]]="PI",0,Table1[[#This Row],[Round]]-1)</f>
        <v>2</v>
      </c>
      <c r="S1976">
        <f>Table1[[#This Row],[LAW]]-Table1[[#This Row],[LEW]]</f>
        <v>0.88194444444444442</v>
      </c>
    </row>
    <row r="1977" spans="1:19" x14ac:dyDescent="0.25">
      <c r="A1977" s="66">
        <v>42090</v>
      </c>
      <c r="B1977" s="51">
        <f>YEAR(Table1[[#This Row],[Date]])</f>
        <v>2015</v>
      </c>
      <c r="C1977" s="1">
        <v>3</v>
      </c>
      <c r="D1977" t="s">
        <v>63</v>
      </c>
      <c r="E1977" s="1">
        <v>2</v>
      </c>
      <c r="F1977" t="s">
        <v>71</v>
      </c>
      <c r="G1977" t="str">
        <f>VLOOKUP(Table1[[#This Row],[Winner]],Ranking!C:D,2,FALSE)</f>
        <v>WCC</v>
      </c>
      <c r="H1977" s="1">
        <v>74</v>
      </c>
      <c r="I1977" s="1">
        <v>11</v>
      </c>
      <c r="J1977" t="s">
        <v>67</v>
      </c>
      <c r="K1977" t="str">
        <f>VLOOKUP(Table1[[#This Row],[Loser]],Ranking!C:D,2,FALSE)</f>
        <v>P12</v>
      </c>
      <c r="L1977" s="1">
        <v>62</v>
      </c>
      <c r="N1977" s="1">
        <f>Table1[[#This Row],[Winning Score]]-Table1[[#This Row],[Losing Score]]</f>
        <v>12</v>
      </c>
      <c r="O1977" s="1">
        <f>Table1[[#This Row],[Losing Seed]]-Table1[[#This Row],[Winning Seed]]</f>
        <v>9</v>
      </c>
      <c r="P1977" s="1" t="str">
        <f>IF(Table1[[#This Row],[SeD]]&lt;-2,Table1[[#This Row],[Winning Seed]]&amp; " over " &amp;Table1[[#This Row],[Losing Seed]],"")</f>
        <v/>
      </c>
      <c r="Q1977">
        <f>VLOOKUP(Table1[[#This Row],[Losing Seed]],'Seed History'!$N$4:$O$19,2)</f>
        <v>0.63194444444444442</v>
      </c>
      <c r="R1977" s="1">
        <f>IF(Table1[[#This Row],[Round]]="PI",0,Table1[[#This Row],[Round]]-1)</f>
        <v>2</v>
      </c>
      <c r="S1977">
        <f>Table1[[#This Row],[LAW]]-Table1[[#This Row],[LEW]]</f>
        <v>1.3680555555555556</v>
      </c>
    </row>
    <row r="1978" spans="1:19" x14ac:dyDescent="0.25">
      <c r="A1978" s="66">
        <v>42091</v>
      </c>
      <c r="B1978" s="51">
        <f>YEAR(Table1[[#This Row],[Date]])</f>
        <v>2015</v>
      </c>
      <c r="C1978" s="1">
        <v>4</v>
      </c>
      <c r="D1978" t="s">
        <v>439</v>
      </c>
      <c r="E1978" s="1">
        <v>1</v>
      </c>
      <c r="F1978" t="s">
        <v>26</v>
      </c>
      <c r="G1978" t="str">
        <f>VLOOKUP(Table1[[#This Row],[Winner]],Ranking!C:D,2,FALSE)</f>
        <v>SEC</v>
      </c>
      <c r="H1978" s="1">
        <v>68</v>
      </c>
      <c r="I1978" s="1">
        <v>3</v>
      </c>
      <c r="J1978" t="s">
        <v>35</v>
      </c>
      <c r="K1978" t="str">
        <f>VLOOKUP(Table1[[#This Row],[Loser]],Ranking!C:D,2,FALSE)</f>
        <v>ACC</v>
      </c>
      <c r="L1978" s="1">
        <v>66</v>
      </c>
      <c r="N1978" s="1">
        <f>Table1[[#This Row],[Winning Score]]-Table1[[#This Row],[Losing Score]]</f>
        <v>2</v>
      </c>
      <c r="O1978" s="1">
        <f>Table1[[#This Row],[Losing Seed]]-Table1[[#This Row],[Winning Seed]]</f>
        <v>2</v>
      </c>
      <c r="P1978" s="1" t="str">
        <f>IF(Table1[[#This Row],[SeD]]&lt;-2,Table1[[#This Row],[Winning Seed]]&amp; " over " &amp;Table1[[#This Row],[Losing Seed]],"")</f>
        <v/>
      </c>
      <c r="Q1978">
        <f>VLOOKUP(Table1[[#This Row],[Losing Seed]],'Seed History'!$N$4:$O$19,2)</f>
        <v>1.8472222222222223</v>
      </c>
      <c r="R1978" s="1">
        <f>IF(Table1[[#This Row],[Round]]="PI",0,Table1[[#This Row],[Round]]-1)</f>
        <v>3</v>
      </c>
      <c r="S1978">
        <f>Table1[[#This Row],[LAW]]-Table1[[#This Row],[LEW]]</f>
        <v>1.1527777777777777</v>
      </c>
    </row>
    <row r="1979" spans="1:19" x14ac:dyDescent="0.25">
      <c r="A1979" s="66">
        <v>42091</v>
      </c>
      <c r="B1979" s="51">
        <f>YEAR(Table1[[#This Row],[Date]])</f>
        <v>2015</v>
      </c>
      <c r="C1979" s="1">
        <v>4</v>
      </c>
      <c r="D1979" t="s">
        <v>38</v>
      </c>
      <c r="E1979" s="1">
        <v>1</v>
      </c>
      <c r="F1979" t="s">
        <v>39</v>
      </c>
      <c r="G1979" t="str">
        <f>VLOOKUP(Table1[[#This Row],[Winner]],Ranking!C:D,2,FALSE)</f>
        <v>B10</v>
      </c>
      <c r="H1979" s="1">
        <v>85</v>
      </c>
      <c r="I1979" s="1">
        <v>2</v>
      </c>
      <c r="J1979" t="s">
        <v>48</v>
      </c>
      <c r="K1979" t="str">
        <f>VLOOKUP(Table1[[#This Row],[Loser]],Ranking!C:D,2,FALSE)</f>
        <v>P12</v>
      </c>
      <c r="L1979" s="1">
        <v>78</v>
      </c>
      <c r="N1979" s="1">
        <f>Table1[[#This Row],[Winning Score]]-Table1[[#This Row],[Losing Score]]</f>
        <v>7</v>
      </c>
      <c r="O1979" s="1">
        <f>Table1[[#This Row],[Losing Seed]]-Table1[[#This Row],[Winning Seed]]</f>
        <v>1</v>
      </c>
      <c r="P1979" s="1" t="str">
        <f>IF(Table1[[#This Row],[SeD]]&lt;-2,Table1[[#This Row],[Winning Seed]]&amp; " over " &amp;Table1[[#This Row],[Losing Seed]],"")</f>
        <v/>
      </c>
      <c r="Q1979">
        <f>VLOOKUP(Table1[[#This Row],[Losing Seed]],'Seed History'!$N$4:$O$19,2)</f>
        <v>2.3472222222222223</v>
      </c>
      <c r="R1979" s="1">
        <f>IF(Table1[[#This Row],[Round]]="PI",0,Table1[[#This Row],[Round]]-1)</f>
        <v>3</v>
      </c>
      <c r="S1979">
        <f>Table1[[#This Row],[LAW]]-Table1[[#This Row],[LEW]]</f>
        <v>0.65277777777777768</v>
      </c>
    </row>
    <row r="1980" spans="1:19" x14ac:dyDescent="0.25">
      <c r="A1980" s="66">
        <v>42092</v>
      </c>
      <c r="B1980" s="51">
        <f>YEAR(Table1[[#This Row],[Date]])</f>
        <v>2015</v>
      </c>
      <c r="C1980" s="1">
        <v>4</v>
      </c>
      <c r="D1980" t="s">
        <v>49</v>
      </c>
      <c r="E1980" s="1">
        <v>7</v>
      </c>
      <c r="F1980" t="s">
        <v>271</v>
      </c>
      <c r="G1980" t="str">
        <f>VLOOKUP(Table1[[#This Row],[Winner]],Ranking!C:D,2,FALSE)</f>
        <v>B10</v>
      </c>
      <c r="H1980" s="1">
        <v>76</v>
      </c>
      <c r="I1980" s="1">
        <v>4</v>
      </c>
      <c r="J1980" t="s">
        <v>54</v>
      </c>
      <c r="K1980" t="str">
        <f>VLOOKUP(Table1[[#This Row],[Loser]],Ranking!C:D,2,FALSE)</f>
        <v>ACC</v>
      </c>
      <c r="L1980" s="1">
        <v>70</v>
      </c>
      <c r="M1980" s="1" t="s">
        <v>462</v>
      </c>
      <c r="N1980" s="1">
        <f>Table1[[#This Row],[Winning Score]]-Table1[[#This Row],[Losing Score]]</f>
        <v>6</v>
      </c>
      <c r="O1980" s="1">
        <f>Table1[[#This Row],[Losing Seed]]-Table1[[#This Row],[Winning Seed]]</f>
        <v>-3</v>
      </c>
      <c r="P1980" s="1" t="str">
        <f>IF(Table1[[#This Row],[SeD]]&lt;-2,Table1[[#This Row],[Winning Seed]]&amp; " over " &amp;Table1[[#This Row],[Losing Seed]],"")</f>
        <v>7 over 4</v>
      </c>
      <c r="Q1980">
        <f>VLOOKUP(Table1[[#This Row],[Losing Seed]],'Seed History'!$N$4:$O$19,2)</f>
        <v>1.5208333333333333</v>
      </c>
      <c r="R1980" s="1">
        <f>IF(Table1[[#This Row],[Round]]="PI",0,Table1[[#This Row],[Round]]-1)</f>
        <v>3</v>
      </c>
      <c r="S1980">
        <f>Table1[[#This Row],[LAW]]-Table1[[#This Row],[LEW]]</f>
        <v>1.4791666666666667</v>
      </c>
    </row>
    <row r="1981" spans="1:19" x14ac:dyDescent="0.25">
      <c r="A1981" s="66">
        <v>42092</v>
      </c>
      <c r="B1981" s="51">
        <f>YEAR(Table1[[#This Row],[Date]])</f>
        <v>2015</v>
      </c>
      <c r="C1981" s="1">
        <v>4</v>
      </c>
      <c r="D1981" t="s">
        <v>63</v>
      </c>
      <c r="E1981" s="1">
        <v>1</v>
      </c>
      <c r="F1981" t="s">
        <v>64</v>
      </c>
      <c r="G1981" t="str">
        <f>VLOOKUP(Table1[[#This Row],[Winner]],Ranking!C:D,2,FALSE)</f>
        <v>ACC</v>
      </c>
      <c r="H1981" s="1">
        <v>66</v>
      </c>
      <c r="I1981" s="1">
        <v>2</v>
      </c>
      <c r="J1981" t="s">
        <v>71</v>
      </c>
      <c r="K1981" t="str">
        <f>VLOOKUP(Table1[[#This Row],[Loser]],Ranking!C:D,2,FALSE)</f>
        <v>WCC</v>
      </c>
      <c r="L1981" s="1">
        <v>52</v>
      </c>
      <c r="N1981" s="1">
        <f>Table1[[#This Row],[Winning Score]]-Table1[[#This Row],[Losing Score]]</f>
        <v>14</v>
      </c>
      <c r="O1981" s="1">
        <f>Table1[[#This Row],[Losing Seed]]-Table1[[#This Row],[Winning Seed]]</f>
        <v>1</v>
      </c>
      <c r="P1981" s="1" t="str">
        <f>IF(Table1[[#This Row],[SeD]]&lt;-2,Table1[[#This Row],[Winning Seed]]&amp; " over " &amp;Table1[[#This Row],[Losing Seed]],"")</f>
        <v/>
      </c>
      <c r="Q1981">
        <f>VLOOKUP(Table1[[#This Row],[Losing Seed]],'Seed History'!$N$4:$O$19,2)</f>
        <v>2.3472222222222223</v>
      </c>
      <c r="R1981" s="1">
        <f>IF(Table1[[#This Row],[Round]]="PI",0,Table1[[#This Row],[Round]]-1)</f>
        <v>3</v>
      </c>
      <c r="S1981">
        <f>Table1[[#This Row],[LAW]]-Table1[[#This Row],[LEW]]</f>
        <v>0.65277777777777768</v>
      </c>
    </row>
    <row r="1982" spans="1:19" x14ac:dyDescent="0.25">
      <c r="A1982" s="66">
        <v>42098</v>
      </c>
      <c r="B1982" s="51">
        <f>YEAR(Table1[[#This Row],[Date]])</f>
        <v>2015</v>
      </c>
      <c r="C1982" s="1">
        <v>5</v>
      </c>
      <c r="D1982" t="s">
        <v>467</v>
      </c>
      <c r="E1982" s="1">
        <v>1</v>
      </c>
      <c r="F1982" t="s">
        <v>64</v>
      </c>
      <c r="G1982" t="str">
        <f>VLOOKUP(Table1[[#This Row],[Winner]],Ranking!C:D,2,FALSE)</f>
        <v>ACC</v>
      </c>
      <c r="H1982" s="1">
        <v>81</v>
      </c>
      <c r="I1982" s="1">
        <v>7</v>
      </c>
      <c r="J1982" t="s">
        <v>271</v>
      </c>
      <c r="K1982" t="str">
        <f>VLOOKUP(Table1[[#This Row],[Loser]],Ranking!C:D,2,FALSE)</f>
        <v>B10</v>
      </c>
      <c r="L1982" s="1">
        <v>61</v>
      </c>
      <c r="N1982" s="1">
        <f>Table1[[#This Row],[Winning Score]]-Table1[[#This Row],[Losing Score]]</f>
        <v>20</v>
      </c>
      <c r="O1982" s="1">
        <f>Table1[[#This Row],[Losing Seed]]-Table1[[#This Row],[Winning Seed]]</f>
        <v>6</v>
      </c>
      <c r="P1982" s="1" t="str">
        <f>IF(Table1[[#This Row],[SeD]]&lt;-2,Table1[[#This Row],[Winning Seed]]&amp; " over " &amp;Table1[[#This Row],[Losing Seed]],"")</f>
        <v/>
      </c>
      <c r="Q1982">
        <f>VLOOKUP(Table1[[#This Row],[Losing Seed]],'Seed History'!$N$4:$O$19,2)</f>
        <v>0.90277777777777779</v>
      </c>
      <c r="R1982" s="1">
        <f>IF(Table1[[#This Row],[Round]]="PI",0,Table1[[#This Row],[Round]]-1)</f>
        <v>4</v>
      </c>
      <c r="S1982">
        <f>Table1[[#This Row],[LAW]]-Table1[[#This Row],[LEW]]</f>
        <v>3.0972222222222223</v>
      </c>
    </row>
    <row r="1983" spans="1:19" x14ac:dyDescent="0.25">
      <c r="A1983" s="66">
        <v>42098</v>
      </c>
      <c r="B1983" s="51">
        <f>YEAR(Table1[[#This Row],[Date]])</f>
        <v>2015</v>
      </c>
      <c r="C1983" s="1">
        <v>5</v>
      </c>
      <c r="D1983" t="s">
        <v>467</v>
      </c>
      <c r="E1983" s="1">
        <v>1</v>
      </c>
      <c r="F1983" t="s">
        <v>39</v>
      </c>
      <c r="G1983" t="str">
        <f>VLOOKUP(Table1[[#This Row],[Winner]],Ranking!C:D,2,FALSE)</f>
        <v>B10</v>
      </c>
      <c r="H1983" s="1">
        <v>71</v>
      </c>
      <c r="I1983" s="1">
        <v>1</v>
      </c>
      <c r="J1983" t="s">
        <v>26</v>
      </c>
      <c r="K1983" t="str">
        <f>VLOOKUP(Table1[[#This Row],[Loser]],Ranking!C:D,2,FALSE)</f>
        <v>SEC</v>
      </c>
      <c r="L1983" s="1">
        <v>64</v>
      </c>
      <c r="N1983" s="1">
        <f>Table1[[#This Row],[Winning Score]]-Table1[[#This Row],[Losing Score]]</f>
        <v>7</v>
      </c>
      <c r="O1983" s="1">
        <f>Table1[[#This Row],[Losing Seed]]-Table1[[#This Row],[Winning Seed]]</f>
        <v>0</v>
      </c>
      <c r="P1983" s="1" t="str">
        <f>IF(Table1[[#This Row],[SeD]]&lt;-2,Table1[[#This Row],[Winning Seed]]&amp; " over " &amp;Table1[[#This Row],[Losing Seed]],"")</f>
        <v/>
      </c>
      <c r="Q1983">
        <f>VLOOKUP(Table1[[#This Row],[Losing Seed]],'Seed History'!$N$4:$O$19,2)</f>
        <v>3.3263888888888888</v>
      </c>
      <c r="R1983" s="1">
        <f>IF(Table1[[#This Row],[Round]]="PI",0,Table1[[#This Row],[Round]]-1)</f>
        <v>4</v>
      </c>
      <c r="S1983">
        <f>Table1[[#This Row],[LAW]]-Table1[[#This Row],[LEW]]</f>
        <v>0.67361111111111116</v>
      </c>
    </row>
    <row r="1984" spans="1:19" x14ac:dyDescent="0.25">
      <c r="A1984" s="66">
        <v>42100</v>
      </c>
      <c r="B1984" s="51">
        <f>YEAR(Table1[[#This Row],[Date]])</f>
        <v>2015</v>
      </c>
      <c r="C1984" s="1">
        <v>6</v>
      </c>
      <c r="D1984" t="s">
        <v>468</v>
      </c>
      <c r="E1984" s="1">
        <v>1</v>
      </c>
      <c r="F1984" t="s">
        <v>64</v>
      </c>
      <c r="G1984" t="str">
        <f>VLOOKUP(Table1[[#This Row],[Winner]],Ranking!C:D,2,FALSE)</f>
        <v>ACC</v>
      </c>
      <c r="H1984" s="1">
        <v>68</v>
      </c>
      <c r="I1984" s="1">
        <v>1</v>
      </c>
      <c r="J1984" t="s">
        <v>39</v>
      </c>
      <c r="K1984" t="str">
        <f>VLOOKUP(Table1[[#This Row],[Loser]],Ranking!C:D,2,FALSE)</f>
        <v>B10</v>
      </c>
      <c r="L1984" s="1">
        <v>63</v>
      </c>
      <c r="N1984" s="1">
        <f>Table1[[#This Row],[Winning Score]]-Table1[[#This Row],[Losing Score]]</f>
        <v>5</v>
      </c>
      <c r="O1984" s="1">
        <f>Table1[[#This Row],[Losing Seed]]-Table1[[#This Row],[Winning Seed]]</f>
        <v>0</v>
      </c>
      <c r="P1984" s="1" t="str">
        <f>IF(Table1[[#This Row],[SeD]]&lt;-2,Table1[[#This Row],[Winning Seed]]&amp; " over " &amp;Table1[[#This Row],[Losing Seed]],"")</f>
        <v/>
      </c>
      <c r="Q1984">
        <f>VLOOKUP(Table1[[#This Row],[Losing Seed]],'Seed History'!$N$4:$O$19,2)</f>
        <v>3.3263888888888888</v>
      </c>
      <c r="R1984" s="1">
        <f>IF(Table1[[#This Row],[Round]]="PI",0,Table1[[#This Row],[Round]]-1)</f>
        <v>5</v>
      </c>
      <c r="S1984">
        <f>Table1[[#This Row],[LAW]]-Table1[[#This Row],[LEW]]</f>
        <v>1.6736111111111112</v>
      </c>
    </row>
    <row r="1985" spans="1:19" x14ac:dyDescent="0.25">
      <c r="A1985" s="66">
        <v>42444</v>
      </c>
      <c r="B1985" s="51">
        <f>YEAR(Table1[[#This Row],[Date]])</f>
        <v>2016</v>
      </c>
      <c r="C1985" s="1" t="s">
        <v>476</v>
      </c>
      <c r="D1985" t="s">
        <v>49</v>
      </c>
      <c r="E1985" s="1">
        <v>16</v>
      </c>
      <c r="F1985" t="s">
        <v>205</v>
      </c>
      <c r="G1985" t="str">
        <f>VLOOKUP(Table1[[#This Row],[Winner]],Ranking!C:D,2,FALSE)</f>
        <v>ASun</v>
      </c>
      <c r="H1985" s="1">
        <v>96</v>
      </c>
      <c r="I1985" s="1">
        <v>16</v>
      </c>
      <c r="J1985" t="s">
        <v>201</v>
      </c>
      <c r="K1985" t="str">
        <f>VLOOKUP(Table1[[#This Row],[Loser]],Ranking!C:D,2,FALSE)</f>
        <v>NEC</v>
      </c>
      <c r="L1985" s="1">
        <v>65</v>
      </c>
      <c r="N1985" s="1">
        <f>Table1[[#This Row],[Winning Score]]-Table1[[#This Row],[Losing Score]]</f>
        <v>31</v>
      </c>
      <c r="O1985" s="1">
        <f>Table1[[#This Row],[Losing Seed]]-Table1[[#This Row],[Winning Seed]]</f>
        <v>0</v>
      </c>
      <c r="P1985" s="1" t="str">
        <f>IF(Table1[[#This Row],[SeD]]&lt;-2,Table1[[#This Row],[Winning Seed]]&amp; " over " &amp;Table1[[#This Row],[Losing Seed]],"")</f>
        <v/>
      </c>
      <c r="Q1985">
        <f>VLOOKUP(Table1[[#This Row],[Losing Seed]],'Seed History'!$N$4:$O$19,2)</f>
        <v>6.9444444444444441E-3</v>
      </c>
      <c r="R1985" s="1">
        <f>IF(Table1[[#This Row],[Round]]="PI",0,Table1[[#This Row],[Round]]-1)</f>
        <v>0</v>
      </c>
      <c r="S1985">
        <f>Table1[[#This Row],[LAW]]-Table1[[#This Row],[LEW]]</f>
        <v>-6.9444444444444441E-3</v>
      </c>
    </row>
    <row r="1986" spans="1:19" x14ac:dyDescent="0.25">
      <c r="A1986" s="66">
        <v>42444</v>
      </c>
      <c r="B1986" s="51">
        <f>YEAR(Table1[[#This Row],[Date]])</f>
        <v>2016</v>
      </c>
      <c r="C1986" s="1" t="s">
        <v>476</v>
      </c>
      <c r="D1986" t="s">
        <v>63</v>
      </c>
      <c r="E1986" s="1">
        <v>11</v>
      </c>
      <c r="F1986" t="s">
        <v>417</v>
      </c>
      <c r="G1986" t="str">
        <f>VLOOKUP(Table1[[#This Row],[Winner]],Ranking!C:D,2,FALSE)</f>
        <v>Amer</v>
      </c>
      <c r="H1986" s="1">
        <v>70</v>
      </c>
      <c r="I1986" s="1">
        <v>11</v>
      </c>
      <c r="J1986" t="s">
        <v>78</v>
      </c>
      <c r="K1986" t="str">
        <f>VLOOKUP(Table1[[#This Row],[Loser]],Ranking!C:D,2,FALSE)</f>
        <v>SEC</v>
      </c>
      <c r="L1986" s="1">
        <v>50</v>
      </c>
      <c r="N1986" s="1">
        <f>Table1[[#This Row],[Winning Score]]-Table1[[#This Row],[Losing Score]]</f>
        <v>20</v>
      </c>
      <c r="O1986" s="1">
        <f>Table1[[#This Row],[Losing Seed]]-Table1[[#This Row],[Winning Seed]]</f>
        <v>0</v>
      </c>
      <c r="P1986" s="1" t="str">
        <f>IF(Table1[[#This Row],[SeD]]&lt;-2,Table1[[#This Row],[Winning Seed]]&amp; " over " &amp;Table1[[#This Row],[Losing Seed]],"")</f>
        <v/>
      </c>
      <c r="Q1986">
        <f>VLOOKUP(Table1[[#This Row],[Losing Seed]],'Seed History'!$N$4:$O$19,2)</f>
        <v>0.63194444444444442</v>
      </c>
      <c r="R1986" s="1">
        <f>IF(Table1[[#This Row],[Round]]="PI",0,Table1[[#This Row],[Round]]-1)</f>
        <v>0</v>
      </c>
      <c r="S1986">
        <f>Table1[[#This Row],[LAW]]-Table1[[#This Row],[LEW]]</f>
        <v>-0.63194444444444442</v>
      </c>
    </row>
    <row r="1987" spans="1:19" x14ac:dyDescent="0.25">
      <c r="A1987" s="66">
        <v>42445</v>
      </c>
      <c r="B1987" s="51">
        <f>YEAR(Table1[[#This Row],[Date]])</f>
        <v>2016</v>
      </c>
      <c r="C1987" s="1" t="s">
        <v>476</v>
      </c>
      <c r="D1987" t="s">
        <v>49</v>
      </c>
      <c r="E1987" s="1">
        <v>11</v>
      </c>
      <c r="F1987" t="s">
        <v>82</v>
      </c>
      <c r="G1987" t="str">
        <f>VLOOKUP(Table1[[#This Row],[Winner]],Ranking!C:D,2,FALSE)</f>
        <v>B10</v>
      </c>
      <c r="H1987" s="1">
        <v>67</v>
      </c>
      <c r="I1987" s="1">
        <v>11</v>
      </c>
      <c r="J1987" t="s">
        <v>94</v>
      </c>
      <c r="K1987" t="str">
        <f>VLOOKUP(Table1[[#This Row],[Loser]],Ranking!C:D,2,FALSE)</f>
        <v>Amer</v>
      </c>
      <c r="L1987" s="1">
        <v>62</v>
      </c>
      <c r="N1987" s="1">
        <f>Table1[[#This Row],[Winning Score]]-Table1[[#This Row],[Losing Score]]</f>
        <v>5</v>
      </c>
      <c r="O1987" s="1">
        <f>Table1[[#This Row],[Losing Seed]]-Table1[[#This Row],[Winning Seed]]</f>
        <v>0</v>
      </c>
      <c r="P1987" s="1" t="str">
        <f>IF(Table1[[#This Row],[SeD]]&lt;-2,Table1[[#This Row],[Winning Seed]]&amp; " over " &amp;Table1[[#This Row],[Losing Seed]],"")</f>
        <v/>
      </c>
      <c r="Q1987">
        <f>VLOOKUP(Table1[[#This Row],[Losing Seed]],'Seed History'!$N$4:$O$19,2)</f>
        <v>0.63194444444444442</v>
      </c>
      <c r="R1987" s="1">
        <f>IF(Table1[[#This Row],[Round]]="PI",0,Table1[[#This Row],[Round]]-1)</f>
        <v>0</v>
      </c>
      <c r="S1987">
        <f>Table1[[#This Row],[LAW]]-Table1[[#This Row],[LEW]]</f>
        <v>-0.63194444444444442</v>
      </c>
    </row>
    <row r="1988" spans="1:19" x14ac:dyDescent="0.25">
      <c r="A1988" s="66">
        <v>42445</v>
      </c>
      <c r="B1988" s="51">
        <f>YEAR(Table1[[#This Row],[Date]])</f>
        <v>2016</v>
      </c>
      <c r="C1988" s="1" t="s">
        <v>476</v>
      </c>
      <c r="D1988" t="s">
        <v>38</v>
      </c>
      <c r="E1988" s="1">
        <v>16</v>
      </c>
      <c r="F1988" t="s">
        <v>224</v>
      </c>
      <c r="G1988" t="str">
        <f>VLOOKUP(Table1[[#This Row],[Winner]],Ranking!C:D,2,FALSE)</f>
        <v>Pat</v>
      </c>
      <c r="H1988" s="1">
        <v>59</v>
      </c>
      <c r="I1988" s="1">
        <v>16</v>
      </c>
      <c r="J1988" t="s">
        <v>361</v>
      </c>
      <c r="K1988" t="str">
        <f>VLOOKUP(Table1[[#This Row],[Loser]],Ranking!C:D,2,FALSE)</f>
        <v>SWAC</v>
      </c>
      <c r="L1988" s="1">
        <v>55</v>
      </c>
      <c r="N1988" s="1">
        <f>Table1[[#This Row],[Winning Score]]-Table1[[#This Row],[Losing Score]]</f>
        <v>4</v>
      </c>
      <c r="O1988" s="1">
        <f>Table1[[#This Row],[Losing Seed]]-Table1[[#This Row],[Winning Seed]]</f>
        <v>0</v>
      </c>
      <c r="P1988" s="1" t="str">
        <f>IF(Table1[[#This Row],[SeD]]&lt;-2,Table1[[#This Row],[Winning Seed]]&amp; " over " &amp;Table1[[#This Row],[Losing Seed]],"")</f>
        <v/>
      </c>
      <c r="Q1988">
        <f>VLOOKUP(Table1[[#This Row],[Losing Seed]],'Seed History'!$N$4:$O$19,2)</f>
        <v>6.9444444444444441E-3</v>
      </c>
      <c r="R1988" s="1">
        <f>IF(Table1[[#This Row],[Round]]="PI",0,Table1[[#This Row],[Round]]-1)</f>
        <v>0</v>
      </c>
      <c r="S1988">
        <f>Table1[[#This Row],[LAW]]-Table1[[#This Row],[LEW]]</f>
        <v>-6.9444444444444441E-3</v>
      </c>
    </row>
    <row r="1989" spans="1:19" x14ac:dyDescent="0.25">
      <c r="A1989" s="66">
        <v>42446</v>
      </c>
      <c r="B1989" s="51">
        <f>YEAR(Table1[[#This Row],[Date]])</f>
        <v>2016</v>
      </c>
      <c r="C1989" s="1">
        <v>1</v>
      </c>
      <c r="D1989" t="s">
        <v>439</v>
      </c>
      <c r="E1989" s="1">
        <v>12</v>
      </c>
      <c r="F1989" t="s">
        <v>472</v>
      </c>
      <c r="G1989" t="str">
        <f>VLOOKUP(Table1[[#This Row],[Winner]],Ranking!C:D,2,FALSE)</f>
        <v>SB</v>
      </c>
      <c r="H1989" s="1">
        <v>85</v>
      </c>
      <c r="I1989" s="1">
        <v>5</v>
      </c>
      <c r="J1989" t="s">
        <v>29</v>
      </c>
      <c r="K1989" t="str">
        <f>VLOOKUP(Table1[[#This Row],[Loser]],Ranking!C:D,2,FALSE)</f>
        <v>B10</v>
      </c>
      <c r="L1989" s="1">
        <v>83</v>
      </c>
      <c r="M1989" s="1" t="s">
        <v>463</v>
      </c>
      <c r="N1989" s="1">
        <f>Table1[[#This Row],[Winning Score]]-Table1[[#This Row],[Losing Score]]</f>
        <v>2</v>
      </c>
      <c r="O1989" s="1">
        <f>Table1[[#This Row],[Losing Seed]]-Table1[[#This Row],[Winning Seed]]</f>
        <v>-7</v>
      </c>
      <c r="P1989" s="1" t="str">
        <f>IF(Table1[[#This Row],[SeD]]&lt;-2,Table1[[#This Row],[Winning Seed]]&amp; " over " &amp;Table1[[#This Row],[Losing Seed]],"")</f>
        <v>12 over 5</v>
      </c>
      <c r="Q1989">
        <f>VLOOKUP(Table1[[#This Row],[Losing Seed]],'Seed History'!$N$4:$O$19,2)</f>
        <v>1.1180555555555556</v>
      </c>
      <c r="R1989" s="1">
        <f>IF(Table1[[#This Row],[Round]]="PI",0,Table1[[#This Row],[Round]]-1)</f>
        <v>0</v>
      </c>
      <c r="S1989">
        <f>Table1[[#This Row],[LAW]]-Table1[[#This Row],[LEW]]</f>
        <v>-1.1180555555555556</v>
      </c>
    </row>
    <row r="1990" spans="1:19" x14ac:dyDescent="0.25">
      <c r="A1990" s="66">
        <v>42446</v>
      </c>
      <c r="B1990" s="51">
        <f>YEAR(Table1[[#This Row],[Date]])</f>
        <v>2016</v>
      </c>
      <c r="C1990" s="1">
        <v>1</v>
      </c>
      <c r="D1990" t="s">
        <v>38</v>
      </c>
      <c r="E1990" s="1">
        <v>12</v>
      </c>
      <c r="F1990" t="s">
        <v>93</v>
      </c>
      <c r="G1990" t="str">
        <f>VLOOKUP(Table1[[#This Row],[Winner]],Ranking!C:D,2,FALSE)</f>
        <v>Ivy</v>
      </c>
      <c r="H1990" s="1">
        <v>79</v>
      </c>
      <c r="I1990" s="1">
        <v>5</v>
      </c>
      <c r="J1990" t="s">
        <v>46</v>
      </c>
      <c r="K1990" t="str">
        <f>VLOOKUP(Table1[[#This Row],[Loser]],Ranking!C:D,2,FALSE)</f>
        <v>B12</v>
      </c>
      <c r="L1990" s="1">
        <v>75</v>
      </c>
      <c r="N1990" s="1">
        <f>Table1[[#This Row],[Winning Score]]-Table1[[#This Row],[Losing Score]]</f>
        <v>4</v>
      </c>
      <c r="O1990" s="1">
        <f>Table1[[#This Row],[Losing Seed]]-Table1[[#This Row],[Winning Seed]]</f>
        <v>-7</v>
      </c>
      <c r="P1990" s="1" t="str">
        <f>IF(Table1[[#This Row],[SeD]]&lt;-2,Table1[[#This Row],[Winning Seed]]&amp; " over " &amp;Table1[[#This Row],[Losing Seed]],"")</f>
        <v>12 over 5</v>
      </c>
      <c r="Q1990">
        <f>VLOOKUP(Table1[[#This Row],[Losing Seed]],'Seed History'!$N$4:$O$19,2)</f>
        <v>1.1180555555555556</v>
      </c>
      <c r="R1990" s="1">
        <f>IF(Table1[[#This Row],[Round]]="PI",0,Table1[[#This Row],[Round]]-1)</f>
        <v>0</v>
      </c>
      <c r="S1990">
        <f>Table1[[#This Row],[LAW]]-Table1[[#This Row],[LEW]]</f>
        <v>-1.1180555555555556</v>
      </c>
    </row>
    <row r="1991" spans="1:19" x14ac:dyDescent="0.25">
      <c r="A1991" s="66">
        <v>42446</v>
      </c>
      <c r="B1991" s="51">
        <f>YEAR(Table1[[#This Row],[Date]])</f>
        <v>2016</v>
      </c>
      <c r="C1991" s="1">
        <v>1</v>
      </c>
      <c r="D1991" t="s">
        <v>439</v>
      </c>
      <c r="E1991" s="1">
        <v>11</v>
      </c>
      <c r="F1991" t="s">
        <v>71</v>
      </c>
      <c r="G1991" t="str">
        <f>VLOOKUP(Table1[[#This Row],[Winner]],Ranking!C:D,2,FALSE)</f>
        <v>WCC</v>
      </c>
      <c r="H1991" s="1">
        <v>68</v>
      </c>
      <c r="I1991" s="1">
        <v>6</v>
      </c>
      <c r="J1991" t="s">
        <v>87</v>
      </c>
      <c r="K1991" t="str">
        <f>VLOOKUP(Table1[[#This Row],[Loser]],Ranking!C:D,2,FALSE)</f>
        <v>BE</v>
      </c>
      <c r="L1991" s="1">
        <v>52</v>
      </c>
      <c r="N1991" s="1">
        <f>Table1[[#This Row],[Winning Score]]-Table1[[#This Row],[Losing Score]]</f>
        <v>16</v>
      </c>
      <c r="O1991" s="1">
        <f>Table1[[#This Row],[Losing Seed]]-Table1[[#This Row],[Winning Seed]]</f>
        <v>-5</v>
      </c>
      <c r="P1991" s="1" t="str">
        <f>IF(Table1[[#This Row],[SeD]]&lt;-2,Table1[[#This Row],[Winning Seed]]&amp; " over " &amp;Table1[[#This Row],[Losing Seed]],"")</f>
        <v>11 over 6</v>
      </c>
      <c r="Q1991">
        <f>VLOOKUP(Table1[[#This Row],[Losing Seed]],'Seed History'!$N$4:$O$19,2)</f>
        <v>1.0625</v>
      </c>
      <c r="R1991" s="1">
        <f>IF(Table1[[#This Row],[Round]]="PI",0,Table1[[#This Row],[Round]]-1)</f>
        <v>0</v>
      </c>
      <c r="S1991">
        <f>Table1[[#This Row],[LAW]]-Table1[[#This Row],[LEW]]</f>
        <v>-1.0625</v>
      </c>
    </row>
    <row r="1992" spans="1:19" x14ac:dyDescent="0.25">
      <c r="A1992" s="66">
        <v>42446</v>
      </c>
      <c r="B1992" s="51">
        <f>YEAR(Table1[[#This Row],[Date]])</f>
        <v>2016</v>
      </c>
      <c r="C1992" s="1">
        <v>1</v>
      </c>
      <c r="D1992" t="s">
        <v>63</v>
      </c>
      <c r="E1992" s="1">
        <v>11</v>
      </c>
      <c r="F1992" t="s">
        <v>417</v>
      </c>
      <c r="G1992" t="str">
        <f>VLOOKUP(Table1[[#This Row],[Winner]],Ranking!C:D,2,FALSE)</f>
        <v>Amer</v>
      </c>
      <c r="H1992" s="1">
        <v>65</v>
      </c>
      <c r="I1992" s="1">
        <v>6</v>
      </c>
      <c r="J1992" t="s">
        <v>48</v>
      </c>
      <c r="K1992" t="str">
        <f>VLOOKUP(Table1[[#This Row],[Loser]],Ranking!C:D,2,FALSE)</f>
        <v>P12</v>
      </c>
      <c r="L1992" s="1">
        <v>55</v>
      </c>
      <c r="N1992" s="1">
        <f>Table1[[#This Row],[Winning Score]]-Table1[[#This Row],[Losing Score]]</f>
        <v>10</v>
      </c>
      <c r="O1992" s="1">
        <f>Table1[[#This Row],[Losing Seed]]-Table1[[#This Row],[Winning Seed]]</f>
        <v>-5</v>
      </c>
      <c r="P1992" s="1" t="str">
        <f>IF(Table1[[#This Row],[SeD]]&lt;-2,Table1[[#This Row],[Winning Seed]]&amp; " over " &amp;Table1[[#This Row],[Losing Seed]],"")</f>
        <v>11 over 6</v>
      </c>
      <c r="Q1992">
        <f>VLOOKUP(Table1[[#This Row],[Losing Seed]],'Seed History'!$N$4:$O$19,2)</f>
        <v>1.0625</v>
      </c>
      <c r="R1992" s="1">
        <f>IF(Table1[[#This Row],[Round]]="PI",0,Table1[[#This Row],[Round]]-1)</f>
        <v>0</v>
      </c>
      <c r="S1992">
        <f>Table1[[#This Row],[LAW]]-Table1[[#This Row],[LEW]]</f>
        <v>-1.0625</v>
      </c>
    </row>
    <row r="1993" spans="1:19" x14ac:dyDescent="0.25">
      <c r="A1993" s="66">
        <v>42446</v>
      </c>
      <c r="B1993" s="51">
        <f>YEAR(Table1[[#This Row],[Date]])</f>
        <v>2016</v>
      </c>
      <c r="C1993" s="1">
        <v>1</v>
      </c>
      <c r="D1993" t="s">
        <v>49</v>
      </c>
      <c r="E1993" s="1">
        <v>1</v>
      </c>
      <c r="F1993" t="s">
        <v>298</v>
      </c>
      <c r="G1993" t="str">
        <f>VLOOKUP(Table1[[#This Row],[Winner]],Ranking!C:D,2,FALSE)</f>
        <v>ACC</v>
      </c>
      <c r="H1993" s="1">
        <v>83</v>
      </c>
      <c r="I1993" s="1">
        <v>16</v>
      </c>
      <c r="J1993" t="s">
        <v>205</v>
      </c>
      <c r="K1993" t="str">
        <f>VLOOKUP(Table1[[#This Row],[Loser]],Ranking!C:D,2,FALSE)</f>
        <v>ASun</v>
      </c>
      <c r="L1993" s="1">
        <v>67</v>
      </c>
      <c r="N1993" s="1">
        <f>Table1[[#This Row],[Winning Score]]-Table1[[#This Row],[Losing Score]]</f>
        <v>16</v>
      </c>
      <c r="O1993" s="1">
        <f>Table1[[#This Row],[Losing Seed]]-Table1[[#This Row],[Winning Seed]]</f>
        <v>15</v>
      </c>
      <c r="P1993" s="1" t="str">
        <f>IF(Table1[[#This Row],[SeD]]&lt;-2,Table1[[#This Row],[Winning Seed]]&amp; " over " &amp;Table1[[#This Row],[Losing Seed]],"")</f>
        <v/>
      </c>
      <c r="Q1993">
        <f>VLOOKUP(Table1[[#This Row],[Losing Seed]],'Seed History'!$N$4:$O$19,2)</f>
        <v>6.9444444444444441E-3</v>
      </c>
      <c r="R1993" s="1">
        <f>IF(Table1[[#This Row],[Round]]="PI",0,Table1[[#This Row],[Round]]-1)</f>
        <v>0</v>
      </c>
      <c r="S1993">
        <f>Table1[[#This Row],[LAW]]-Table1[[#This Row],[LEW]]</f>
        <v>-6.9444444444444441E-3</v>
      </c>
    </row>
    <row r="1994" spans="1:19" x14ac:dyDescent="0.25">
      <c r="A1994" s="66">
        <v>42446</v>
      </c>
      <c r="B1994" s="51">
        <f>YEAR(Table1[[#This Row],[Date]])</f>
        <v>2016</v>
      </c>
      <c r="C1994" s="1">
        <v>1</v>
      </c>
      <c r="D1994" t="s">
        <v>49</v>
      </c>
      <c r="E1994" s="1">
        <v>4</v>
      </c>
      <c r="F1994" t="s">
        <v>26</v>
      </c>
      <c r="G1994" t="str">
        <f>VLOOKUP(Table1[[#This Row],[Winner]],Ranking!C:D,2,FALSE)</f>
        <v>SEC</v>
      </c>
      <c r="H1994" s="1">
        <v>85</v>
      </c>
      <c r="I1994" s="1">
        <v>13</v>
      </c>
      <c r="J1994" t="s">
        <v>90</v>
      </c>
      <c r="K1994" t="str">
        <f>VLOOKUP(Table1[[#This Row],[Loser]],Ranking!C:D,2,FALSE)</f>
        <v>AE</v>
      </c>
      <c r="L1994" s="1">
        <v>57</v>
      </c>
      <c r="N1994" s="1">
        <f>Table1[[#This Row],[Winning Score]]-Table1[[#This Row],[Losing Score]]</f>
        <v>28</v>
      </c>
      <c r="O1994" s="1">
        <f>Table1[[#This Row],[Losing Seed]]-Table1[[#This Row],[Winning Seed]]</f>
        <v>9</v>
      </c>
      <c r="P1994" s="1" t="str">
        <f>IF(Table1[[#This Row],[SeD]]&lt;-2,Table1[[#This Row],[Winning Seed]]&amp; " over " &amp;Table1[[#This Row],[Losing Seed]],"")</f>
        <v/>
      </c>
      <c r="Q1994">
        <f>VLOOKUP(Table1[[#This Row],[Losing Seed]],'Seed History'!$N$4:$O$19,2)</f>
        <v>0.25694444444444442</v>
      </c>
      <c r="R1994" s="1">
        <f>IF(Table1[[#This Row],[Round]]="PI",0,Table1[[#This Row],[Round]]-1)</f>
        <v>0</v>
      </c>
      <c r="S1994">
        <f>Table1[[#This Row],[LAW]]-Table1[[#This Row],[LEW]]</f>
        <v>-0.25694444444444442</v>
      </c>
    </row>
    <row r="1995" spans="1:19" x14ac:dyDescent="0.25">
      <c r="A1995" s="66">
        <v>42446</v>
      </c>
      <c r="B1995" s="51">
        <f>YEAR(Table1[[#This Row],[Date]])</f>
        <v>2016</v>
      </c>
      <c r="C1995" s="1">
        <v>1</v>
      </c>
      <c r="D1995" t="s">
        <v>49</v>
      </c>
      <c r="E1995" s="1">
        <v>5</v>
      </c>
      <c r="F1995" t="s">
        <v>36</v>
      </c>
      <c r="G1995" t="str">
        <f>VLOOKUP(Table1[[#This Row],[Winner]],Ranking!C:D,2,FALSE)</f>
        <v>B10</v>
      </c>
      <c r="H1995" s="1">
        <v>99</v>
      </c>
      <c r="I1995" s="1">
        <v>12</v>
      </c>
      <c r="J1995" t="s">
        <v>167</v>
      </c>
      <c r="K1995" t="str">
        <f>VLOOKUP(Table1[[#This Row],[Loser]],Ranking!C:D,2,FALSE)</f>
        <v>SC</v>
      </c>
      <c r="L1995" s="1">
        <v>74</v>
      </c>
      <c r="N1995" s="1">
        <f>Table1[[#This Row],[Winning Score]]-Table1[[#This Row],[Losing Score]]</f>
        <v>25</v>
      </c>
      <c r="O1995" s="1">
        <f>Table1[[#This Row],[Losing Seed]]-Table1[[#This Row],[Winning Seed]]</f>
        <v>7</v>
      </c>
      <c r="P1995" s="1" t="str">
        <f>IF(Table1[[#This Row],[SeD]]&lt;-2,Table1[[#This Row],[Winning Seed]]&amp; " over " &amp;Table1[[#This Row],[Losing Seed]],"")</f>
        <v/>
      </c>
      <c r="Q1995">
        <f>VLOOKUP(Table1[[#This Row],[Losing Seed]],'Seed History'!$N$4:$O$19,2)</f>
        <v>0.52083333333333337</v>
      </c>
      <c r="R1995" s="1">
        <f>IF(Table1[[#This Row],[Round]]="PI",0,Table1[[#This Row],[Round]]-1)</f>
        <v>0</v>
      </c>
      <c r="S1995">
        <f>Table1[[#This Row],[LAW]]-Table1[[#This Row],[LEW]]</f>
        <v>-0.52083333333333337</v>
      </c>
    </row>
    <row r="1996" spans="1:19" x14ac:dyDescent="0.25">
      <c r="A1996" s="66">
        <v>42446</v>
      </c>
      <c r="B1996" s="51">
        <f>YEAR(Table1[[#This Row],[Date]])</f>
        <v>2016</v>
      </c>
      <c r="C1996" s="1">
        <v>1</v>
      </c>
      <c r="D1996" t="s">
        <v>439</v>
      </c>
      <c r="E1996" s="1">
        <v>1</v>
      </c>
      <c r="F1996" t="s">
        <v>61</v>
      </c>
      <c r="G1996" t="str">
        <f>VLOOKUP(Table1[[#This Row],[Winner]],Ranking!C:D,2,FALSE)</f>
        <v>ACC</v>
      </c>
      <c r="H1996" s="1">
        <v>81</v>
      </c>
      <c r="I1996" s="1">
        <v>16</v>
      </c>
      <c r="J1996" t="s">
        <v>27</v>
      </c>
      <c r="K1996" t="str">
        <f>VLOOKUP(Table1[[#This Row],[Loser]],Ranking!C:D,2,FALSE)</f>
        <v>BSth</v>
      </c>
      <c r="L1996" s="1">
        <v>45</v>
      </c>
      <c r="N1996" s="1">
        <f>Table1[[#This Row],[Winning Score]]-Table1[[#This Row],[Losing Score]]</f>
        <v>36</v>
      </c>
      <c r="O1996" s="1">
        <f>Table1[[#This Row],[Losing Seed]]-Table1[[#This Row],[Winning Seed]]</f>
        <v>15</v>
      </c>
      <c r="P1996" s="1" t="str">
        <f>IF(Table1[[#This Row],[SeD]]&lt;-2,Table1[[#This Row],[Winning Seed]]&amp; " over " &amp;Table1[[#This Row],[Losing Seed]],"")</f>
        <v/>
      </c>
      <c r="Q1996">
        <f>VLOOKUP(Table1[[#This Row],[Losing Seed]],'Seed History'!$N$4:$O$19,2)</f>
        <v>6.9444444444444441E-3</v>
      </c>
      <c r="R1996" s="1">
        <f>IF(Table1[[#This Row],[Round]]="PI",0,Table1[[#This Row],[Round]]-1)</f>
        <v>0</v>
      </c>
      <c r="S1996">
        <f>Table1[[#This Row],[LAW]]-Table1[[#This Row],[LEW]]</f>
        <v>-6.9444444444444441E-3</v>
      </c>
    </row>
    <row r="1997" spans="1:19" x14ac:dyDescent="0.25">
      <c r="A1997" s="66">
        <v>42446</v>
      </c>
      <c r="B1997" s="51">
        <f>YEAR(Table1[[#This Row],[Date]])</f>
        <v>2016</v>
      </c>
      <c r="C1997" s="1">
        <v>1</v>
      </c>
      <c r="D1997" t="s">
        <v>439</v>
      </c>
      <c r="E1997" s="1">
        <v>3</v>
      </c>
      <c r="F1997" t="s">
        <v>65</v>
      </c>
      <c r="G1997" t="str">
        <f>VLOOKUP(Table1[[#This Row],[Winner]],Ranking!C:D,2,FALSE)</f>
        <v>P12</v>
      </c>
      <c r="H1997" s="1">
        <v>80</v>
      </c>
      <c r="I1997" s="1">
        <v>14</v>
      </c>
      <c r="J1997" t="s">
        <v>209</v>
      </c>
      <c r="K1997" t="str">
        <f>VLOOKUP(Table1[[#This Row],[Loser]],Ranking!C:D,2,FALSE)</f>
        <v>MWC</v>
      </c>
      <c r="L1997" s="1">
        <v>69</v>
      </c>
      <c r="N1997" s="1">
        <f>Table1[[#This Row],[Winning Score]]-Table1[[#This Row],[Losing Score]]</f>
        <v>11</v>
      </c>
      <c r="O1997" s="1">
        <f>Table1[[#This Row],[Losing Seed]]-Table1[[#This Row],[Winning Seed]]</f>
        <v>11</v>
      </c>
      <c r="P1997" s="1" t="str">
        <f>IF(Table1[[#This Row],[SeD]]&lt;-2,Table1[[#This Row],[Winning Seed]]&amp; " over " &amp;Table1[[#This Row],[Losing Seed]],"")</f>
        <v/>
      </c>
      <c r="Q1997">
        <f>VLOOKUP(Table1[[#This Row],[Losing Seed]],'Seed History'!$N$4:$O$19,2)</f>
        <v>0.16666666666666666</v>
      </c>
      <c r="R1997" s="1">
        <f>IF(Table1[[#This Row],[Round]]="PI",0,Table1[[#This Row],[Round]]-1)</f>
        <v>0</v>
      </c>
      <c r="S1997">
        <f>Table1[[#This Row],[LAW]]-Table1[[#This Row],[LEW]]</f>
        <v>-0.16666666666666666</v>
      </c>
    </row>
    <row r="1998" spans="1:19" x14ac:dyDescent="0.25">
      <c r="A1998" s="66">
        <v>42446</v>
      </c>
      <c r="B1998" s="51">
        <f>YEAR(Table1[[#This Row],[Date]])</f>
        <v>2016</v>
      </c>
      <c r="C1998" s="1">
        <v>1</v>
      </c>
      <c r="D1998" t="s">
        <v>439</v>
      </c>
      <c r="E1998" s="1">
        <v>4</v>
      </c>
      <c r="F1998" t="s">
        <v>237</v>
      </c>
      <c r="G1998" t="str">
        <f>VLOOKUP(Table1[[#This Row],[Winner]],Ranking!C:D,2,FALSE)</f>
        <v>B12</v>
      </c>
      <c r="H1998" s="1">
        <v>94</v>
      </c>
      <c r="I1998" s="1">
        <v>13</v>
      </c>
      <c r="J1998" t="s">
        <v>236</v>
      </c>
      <c r="K1998" t="str">
        <f>VLOOKUP(Table1[[#This Row],[Loser]],Ranking!C:D,2,FALSE)</f>
        <v>MAAC</v>
      </c>
      <c r="L1998" s="1">
        <v>81</v>
      </c>
      <c r="N1998" s="1">
        <f>Table1[[#This Row],[Winning Score]]-Table1[[#This Row],[Losing Score]]</f>
        <v>13</v>
      </c>
      <c r="O1998" s="1">
        <f>Table1[[#This Row],[Losing Seed]]-Table1[[#This Row],[Winning Seed]]</f>
        <v>9</v>
      </c>
      <c r="P1998" s="1" t="str">
        <f>IF(Table1[[#This Row],[SeD]]&lt;-2,Table1[[#This Row],[Winning Seed]]&amp; " over " &amp;Table1[[#This Row],[Losing Seed]],"")</f>
        <v/>
      </c>
      <c r="Q1998">
        <f>VLOOKUP(Table1[[#This Row],[Losing Seed]],'Seed History'!$N$4:$O$19,2)</f>
        <v>0.25694444444444442</v>
      </c>
      <c r="R1998" s="1">
        <f>IF(Table1[[#This Row],[Round]]="PI",0,Table1[[#This Row],[Round]]-1)</f>
        <v>0</v>
      </c>
      <c r="S1998">
        <f>Table1[[#This Row],[LAW]]-Table1[[#This Row],[LEW]]</f>
        <v>-0.25694444444444442</v>
      </c>
    </row>
    <row r="1999" spans="1:19" x14ac:dyDescent="0.25">
      <c r="A1999" s="66">
        <v>42446</v>
      </c>
      <c r="B1999" s="51">
        <f>YEAR(Table1[[#This Row],[Date]])</f>
        <v>2016</v>
      </c>
      <c r="C1999" s="1">
        <v>1</v>
      </c>
      <c r="D1999" t="s">
        <v>63</v>
      </c>
      <c r="E1999" s="1">
        <v>1</v>
      </c>
      <c r="F1999" t="s">
        <v>37</v>
      </c>
      <c r="G1999" t="str">
        <f>VLOOKUP(Table1[[#This Row],[Winner]],Ranking!C:D,2,FALSE)</f>
        <v>B12</v>
      </c>
      <c r="H1999" s="1">
        <v>105</v>
      </c>
      <c r="I1999" s="1">
        <v>16</v>
      </c>
      <c r="J1999" t="s">
        <v>130</v>
      </c>
      <c r="K1999" t="str">
        <f>VLOOKUP(Table1[[#This Row],[Loser]],Ranking!C:D,2,FALSE)</f>
        <v>OVC</v>
      </c>
      <c r="L1999" s="1">
        <v>79</v>
      </c>
      <c r="N1999" s="1">
        <f>Table1[[#This Row],[Winning Score]]-Table1[[#This Row],[Losing Score]]</f>
        <v>26</v>
      </c>
      <c r="O1999" s="1">
        <f>Table1[[#This Row],[Losing Seed]]-Table1[[#This Row],[Winning Seed]]</f>
        <v>15</v>
      </c>
      <c r="P1999" s="1" t="str">
        <f>IF(Table1[[#This Row],[SeD]]&lt;-2,Table1[[#This Row],[Winning Seed]]&amp; " over " &amp;Table1[[#This Row],[Losing Seed]],"")</f>
        <v/>
      </c>
      <c r="Q1999">
        <f>VLOOKUP(Table1[[#This Row],[Losing Seed]],'Seed History'!$N$4:$O$19,2)</f>
        <v>6.9444444444444441E-3</v>
      </c>
      <c r="R1999" s="1">
        <f>IF(Table1[[#This Row],[Round]]="PI",0,Table1[[#This Row],[Round]]-1)</f>
        <v>0</v>
      </c>
      <c r="S1999">
        <f>Table1[[#This Row],[LAW]]-Table1[[#This Row],[LEW]]</f>
        <v>-6.9444444444444441E-3</v>
      </c>
    </row>
    <row r="2000" spans="1:19" x14ac:dyDescent="0.25">
      <c r="A2000" s="66">
        <v>42446</v>
      </c>
      <c r="B2000" s="51">
        <f>YEAR(Table1[[#This Row],[Date]])</f>
        <v>2016</v>
      </c>
      <c r="C2000" s="1">
        <v>1</v>
      </c>
      <c r="D2000" t="s">
        <v>63</v>
      </c>
      <c r="E2000" s="1">
        <v>3</v>
      </c>
      <c r="F2000" t="s">
        <v>269</v>
      </c>
      <c r="G2000" t="str">
        <f>VLOOKUP(Table1[[#This Row],[Winner]],Ranking!C:D,2,FALSE)</f>
        <v>ACC</v>
      </c>
      <c r="H2000" s="1">
        <v>79</v>
      </c>
      <c r="I2000" s="1">
        <v>14</v>
      </c>
      <c r="J2000" t="s">
        <v>30</v>
      </c>
      <c r="K2000" t="str">
        <f>VLOOKUP(Table1[[#This Row],[Loser]],Ranking!C:D,2,FALSE)</f>
        <v>MAC</v>
      </c>
      <c r="L2000" s="1">
        <v>72</v>
      </c>
      <c r="N2000" s="1">
        <f>Table1[[#This Row],[Winning Score]]-Table1[[#This Row],[Losing Score]]</f>
        <v>7</v>
      </c>
      <c r="O2000" s="1">
        <f>Table1[[#This Row],[Losing Seed]]-Table1[[#This Row],[Winning Seed]]</f>
        <v>11</v>
      </c>
      <c r="P2000" s="1" t="str">
        <f>IF(Table1[[#This Row],[SeD]]&lt;-2,Table1[[#This Row],[Winning Seed]]&amp; " over " &amp;Table1[[#This Row],[Losing Seed]],"")</f>
        <v/>
      </c>
      <c r="Q2000">
        <f>VLOOKUP(Table1[[#This Row],[Losing Seed]],'Seed History'!$N$4:$O$19,2)</f>
        <v>0.16666666666666666</v>
      </c>
      <c r="R2000" s="1">
        <f>IF(Table1[[#This Row],[Round]]="PI",0,Table1[[#This Row],[Round]]-1)</f>
        <v>0</v>
      </c>
      <c r="S2000">
        <f>Table1[[#This Row],[LAW]]-Table1[[#This Row],[LEW]]</f>
        <v>-0.16666666666666666</v>
      </c>
    </row>
    <row r="2001" spans="1:19" x14ac:dyDescent="0.25">
      <c r="A2001" s="66">
        <v>42446</v>
      </c>
      <c r="B2001" s="51">
        <f>YEAR(Table1[[#This Row],[Date]])</f>
        <v>2016</v>
      </c>
      <c r="C2001" s="1">
        <v>1</v>
      </c>
      <c r="D2001" t="s">
        <v>38</v>
      </c>
      <c r="E2001" s="1">
        <v>4</v>
      </c>
      <c r="F2001" t="s">
        <v>64</v>
      </c>
      <c r="G2001" t="str">
        <f>VLOOKUP(Table1[[#This Row],[Winner]],Ranking!C:D,2,FALSE)</f>
        <v>ACC</v>
      </c>
      <c r="H2001" s="1">
        <v>93</v>
      </c>
      <c r="I2001" s="1">
        <v>13</v>
      </c>
      <c r="J2001" t="s">
        <v>395</v>
      </c>
      <c r="K2001" t="str">
        <f>VLOOKUP(Table1[[#This Row],[Loser]],Ranking!C:D,2,FALSE)</f>
        <v>CAA</v>
      </c>
      <c r="L2001" s="1">
        <v>85</v>
      </c>
      <c r="N2001" s="1">
        <f>Table1[[#This Row],[Winning Score]]-Table1[[#This Row],[Losing Score]]</f>
        <v>8</v>
      </c>
      <c r="O2001" s="1">
        <f>Table1[[#This Row],[Losing Seed]]-Table1[[#This Row],[Winning Seed]]</f>
        <v>9</v>
      </c>
      <c r="P2001" s="1" t="str">
        <f>IF(Table1[[#This Row],[SeD]]&lt;-2,Table1[[#This Row],[Winning Seed]]&amp; " over " &amp;Table1[[#This Row],[Losing Seed]],"")</f>
        <v/>
      </c>
      <c r="Q2001">
        <f>VLOOKUP(Table1[[#This Row],[Losing Seed]],'Seed History'!$N$4:$O$19,2)</f>
        <v>0.25694444444444442</v>
      </c>
      <c r="R2001" s="1">
        <f>IF(Table1[[#This Row],[Round]]="PI",0,Table1[[#This Row],[Round]]-1)</f>
        <v>0</v>
      </c>
      <c r="S2001">
        <f>Table1[[#This Row],[LAW]]-Table1[[#This Row],[LEW]]</f>
        <v>-0.25694444444444442</v>
      </c>
    </row>
    <row r="2002" spans="1:19" x14ac:dyDescent="0.25">
      <c r="A2002" s="66">
        <v>42446</v>
      </c>
      <c r="B2002" s="51">
        <f>YEAR(Table1[[#This Row],[Date]])</f>
        <v>2016</v>
      </c>
      <c r="C2002" s="1">
        <v>1</v>
      </c>
      <c r="D2002" t="s">
        <v>49</v>
      </c>
      <c r="E2002" s="1">
        <v>9</v>
      </c>
      <c r="F2002" t="s">
        <v>56</v>
      </c>
      <c r="G2002" t="str">
        <f>VLOOKUP(Table1[[#This Row],[Winner]],Ranking!C:D,2,FALSE)</f>
        <v>BE</v>
      </c>
      <c r="H2002" s="1">
        <v>70</v>
      </c>
      <c r="I2002" s="1">
        <v>8</v>
      </c>
      <c r="J2002" t="s">
        <v>85</v>
      </c>
      <c r="K2002" t="str">
        <f>VLOOKUP(Table1[[#This Row],[Loser]],Ranking!C:D,2,FALSE)</f>
        <v>P12</v>
      </c>
      <c r="L2002" s="1">
        <v>69</v>
      </c>
      <c r="N2002" s="1">
        <f>Table1[[#This Row],[Winning Score]]-Table1[[#This Row],[Losing Score]]</f>
        <v>1</v>
      </c>
      <c r="O2002" s="1">
        <f>Table1[[#This Row],[Losing Seed]]-Table1[[#This Row],[Winning Seed]]</f>
        <v>-1</v>
      </c>
      <c r="P2002" s="1" t="str">
        <f>IF(Table1[[#This Row],[SeD]]&lt;-2,Table1[[#This Row],[Winning Seed]]&amp; " over " &amp;Table1[[#This Row],[Losing Seed]],"")</f>
        <v/>
      </c>
      <c r="Q2002">
        <f>VLOOKUP(Table1[[#This Row],[Losing Seed]],'Seed History'!$N$4:$O$19,2)</f>
        <v>0.70833333333333337</v>
      </c>
      <c r="R2002" s="1">
        <f>IF(Table1[[#This Row],[Round]]="PI",0,Table1[[#This Row],[Round]]-1)</f>
        <v>0</v>
      </c>
      <c r="S2002">
        <f>Table1[[#This Row],[LAW]]-Table1[[#This Row],[LEW]]</f>
        <v>-0.70833333333333337</v>
      </c>
    </row>
    <row r="2003" spans="1:19" x14ac:dyDescent="0.25">
      <c r="A2003" s="66">
        <v>42446</v>
      </c>
      <c r="B2003" s="51">
        <f>YEAR(Table1[[#This Row],[Date]])</f>
        <v>2016</v>
      </c>
      <c r="C2003" s="1">
        <v>1</v>
      </c>
      <c r="D2003" t="s">
        <v>439</v>
      </c>
      <c r="E2003" s="1">
        <v>9</v>
      </c>
      <c r="F2003" t="s">
        <v>33</v>
      </c>
      <c r="G2003" t="str">
        <f>VLOOKUP(Table1[[#This Row],[Winner]],Ranking!C:D,2,FALSE)</f>
        <v>BE</v>
      </c>
      <c r="H2003" s="1">
        <v>71</v>
      </c>
      <c r="I2003" s="1">
        <v>8</v>
      </c>
      <c r="J2003" t="s">
        <v>92</v>
      </c>
      <c r="K2003" t="str">
        <f>VLOOKUP(Table1[[#This Row],[Loser]],Ranking!C:D,2,FALSE)</f>
        <v>B12</v>
      </c>
      <c r="L2003" s="1">
        <v>61</v>
      </c>
      <c r="N2003" s="1">
        <f>Table1[[#This Row],[Winning Score]]-Table1[[#This Row],[Losing Score]]</f>
        <v>10</v>
      </c>
      <c r="O2003" s="1">
        <f>Table1[[#This Row],[Losing Seed]]-Table1[[#This Row],[Winning Seed]]</f>
        <v>-1</v>
      </c>
      <c r="P2003" s="1" t="str">
        <f>IF(Table1[[#This Row],[SeD]]&lt;-2,Table1[[#This Row],[Winning Seed]]&amp; " over " &amp;Table1[[#This Row],[Losing Seed]],"")</f>
        <v/>
      </c>
      <c r="Q2003">
        <f>VLOOKUP(Table1[[#This Row],[Losing Seed]],'Seed History'!$N$4:$O$19,2)</f>
        <v>0.70833333333333337</v>
      </c>
      <c r="R2003" s="1">
        <f>IF(Table1[[#This Row],[Round]]="PI",0,Table1[[#This Row],[Round]]-1)</f>
        <v>0</v>
      </c>
      <c r="S2003">
        <f>Table1[[#This Row],[LAW]]-Table1[[#This Row],[LEW]]</f>
        <v>-0.70833333333333337</v>
      </c>
    </row>
    <row r="2004" spans="1:19" x14ac:dyDescent="0.25">
      <c r="A2004" s="66">
        <v>42446</v>
      </c>
      <c r="B2004" s="51">
        <f>YEAR(Table1[[#This Row],[Date]])</f>
        <v>2016</v>
      </c>
      <c r="C2004" s="1">
        <v>1</v>
      </c>
      <c r="D2004" t="s">
        <v>63</v>
      </c>
      <c r="E2004" s="1">
        <v>9</v>
      </c>
      <c r="F2004" t="s">
        <v>80</v>
      </c>
      <c r="G2004" t="str">
        <f>VLOOKUP(Table1[[#This Row],[Winner]],Ranking!C:D,2,FALSE)</f>
        <v>BE</v>
      </c>
      <c r="H2004" s="1">
        <v>74</v>
      </c>
      <c r="I2004" s="1">
        <v>8</v>
      </c>
      <c r="J2004" t="s">
        <v>95</v>
      </c>
      <c r="K2004" t="str">
        <f>VLOOKUP(Table1[[#This Row],[Loser]],Ranking!C:D,2,FALSE)</f>
        <v>P12</v>
      </c>
      <c r="L2004" s="1">
        <v>67</v>
      </c>
      <c r="N2004" s="1">
        <f>Table1[[#This Row],[Winning Score]]-Table1[[#This Row],[Losing Score]]</f>
        <v>7</v>
      </c>
      <c r="O2004" s="1">
        <f>Table1[[#This Row],[Losing Seed]]-Table1[[#This Row],[Winning Seed]]</f>
        <v>-1</v>
      </c>
      <c r="P2004" s="1" t="str">
        <f>IF(Table1[[#This Row],[SeD]]&lt;-2,Table1[[#This Row],[Winning Seed]]&amp; " over " &amp;Table1[[#This Row],[Losing Seed]],"")</f>
        <v/>
      </c>
      <c r="Q2004">
        <f>VLOOKUP(Table1[[#This Row],[Losing Seed]],'Seed History'!$N$4:$O$19,2)</f>
        <v>0.70833333333333337</v>
      </c>
      <c r="R2004" s="1">
        <f>IF(Table1[[#This Row],[Round]]="PI",0,Table1[[#This Row],[Round]]-1)</f>
        <v>0</v>
      </c>
      <c r="S2004">
        <f>Table1[[#This Row],[LAW]]-Table1[[#This Row],[LEW]]</f>
        <v>-0.70833333333333337</v>
      </c>
    </row>
    <row r="2005" spans="1:19" x14ac:dyDescent="0.25">
      <c r="A2005" s="66">
        <v>42447</v>
      </c>
      <c r="B2005" s="51">
        <f>YEAR(Table1[[#This Row],[Date]])</f>
        <v>2016</v>
      </c>
      <c r="C2005" s="1">
        <v>1</v>
      </c>
      <c r="D2005" t="s">
        <v>439</v>
      </c>
      <c r="E2005" s="1">
        <v>15</v>
      </c>
      <c r="F2005" t="s">
        <v>272</v>
      </c>
      <c r="G2005" t="str">
        <f>VLOOKUP(Table1[[#This Row],[Winner]],Ranking!C:D,2,FALSE)</f>
        <v>CUSA</v>
      </c>
      <c r="H2005" s="1">
        <v>90</v>
      </c>
      <c r="I2005" s="1">
        <v>2</v>
      </c>
      <c r="J2005" t="s">
        <v>271</v>
      </c>
      <c r="K2005" t="str">
        <f>VLOOKUP(Table1[[#This Row],[Loser]],Ranking!C:D,2,FALSE)</f>
        <v>B10</v>
      </c>
      <c r="L2005" s="1">
        <v>81</v>
      </c>
      <c r="N2005" s="1">
        <f>Table1[[#This Row],[Winning Score]]-Table1[[#This Row],[Losing Score]]</f>
        <v>9</v>
      </c>
      <c r="O2005" s="1">
        <f>Table1[[#This Row],[Losing Seed]]-Table1[[#This Row],[Winning Seed]]</f>
        <v>-13</v>
      </c>
      <c r="P2005" s="1" t="str">
        <f>IF(Table1[[#This Row],[SeD]]&lt;-2,Table1[[#This Row],[Winning Seed]]&amp; " over " &amp;Table1[[#This Row],[Losing Seed]],"")</f>
        <v>15 over 2</v>
      </c>
      <c r="Q2005">
        <f>VLOOKUP(Table1[[#This Row],[Losing Seed]],'Seed History'!$N$4:$O$19,2)</f>
        <v>2.3472222222222223</v>
      </c>
      <c r="R2005" s="1">
        <f>IF(Table1[[#This Row],[Round]]="PI",0,Table1[[#This Row],[Round]]-1)</f>
        <v>0</v>
      </c>
      <c r="S2005">
        <f>Table1[[#This Row],[LAW]]-Table1[[#This Row],[LEW]]</f>
        <v>-2.3472222222222223</v>
      </c>
    </row>
    <row r="2006" spans="1:19" x14ac:dyDescent="0.25">
      <c r="A2006" s="66">
        <v>42447</v>
      </c>
      <c r="B2006" s="51">
        <f>YEAR(Table1[[#This Row],[Date]])</f>
        <v>2016</v>
      </c>
      <c r="C2006" s="1">
        <v>1</v>
      </c>
      <c r="D2006" t="s">
        <v>49</v>
      </c>
      <c r="E2006" s="1">
        <v>14</v>
      </c>
      <c r="F2006" t="s">
        <v>370</v>
      </c>
      <c r="G2006" t="str">
        <f>VLOOKUP(Table1[[#This Row],[Winner]],Ranking!C:D,2,FALSE)</f>
        <v>Slnd</v>
      </c>
      <c r="H2006" s="1">
        <v>70</v>
      </c>
      <c r="I2006" s="1">
        <v>3</v>
      </c>
      <c r="J2006" t="s">
        <v>412</v>
      </c>
      <c r="K2006" t="str">
        <f>VLOOKUP(Table1[[#This Row],[Loser]],Ranking!C:D,2,FALSE)</f>
        <v>B12</v>
      </c>
      <c r="L2006" s="1">
        <v>56</v>
      </c>
      <c r="N2006" s="1">
        <f>Table1[[#This Row],[Winning Score]]-Table1[[#This Row],[Losing Score]]</f>
        <v>14</v>
      </c>
      <c r="O2006" s="1">
        <f>Table1[[#This Row],[Losing Seed]]-Table1[[#This Row],[Winning Seed]]</f>
        <v>-11</v>
      </c>
      <c r="P2006" s="1" t="str">
        <f>IF(Table1[[#This Row],[SeD]]&lt;-2,Table1[[#This Row],[Winning Seed]]&amp; " over " &amp;Table1[[#This Row],[Losing Seed]],"")</f>
        <v>14 over 3</v>
      </c>
      <c r="Q2006">
        <f>VLOOKUP(Table1[[#This Row],[Losing Seed]],'Seed History'!$N$4:$O$19,2)</f>
        <v>1.8472222222222223</v>
      </c>
      <c r="R2006" s="1">
        <f>IF(Table1[[#This Row],[Round]]="PI",0,Table1[[#This Row],[Round]]-1)</f>
        <v>0</v>
      </c>
      <c r="S2006">
        <f>Table1[[#This Row],[LAW]]-Table1[[#This Row],[LEW]]</f>
        <v>-1.8472222222222223</v>
      </c>
    </row>
    <row r="2007" spans="1:19" x14ac:dyDescent="0.25">
      <c r="A2007" s="66">
        <v>42447</v>
      </c>
      <c r="B2007" s="51">
        <f>YEAR(Table1[[#This Row],[Date]])</f>
        <v>2016</v>
      </c>
      <c r="C2007" s="1">
        <v>1</v>
      </c>
      <c r="D2007" t="s">
        <v>63</v>
      </c>
      <c r="E2007" s="1">
        <v>13</v>
      </c>
      <c r="F2007" t="s">
        <v>221</v>
      </c>
      <c r="G2007" t="str">
        <f>VLOOKUP(Table1[[#This Row],[Winner]],Ranking!C:D,2,FALSE)</f>
        <v>BW</v>
      </c>
      <c r="H2007" s="1">
        <v>77</v>
      </c>
      <c r="I2007" s="1">
        <v>4</v>
      </c>
      <c r="J2007" t="s">
        <v>84</v>
      </c>
      <c r="K2007" t="str">
        <f>VLOOKUP(Table1[[#This Row],[Loser]],Ranking!C:D,2,FALSE)</f>
        <v>P12</v>
      </c>
      <c r="L2007" s="1">
        <v>66</v>
      </c>
      <c r="N2007" s="1">
        <f>Table1[[#This Row],[Winning Score]]-Table1[[#This Row],[Losing Score]]</f>
        <v>11</v>
      </c>
      <c r="O2007" s="1">
        <f>Table1[[#This Row],[Losing Seed]]-Table1[[#This Row],[Winning Seed]]</f>
        <v>-9</v>
      </c>
      <c r="P2007" s="1" t="str">
        <f>IF(Table1[[#This Row],[SeD]]&lt;-2,Table1[[#This Row],[Winning Seed]]&amp; " over " &amp;Table1[[#This Row],[Losing Seed]],"")</f>
        <v>13 over 4</v>
      </c>
      <c r="Q2007">
        <f>VLOOKUP(Table1[[#This Row],[Losing Seed]],'Seed History'!$N$4:$O$19,2)</f>
        <v>1.5208333333333333</v>
      </c>
      <c r="R2007" s="1">
        <f>IF(Table1[[#This Row],[Round]]="PI",0,Table1[[#This Row],[Round]]-1)</f>
        <v>0</v>
      </c>
      <c r="S2007">
        <f>Table1[[#This Row],[LAW]]-Table1[[#This Row],[LEW]]</f>
        <v>-1.5208333333333333</v>
      </c>
    </row>
    <row r="2008" spans="1:19" x14ac:dyDescent="0.25">
      <c r="A2008" s="66">
        <v>42447</v>
      </c>
      <c r="B2008" s="51">
        <f>YEAR(Table1[[#This Row],[Date]])</f>
        <v>2016</v>
      </c>
      <c r="C2008" s="1">
        <v>1</v>
      </c>
      <c r="D2008" t="s">
        <v>38</v>
      </c>
      <c r="E2008" s="1">
        <v>11</v>
      </c>
      <c r="F2008" t="s">
        <v>310</v>
      </c>
      <c r="G2008" t="str">
        <f>VLOOKUP(Table1[[#This Row],[Winner]],Ranking!C:D,2,FALSE)</f>
        <v>MVC</v>
      </c>
      <c r="H2008" s="1">
        <v>75</v>
      </c>
      <c r="I2008" s="1">
        <v>6</v>
      </c>
      <c r="J2008" t="s">
        <v>34</v>
      </c>
      <c r="K2008" t="str">
        <f>VLOOKUP(Table1[[#This Row],[Loser]],Ranking!C:D,2,FALSE)</f>
        <v>B12</v>
      </c>
      <c r="L2008" s="1">
        <v>72</v>
      </c>
      <c r="N2008" s="1">
        <f>Table1[[#This Row],[Winning Score]]-Table1[[#This Row],[Losing Score]]</f>
        <v>3</v>
      </c>
      <c r="O2008" s="1">
        <f>Table1[[#This Row],[Losing Seed]]-Table1[[#This Row],[Winning Seed]]</f>
        <v>-5</v>
      </c>
      <c r="P2008" s="1" t="str">
        <f>IF(Table1[[#This Row],[SeD]]&lt;-2,Table1[[#This Row],[Winning Seed]]&amp; " over " &amp;Table1[[#This Row],[Losing Seed]],"")</f>
        <v>11 over 6</v>
      </c>
      <c r="Q2008">
        <f>VLOOKUP(Table1[[#This Row],[Losing Seed]],'Seed History'!$N$4:$O$19,2)</f>
        <v>1.0625</v>
      </c>
      <c r="R2008" s="1">
        <f>IF(Table1[[#This Row],[Round]]="PI",0,Table1[[#This Row],[Round]]-1)</f>
        <v>0</v>
      </c>
      <c r="S2008">
        <f>Table1[[#This Row],[LAW]]-Table1[[#This Row],[LEW]]</f>
        <v>-1.0625</v>
      </c>
    </row>
    <row r="2009" spans="1:19" x14ac:dyDescent="0.25">
      <c r="A2009" s="66">
        <v>42447</v>
      </c>
      <c r="B2009" s="51">
        <f>YEAR(Table1[[#This Row],[Date]])</f>
        <v>2016</v>
      </c>
      <c r="C2009" s="1">
        <v>1</v>
      </c>
      <c r="D2009" t="s">
        <v>439</v>
      </c>
      <c r="E2009" s="1">
        <v>10</v>
      </c>
      <c r="F2009" t="s">
        <v>86</v>
      </c>
      <c r="G2009" t="str">
        <f>VLOOKUP(Table1[[#This Row],[Winner]],Ranking!C:D,2,FALSE)</f>
        <v>ACC</v>
      </c>
      <c r="H2009" s="1">
        <v>70</v>
      </c>
      <c r="I2009" s="1">
        <v>7</v>
      </c>
      <c r="J2009" t="s">
        <v>57</v>
      </c>
      <c r="K2009" t="str">
        <f>VLOOKUP(Table1[[#This Row],[Loser]],Ranking!C:D,2,FALSE)</f>
        <v>A10</v>
      </c>
      <c r="L2009" s="1">
        <v>51</v>
      </c>
      <c r="N2009" s="1">
        <f>Table1[[#This Row],[Winning Score]]-Table1[[#This Row],[Losing Score]]</f>
        <v>19</v>
      </c>
      <c r="O2009" s="1">
        <f>Table1[[#This Row],[Losing Seed]]-Table1[[#This Row],[Winning Seed]]</f>
        <v>-3</v>
      </c>
      <c r="P2009" s="1" t="str">
        <f>IF(Table1[[#This Row],[SeD]]&lt;-2,Table1[[#This Row],[Winning Seed]]&amp; " over " &amp;Table1[[#This Row],[Losing Seed]],"")</f>
        <v>10 over 7</v>
      </c>
      <c r="Q2009">
        <f>VLOOKUP(Table1[[#This Row],[Losing Seed]],'Seed History'!$N$4:$O$19,2)</f>
        <v>0.90277777777777779</v>
      </c>
      <c r="R2009" s="1">
        <f>IF(Table1[[#This Row],[Round]]="PI",0,Table1[[#This Row],[Round]]-1)</f>
        <v>0</v>
      </c>
      <c r="S2009">
        <f>Table1[[#This Row],[LAW]]-Table1[[#This Row],[LEW]]</f>
        <v>-0.90277777777777779</v>
      </c>
    </row>
    <row r="2010" spans="1:19" x14ac:dyDescent="0.25">
      <c r="A2010" s="66">
        <v>42447</v>
      </c>
      <c r="B2010" s="51">
        <f>YEAR(Table1[[#This Row],[Date]])</f>
        <v>2016</v>
      </c>
      <c r="C2010" s="1">
        <v>1</v>
      </c>
      <c r="D2010" t="s">
        <v>38</v>
      </c>
      <c r="E2010" s="1">
        <v>10</v>
      </c>
      <c r="F2010" t="s">
        <v>47</v>
      </c>
      <c r="G2010" t="str">
        <f>VLOOKUP(Table1[[#This Row],[Winner]],Ranking!C:D,2,FALSE)</f>
        <v>A10</v>
      </c>
      <c r="H2010" s="1">
        <v>75</v>
      </c>
      <c r="I2010" s="1">
        <v>7</v>
      </c>
      <c r="J2010" t="s">
        <v>319</v>
      </c>
      <c r="K2010" t="str">
        <f>VLOOKUP(Table1[[#This Row],[Loser]],Ranking!C:D,2,FALSE)</f>
        <v>P12</v>
      </c>
      <c r="L2010" s="1">
        <v>67</v>
      </c>
      <c r="N2010" s="1">
        <f>Table1[[#This Row],[Winning Score]]-Table1[[#This Row],[Losing Score]]</f>
        <v>8</v>
      </c>
      <c r="O2010" s="1">
        <f>Table1[[#This Row],[Losing Seed]]-Table1[[#This Row],[Winning Seed]]</f>
        <v>-3</v>
      </c>
      <c r="P2010" s="1" t="str">
        <f>IF(Table1[[#This Row],[SeD]]&lt;-2,Table1[[#This Row],[Winning Seed]]&amp; " over " &amp;Table1[[#This Row],[Losing Seed]],"")</f>
        <v>10 over 7</v>
      </c>
      <c r="Q2010">
        <f>VLOOKUP(Table1[[#This Row],[Losing Seed]],'Seed History'!$N$4:$O$19,2)</f>
        <v>0.90277777777777779</v>
      </c>
      <c r="R2010" s="1">
        <f>IF(Table1[[#This Row],[Round]]="PI",0,Table1[[#This Row],[Round]]-1)</f>
        <v>0</v>
      </c>
      <c r="S2010">
        <f>Table1[[#This Row],[LAW]]-Table1[[#This Row],[LEW]]</f>
        <v>-0.90277777777777779</v>
      </c>
    </row>
    <row r="2011" spans="1:19" x14ac:dyDescent="0.25">
      <c r="A2011" s="66">
        <v>42447</v>
      </c>
      <c r="B2011" s="51">
        <f>YEAR(Table1[[#This Row],[Date]])</f>
        <v>2016</v>
      </c>
      <c r="C2011" s="1">
        <v>1</v>
      </c>
      <c r="D2011" t="s">
        <v>49</v>
      </c>
      <c r="E2011" s="1">
        <v>2</v>
      </c>
      <c r="F2011" t="s">
        <v>44</v>
      </c>
      <c r="G2011" t="str">
        <f>VLOOKUP(Table1[[#This Row],[Winner]],Ranking!C:D,2,FALSE)</f>
        <v>BE</v>
      </c>
      <c r="H2011" s="1">
        <v>71</v>
      </c>
      <c r="I2011" s="1">
        <v>15</v>
      </c>
      <c r="J2011" t="s">
        <v>411</v>
      </c>
      <c r="K2011" t="str">
        <f>VLOOKUP(Table1[[#This Row],[Loser]],Ranking!C:D,2,FALSE)</f>
        <v>BSky</v>
      </c>
      <c r="L2011" s="1">
        <v>53</v>
      </c>
      <c r="N2011" s="1">
        <f>Table1[[#This Row],[Winning Score]]-Table1[[#This Row],[Losing Score]]</f>
        <v>18</v>
      </c>
      <c r="O2011" s="1">
        <f>Table1[[#This Row],[Losing Seed]]-Table1[[#This Row],[Winning Seed]]</f>
        <v>13</v>
      </c>
      <c r="P2011" s="1" t="str">
        <f>IF(Table1[[#This Row],[SeD]]&lt;-2,Table1[[#This Row],[Winning Seed]]&amp; " over " &amp;Table1[[#This Row],[Losing Seed]],"")</f>
        <v/>
      </c>
      <c r="Q2011">
        <f>VLOOKUP(Table1[[#This Row],[Losing Seed]],'Seed History'!$N$4:$O$19,2)</f>
        <v>7.6388888888888895E-2</v>
      </c>
      <c r="R2011" s="1">
        <f>IF(Table1[[#This Row],[Round]]="PI",0,Table1[[#This Row],[Round]]-1)</f>
        <v>0</v>
      </c>
      <c r="S2011">
        <f>Table1[[#This Row],[LAW]]-Table1[[#This Row],[LEW]]</f>
        <v>-7.6388888888888895E-2</v>
      </c>
    </row>
    <row r="2012" spans="1:19" x14ac:dyDescent="0.25">
      <c r="A2012" s="66">
        <v>42447</v>
      </c>
      <c r="B2012" s="51">
        <f>YEAR(Table1[[#This Row],[Date]])</f>
        <v>2016</v>
      </c>
      <c r="C2012" s="1">
        <v>1</v>
      </c>
      <c r="D2012" t="s">
        <v>49</v>
      </c>
      <c r="E2012" s="1">
        <v>6</v>
      </c>
      <c r="F2012" t="s">
        <v>35</v>
      </c>
      <c r="G2012" t="str">
        <f>VLOOKUP(Table1[[#This Row],[Winner]],Ranking!C:D,2,FALSE)</f>
        <v>ACC</v>
      </c>
      <c r="H2012" s="1">
        <v>70</v>
      </c>
      <c r="I2012" s="1">
        <v>11</v>
      </c>
      <c r="J2012" t="s">
        <v>82</v>
      </c>
      <c r="K2012" t="str">
        <f>VLOOKUP(Table1[[#This Row],[Loser]],Ranking!C:D,2,FALSE)</f>
        <v>B10</v>
      </c>
      <c r="L2012" s="1">
        <v>63</v>
      </c>
      <c r="N2012" s="1">
        <f>Table1[[#This Row],[Winning Score]]-Table1[[#This Row],[Losing Score]]</f>
        <v>7</v>
      </c>
      <c r="O2012" s="1">
        <f>Table1[[#This Row],[Losing Seed]]-Table1[[#This Row],[Winning Seed]]</f>
        <v>5</v>
      </c>
      <c r="P2012" s="1" t="str">
        <f>IF(Table1[[#This Row],[SeD]]&lt;-2,Table1[[#This Row],[Winning Seed]]&amp; " over " &amp;Table1[[#This Row],[Losing Seed]],"")</f>
        <v/>
      </c>
      <c r="Q2012">
        <f>VLOOKUP(Table1[[#This Row],[Losing Seed]],'Seed History'!$N$4:$O$19,2)</f>
        <v>0.63194444444444442</v>
      </c>
      <c r="R2012" s="1">
        <f>IF(Table1[[#This Row],[Round]]="PI",0,Table1[[#This Row],[Round]]-1)</f>
        <v>0</v>
      </c>
      <c r="S2012">
        <f>Table1[[#This Row],[LAW]]-Table1[[#This Row],[LEW]]</f>
        <v>-0.63194444444444442</v>
      </c>
    </row>
    <row r="2013" spans="1:19" x14ac:dyDescent="0.25">
      <c r="A2013" s="66">
        <v>42447</v>
      </c>
      <c r="B2013" s="51">
        <f>YEAR(Table1[[#This Row],[Date]])</f>
        <v>2016</v>
      </c>
      <c r="C2013" s="1">
        <v>1</v>
      </c>
      <c r="D2013" t="s">
        <v>49</v>
      </c>
      <c r="E2013" s="1">
        <v>7</v>
      </c>
      <c r="F2013" t="s">
        <v>39</v>
      </c>
      <c r="G2013" t="str">
        <f>VLOOKUP(Table1[[#This Row],[Winner]],Ranking!C:D,2,FALSE)</f>
        <v>B10</v>
      </c>
      <c r="H2013" s="1">
        <v>47</v>
      </c>
      <c r="I2013" s="1">
        <v>10</v>
      </c>
      <c r="J2013" t="s">
        <v>83</v>
      </c>
      <c r="K2013" t="str">
        <f>VLOOKUP(Table1[[#This Row],[Loser]],Ranking!C:D,2,FALSE)</f>
        <v>ACC</v>
      </c>
      <c r="L2013" s="1">
        <v>43</v>
      </c>
      <c r="N2013" s="1">
        <f>Table1[[#This Row],[Winning Score]]-Table1[[#This Row],[Losing Score]]</f>
        <v>4</v>
      </c>
      <c r="O2013" s="1">
        <f>Table1[[#This Row],[Losing Seed]]-Table1[[#This Row],[Winning Seed]]</f>
        <v>3</v>
      </c>
      <c r="P2013" s="1" t="str">
        <f>IF(Table1[[#This Row],[SeD]]&lt;-2,Table1[[#This Row],[Winning Seed]]&amp; " over " &amp;Table1[[#This Row],[Losing Seed]],"")</f>
        <v/>
      </c>
      <c r="Q2013">
        <f>VLOOKUP(Table1[[#This Row],[Losing Seed]],'Seed History'!$N$4:$O$19,2)</f>
        <v>0.61805555555555558</v>
      </c>
      <c r="R2013" s="1">
        <f>IF(Table1[[#This Row],[Round]]="PI",0,Table1[[#This Row],[Round]]-1)</f>
        <v>0</v>
      </c>
      <c r="S2013">
        <f>Table1[[#This Row],[LAW]]-Table1[[#This Row],[LEW]]</f>
        <v>-0.61805555555555558</v>
      </c>
    </row>
    <row r="2014" spans="1:19" x14ac:dyDescent="0.25">
      <c r="A2014" s="66">
        <v>42447</v>
      </c>
      <c r="B2014" s="51">
        <f>YEAR(Table1[[#This Row],[Date]])</f>
        <v>2016</v>
      </c>
      <c r="C2014" s="1">
        <v>1</v>
      </c>
      <c r="D2014" t="s">
        <v>63</v>
      </c>
      <c r="E2014" s="1">
        <v>2</v>
      </c>
      <c r="F2014" t="s">
        <v>50</v>
      </c>
      <c r="G2014" t="str">
        <f>VLOOKUP(Table1[[#This Row],[Winner]],Ranking!C:D,2,FALSE)</f>
        <v>BE</v>
      </c>
      <c r="H2014" s="1">
        <v>86</v>
      </c>
      <c r="I2014" s="1">
        <v>15</v>
      </c>
      <c r="J2014" t="s">
        <v>393</v>
      </c>
      <c r="K2014" t="str">
        <f>VLOOKUP(Table1[[#This Row],[Loser]],Ranking!C:D,2,FALSE)</f>
        <v>BSth</v>
      </c>
      <c r="L2014" s="1">
        <v>56</v>
      </c>
      <c r="N2014" s="1">
        <f>Table1[[#This Row],[Winning Score]]-Table1[[#This Row],[Losing Score]]</f>
        <v>30</v>
      </c>
      <c r="O2014" s="1">
        <f>Table1[[#This Row],[Losing Seed]]-Table1[[#This Row],[Winning Seed]]</f>
        <v>13</v>
      </c>
      <c r="P2014" s="1" t="str">
        <f>IF(Table1[[#This Row],[SeD]]&lt;-2,Table1[[#This Row],[Winning Seed]]&amp; " over " &amp;Table1[[#This Row],[Losing Seed]],"")</f>
        <v/>
      </c>
      <c r="Q2014">
        <f>VLOOKUP(Table1[[#This Row],[Losing Seed]],'Seed History'!$N$4:$O$19,2)</f>
        <v>7.6388888888888895E-2</v>
      </c>
      <c r="R2014" s="1">
        <f>IF(Table1[[#This Row],[Round]]="PI",0,Table1[[#This Row],[Round]]-1)</f>
        <v>0</v>
      </c>
      <c r="S2014">
        <f>Table1[[#This Row],[LAW]]-Table1[[#This Row],[LEW]]</f>
        <v>-7.6388888888888895E-2</v>
      </c>
    </row>
    <row r="2015" spans="1:19" x14ac:dyDescent="0.25">
      <c r="A2015" s="66">
        <v>42447</v>
      </c>
      <c r="B2015" s="51">
        <f>YEAR(Table1[[#This Row],[Date]])</f>
        <v>2016</v>
      </c>
      <c r="C2015" s="1">
        <v>1</v>
      </c>
      <c r="D2015" t="s">
        <v>63</v>
      </c>
      <c r="E2015" s="1">
        <v>5</v>
      </c>
      <c r="F2015" t="s">
        <v>31</v>
      </c>
      <c r="G2015" t="str">
        <f>VLOOKUP(Table1[[#This Row],[Winner]],Ranking!C:D,2,FALSE)</f>
        <v>B10</v>
      </c>
      <c r="H2015" s="1">
        <v>79</v>
      </c>
      <c r="I2015" s="1">
        <v>12</v>
      </c>
      <c r="J2015" t="s">
        <v>357</v>
      </c>
      <c r="K2015" t="str">
        <f>VLOOKUP(Table1[[#This Row],[Loser]],Ranking!C:D,2,FALSE)</f>
        <v>Sum</v>
      </c>
      <c r="L2015" s="1">
        <v>74</v>
      </c>
      <c r="N2015" s="1">
        <f>Table1[[#This Row],[Winning Score]]-Table1[[#This Row],[Losing Score]]</f>
        <v>5</v>
      </c>
      <c r="O2015" s="1">
        <f>Table1[[#This Row],[Losing Seed]]-Table1[[#This Row],[Winning Seed]]</f>
        <v>7</v>
      </c>
      <c r="P2015" s="1" t="str">
        <f>IF(Table1[[#This Row],[SeD]]&lt;-2,Table1[[#This Row],[Winning Seed]]&amp; " over " &amp;Table1[[#This Row],[Losing Seed]],"")</f>
        <v/>
      </c>
      <c r="Q2015">
        <f>VLOOKUP(Table1[[#This Row],[Losing Seed]],'Seed History'!$N$4:$O$19,2)</f>
        <v>0.52083333333333337</v>
      </c>
      <c r="R2015" s="1">
        <f>IF(Table1[[#This Row],[Round]]="PI",0,Table1[[#This Row],[Round]]-1)</f>
        <v>0</v>
      </c>
      <c r="S2015">
        <f>Table1[[#This Row],[LAW]]-Table1[[#This Row],[LEW]]</f>
        <v>-0.52083333333333337</v>
      </c>
    </row>
    <row r="2016" spans="1:19" x14ac:dyDescent="0.25">
      <c r="A2016" s="66">
        <v>42447</v>
      </c>
      <c r="B2016" s="51">
        <f>YEAR(Table1[[#This Row],[Date]])</f>
        <v>2016</v>
      </c>
      <c r="C2016" s="1">
        <v>1</v>
      </c>
      <c r="D2016" t="s">
        <v>63</v>
      </c>
      <c r="E2016" s="1">
        <v>7</v>
      </c>
      <c r="F2016" t="s">
        <v>69</v>
      </c>
      <c r="G2016" t="str">
        <f>VLOOKUP(Table1[[#This Row],[Winner]],Ranking!C:D,2,FALSE)</f>
        <v>B10</v>
      </c>
      <c r="H2016" s="1">
        <v>72</v>
      </c>
      <c r="I2016" s="1">
        <v>10</v>
      </c>
      <c r="J2016" t="s">
        <v>373</v>
      </c>
      <c r="K2016" t="str">
        <f>VLOOKUP(Table1[[#This Row],[Loser]],Ranking!C:D,2,FALSE)</f>
        <v>Amer</v>
      </c>
      <c r="L2016" s="1">
        <v>70</v>
      </c>
      <c r="M2016" s="1" t="s">
        <v>462</v>
      </c>
      <c r="N2016" s="1">
        <f>Table1[[#This Row],[Winning Score]]-Table1[[#This Row],[Losing Score]]</f>
        <v>2</v>
      </c>
      <c r="O2016" s="1">
        <f>Table1[[#This Row],[Losing Seed]]-Table1[[#This Row],[Winning Seed]]</f>
        <v>3</v>
      </c>
      <c r="P2016" s="1" t="str">
        <f>IF(Table1[[#This Row],[SeD]]&lt;-2,Table1[[#This Row],[Winning Seed]]&amp; " over " &amp;Table1[[#This Row],[Losing Seed]],"")</f>
        <v/>
      </c>
      <c r="Q2016">
        <f>VLOOKUP(Table1[[#This Row],[Losing Seed]],'Seed History'!$N$4:$O$19,2)</f>
        <v>0.61805555555555558</v>
      </c>
      <c r="R2016" s="1">
        <f>IF(Table1[[#This Row],[Round]]="PI",0,Table1[[#This Row],[Round]]-1)</f>
        <v>0</v>
      </c>
      <c r="S2016">
        <f>Table1[[#This Row],[LAW]]-Table1[[#This Row],[LEW]]</f>
        <v>-0.61805555555555558</v>
      </c>
    </row>
    <row r="2017" spans="1:19" x14ac:dyDescent="0.25">
      <c r="A2017" s="66">
        <v>42447</v>
      </c>
      <c r="B2017" s="51">
        <f>YEAR(Table1[[#This Row],[Date]])</f>
        <v>2016</v>
      </c>
      <c r="C2017" s="1">
        <v>1</v>
      </c>
      <c r="D2017" t="s">
        <v>38</v>
      </c>
      <c r="E2017" s="1">
        <v>1</v>
      </c>
      <c r="F2017" t="s">
        <v>40</v>
      </c>
      <c r="G2017" t="str">
        <f>VLOOKUP(Table1[[#This Row],[Winner]],Ranking!C:D,2,FALSE)</f>
        <v>P12</v>
      </c>
      <c r="H2017" s="1">
        <v>91</v>
      </c>
      <c r="I2017" s="1">
        <v>16</v>
      </c>
      <c r="J2017" t="s">
        <v>224</v>
      </c>
      <c r="K2017" t="str">
        <f>VLOOKUP(Table1[[#This Row],[Loser]],Ranking!C:D,2,FALSE)</f>
        <v>Pat</v>
      </c>
      <c r="L2017" s="1">
        <v>52</v>
      </c>
      <c r="N2017" s="1">
        <f>Table1[[#This Row],[Winning Score]]-Table1[[#This Row],[Losing Score]]</f>
        <v>39</v>
      </c>
      <c r="O2017" s="1">
        <f>Table1[[#This Row],[Losing Seed]]-Table1[[#This Row],[Winning Seed]]</f>
        <v>15</v>
      </c>
      <c r="P2017" s="1" t="str">
        <f>IF(Table1[[#This Row],[SeD]]&lt;-2,Table1[[#This Row],[Winning Seed]]&amp; " over " &amp;Table1[[#This Row],[Losing Seed]],"")</f>
        <v/>
      </c>
      <c r="Q2017">
        <f>VLOOKUP(Table1[[#This Row],[Losing Seed]],'Seed History'!$N$4:$O$19,2)</f>
        <v>6.9444444444444441E-3</v>
      </c>
      <c r="R2017" s="1">
        <f>IF(Table1[[#This Row],[Round]]="PI",0,Table1[[#This Row],[Round]]-1)</f>
        <v>0</v>
      </c>
      <c r="S2017">
        <f>Table1[[#This Row],[LAW]]-Table1[[#This Row],[LEW]]</f>
        <v>-6.9444444444444441E-3</v>
      </c>
    </row>
    <row r="2018" spans="1:19" x14ac:dyDescent="0.25">
      <c r="A2018" s="66">
        <v>42447</v>
      </c>
      <c r="B2018" s="51">
        <f>YEAR(Table1[[#This Row],[Date]])</f>
        <v>2016</v>
      </c>
      <c r="C2018" s="1">
        <v>1</v>
      </c>
      <c r="D2018" t="s">
        <v>38</v>
      </c>
      <c r="E2018" s="1">
        <v>2</v>
      </c>
      <c r="F2018" t="s">
        <v>58</v>
      </c>
      <c r="G2018" t="str">
        <f>VLOOKUP(Table1[[#This Row],[Winner]],Ranking!C:D,2,FALSE)</f>
        <v>B12</v>
      </c>
      <c r="H2018" s="1">
        <v>82</v>
      </c>
      <c r="I2018" s="1">
        <v>15</v>
      </c>
      <c r="J2018" t="s">
        <v>153</v>
      </c>
      <c r="K2018" t="str">
        <f>VLOOKUP(Table1[[#This Row],[Loser]],Ranking!C:D,2,FALSE)</f>
        <v>BW</v>
      </c>
      <c r="L2018" s="1">
        <v>68</v>
      </c>
      <c r="N2018" s="1">
        <f>Table1[[#This Row],[Winning Score]]-Table1[[#This Row],[Losing Score]]</f>
        <v>14</v>
      </c>
      <c r="O2018" s="1">
        <f>Table1[[#This Row],[Losing Seed]]-Table1[[#This Row],[Winning Seed]]</f>
        <v>13</v>
      </c>
      <c r="P2018" s="1" t="str">
        <f>IF(Table1[[#This Row],[SeD]]&lt;-2,Table1[[#This Row],[Winning Seed]]&amp; " over " &amp;Table1[[#This Row],[Losing Seed]],"")</f>
        <v/>
      </c>
      <c r="Q2018">
        <f>VLOOKUP(Table1[[#This Row],[Losing Seed]],'Seed History'!$N$4:$O$19,2)</f>
        <v>7.6388888888888895E-2</v>
      </c>
      <c r="R2018" s="1">
        <f>IF(Table1[[#This Row],[Round]]="PI",0,Table1[[#This Row],[Round]]-1)</f>
        <v>0</v>
      </c>
      <c r="S2018">
        <f>Table1[[#This Row],[LAW]]-Table1[[#This Row],[LEW]]</f>
        <v>-7.6388888888888895E-2</v>
      </c>
    </row>
    <row r="2019" spans="1:19" x14ac:dyDescent="0.25">
      <c r="A2019" s="66">
        <v>42447</v>
      </c>
      <c r="B2019" s="51">
        <f>YEAR(Table1[[#This Row],[Date]])</f>
        <v>2016</v>
      </c>
      <c r="C2019" s="1">
        <v>1</v>
      </c>
      <c r="D2019" t="s">
        <v>38</v>
      </c>
      <c r="E2019" s="1">
        <v>3</v>
      </c>
      <c r="F2019" t="s">
        <v>79</v>
      </c>
      <c r="G2019" t="str">
        <f>VLOOKUP(Table1[[#This Row],[Winner]],Ranking!C:D,2,FALSE)</f>
        <v>SEC</v>
      </c>
      <c r="H2019" s="1">
        <v>92</v>
      </c>
      <c r="I2019" s="1">
        <v>14</v>
      </c>
      <c r="J2019" t="s">
        <v>219</v>
      </c>
      <c r="K2019" t="str">
        <f>VLOOKUP(Table1[[#This Row],[Loser]],Ranking!C:D,2,FALSE)</f>
        <v>Horz</v>
      </c>
      <c r="L2019" s="1">
        <v>65</v>
      </c>
      <c r="N2019" s="1">
        <f>Table1[[#This Row],[Winning Score]]-Table1[[#This Row],[Losing Score]]</f>
        <v>27</v>
      </c>
      <c r="O2019" s="1">
        <f>Table1[[#This Row],[Losing Seed]]-Table1[[#This Row],[Winning Seed]]</f>
        <v>11</v>
      </c>
      <c r="P2019" s="1" t="str">
        <f>IF(Table1[[#This Row],[SeD]]&lt;-2,Table1[[#This Row],[Winning Seed]]&amp; " over " &amp;Table1[[#This Row],[Losing Seed]],"")</f>
        <v/>
      </c>
      <c r="Q2019">
        <f>VLOOKUP(Table1[[#This Row],[Losing Seed]],'Seed History'!$N$4:$O$19,2)</f>
        <v>0.16666666666666666</v>
      </c>
      <c r="R2019" s="1">
        <f>IF(Table1[[#This Row],[Round]]="PI",0,Table1[[#This Row],[Round]]-1)</f>
        <v>0</v>
      </c>
      <c r="S2019">
        <f>Table1[[#This Row],[LAW]]-Table1[[#This Row],[LEW]]</f>
        <v>-0.16666666666666666</v>
      </c>
    </row>
    <row r="2020" spans="1:19" x14ac:dyDescent="0.25">
      <c r="A2020" s="66">
        <v>42447</v>
      </c>
      <c r="B2020" s="51">
        <f>YEAR(Table1[[#This Row],[Date]])</f>
        <v>2016</v>
      </c>
      <c r="C2020" s="1">
        <v>1</v>
      </c>
      <c r="D2020" t="s">
        <v>38</v>
      </c>
      <c r="E2020" s="1">
        <v>8</v>
      </c>
      <c r="F2020" t="s">
        <v>337</v>
      </c>
      <c r="G2020" t="str">
        <f>VLOOKUP(Table1[[#This Row],[Winner]],Ranking!C:D,2,FALSE)</f>
        <v>A10</v>
      </c>
      <c r="H2020" s="1">
        <v>78</v>
      </c>
      <c r="I2020" s="1">
        <v>9</v>
      </c>
      <c r="J2020" s="67" t="s">
        <v>28</v>
      </c>
      <c r="K2020" t="str">
        <f>VLOOKUP(Table1[[#This Row],[Loser]],Ranking!C:D,2,FALSE)</f>
        <v>Amer</v>
      </c>
      <c r="L2020" s="1">
        <v>76</v>
      </c>
      <c r="N2020" s="1">
        <f>Table1[[#This Row],[Winning Score]]-Table1[[#This Row],[Losing Score]]</f>
        <v>2</v>
      </c>
      <c r="O2020" s="1">
        <f>Table1[[#This Row],[Losing Seed]]-Table1[[#This Row],[Winning Seed]]</f>
        <v>1</v>
      </c>
      <c r="P2020" s="1" t="str">
        <f>IF(Table1[[#This Row],[SeD]]&lt;-2,Table1[[#This Row],[Winning Seed]]&amp; " over " &amp;Table1[[#This Row],[Losing Seed]],"")</f>
        <v/>
      </c>
      <c r="Q2020">
        <f>VLOOKUP(Table1[[#This Row],[Losing Seed]],'Seed History'!$N$4:$O$19,2)</f>
        <v>0.59027777777777779</v>
      </c>
      <c r="R2020" s="1">
        <f>IF(Table1[[#This Row],[Round]]="PI",0,Table1[[#This Row],[Round]]-1)</f>
        <v>0</v>
      </c>
      <c r="S2020">
        <f>Table1[[#This Row],[LAW]]-Table1[[#This Row],[LEW]]</f>
        <v>-0.59027777777777779</v>
      </c>
    </row>
    <row r="2021" spans="1:19" x14ac:dyDescent="0.25">
      <c r="A2021" s="66">
        <v>42448</v>
      </c>
      <c r="B2021" s="51">
        <f>YEAR(Table1[[#This Row],[Date]])</f>
        <v>2016</v>
      </c>
      <c r="C2021" s="1">
        <v>2</v>
      </c>
      <c r="D2021" t="s">
        <v>439</v>
      </c>
      <c r="E2021" s="1">
        <v>11</v>
      </c>
      <c r="F2021" t="s">
        <v>71</v>
      </c>
      <c r="G2021" t="str">
        <f>VLOOKUP(Table1[[#This Row],[Winner]],Ranking!C:D,2,FALSE)</f>
        <v>WCC</v>
      </c>
      <c r="H2021" s="1">
        <v>82</v>
      </c>
      <c r="I2021" s="1">
        <v>3</v>
      </c>
      <c r="J2021" t="s">
        <v>65</v>
      </c>
      <c r="K2021" t="str">
        <f>VLOOKUP(Table1[[#This Row],[Loser]],Ranking!C:D,2,FALSE)</f>
        <v>P12</v>
      </c>
      <c r="L2021" s="1">
        <v>59</v>
      </c>
      <c r="N2021" s="1">
        <f>Table1[[#This Row],[Winning Score]]-Table1[[#This Row],[Losing Score]]</f>
        <v>23</v>
      </c>
      <c r="O2021" s="1">
        <f>Table1[[#This Row],[Losing Seed]]-Table1[[#This Row],[Winning Seed]]</f>
        <v>-8</v>
      </c>
      <c r="P2021" s="1" t="str">
        <f>IF(Table1[[#This Row],[SeD]]&lt;-2,Table1[[#This Row],[Winning Seed]]&amp; " over " &amp;Table1[[#This Row],[Losing Seed]],"")</f>
        <v>11 over 3</v>
      </c>
      <c r="Q2021">
        <f>VLOOKUP(Table1[[#This Row],[Losing Seed]],'Seed History'!$N$4:$O$19,2)</f>
        <v>1.8472222222222223</v>
      </c>
      <c r="R2021" s="1">
        <f>IF(Table1[[#This Row],[Round]]="PI",0,Table1[[#This Row],[Round]]-1)</f>
        <v>1</v>
      </c>
      <c r="S2021">
        <f>Table1[[#This Row],[LAW]]-Table1[[#This Row],[LEW]]</f>
        <v>-0.84722222222222232</v>
      </c>
    </row>
    <row r="2022" spans="1:19" x14ac:dyDescent="0.25">
      <c r="A2022" s="66">
        <v>42448</v>
      </c>
      <c r="B2022" s="51">
        <f>YEAR(Table1[[#This Row],[Date]])</f>
        <v>2016</v>
      </c>
      <c r="C2022" s="1">
        <v>2</v>
      </c>
      <c r="D2022" t="s">
        <v>49</v>
      </c>
      <c r="E2022" s="1">
        <v>1</v>
      </c>
      <c r="F2022" t="s">
        <v>298</v>
      </c>
      <c r="G2022" t="str">
        <f>VLOOKUP(Table1[[#This Row],[Winner]],Ranking!C:D,2,FALSE)</f>
        <v>ACC</v>
      </c>
      <c r="H2022" s="1">
        <v>85</v>
      </c>
      <c r="I2022" s="1">
        <v>9</v>
      </c>
      <c r="J2022" t="s">
        <v>56</v>
      </c>
      <c r="K2022" t="str">
        <f>VLOOKUP(Table1[[#This Row],[Loser]],Ranking!C:D,2,FALSE)</f>
        <v>BE</v>
      </c>
      <c r="L2022" s="1">
        <v>66</v>
      </c>
      <c r="N2022" s="1">
        <f>Table1[[#This Row],[Winning Score]]-Table1[[#This Row],[Losing Score]]</f>
        <v>19</v>
      </c>
      <c r="O2022" s="1">
        <f>Table1[[#This Row],[Losing Seed]]-Table1[[#This Row],[Winning Seed]]</f>
        <v>8</v>
      </c>
      <c r="P2022" s="1" t="str">
        <f>IF(Table1[[#This Row],[SeD]]&lt;-2,Table1[[#This Row],[Winning Seed]]&amp; " over " &amp;Table1[[#This Row],[Losing Seed]],"")</f>
        <v/>
      </c>
      <c r="Q2022">
        <f>VLOOKUP(Table1[[#This Row],[Losing Seed]],'Seed History'!$N$4:$O$19,2)</f>
        <v>0.59027777777777779</v>
      </c>
      <c r="R2022" s="1">
        <f>IF(Table1[[#This Row],[Round]]="PI",0,Table1[[#This Row],[Round]]-1)</f>
        <v>1</v>
      </c>
      <c r="S2022">
        <f>Table1[[#This Row],[LAW]]-Table1[[#This Row],[LEW]]</f>
        <v>0.40972222222222221</v>
      </c>
    </row>
    <row r="2023" spans="1:19" x14ac:dyDescent="0.25">
      <c r="A2023" s="66">
        <v>42448</v>
      </c>
      <c r="B2023" s="51">
        <f>YEAR(Table1[[#This Row],[Date]])</f>
        <v>2016</v>
      </c>
      <c r="C2023" s="1">
        <v>2</v>
      </c>
      <c r="D2023" t="s">
        <v>439</v>
      </c>
      <c r="E2023" s="1">
        <v>1</v>
      </c>
      <c r="F2023" t="s">
        <v>61</v>
      </c>
      <c r="G2023" t="str">
        <f>VLOOKUP(Table1[[#This Row],[Winner]],Ranking!C:D,2,FALSE)</f>
        <v>ACC</v>
      </c>
      <c r="H2023" s="1">
        <v>77</v>
      </c>
      <c r="I2023" s="1">
        <v>9</v>
      </c>
      <c r="J2023" t="s">
        <v>33</v>
      </c>
      <c r="K2023" t="str">
        <f>VLOOKUP(Table1[[#This Row],[Loser]],Ranking!C:D,2,FALSE)</f>
        <v>BE</v>
      </c>
      <c r="L2023" s="1">
        <v>69</v>
      </c>
      <c r="N2023" s="1">
        <f>Table1[[#This Row],[Winning Score]]-Table1[[#This Row],[Losing Score]]</f>
        <v>8</v>
      </c>
      <c r="O2023" s="1">
        <f>Table1[[#This Row],[Losing Seed]]-Table1[[#This Row],[Winning Seed]]</f>
        <v>8</v>
      </c>
      <c r="P2023" s="1" t="str">
        <f>IF(Table1[[#This Row],[SeD]]&lt;-2,Table1[[#This Row],[Winning Seed]]&amp; " over " &amp;Table1[[#This Row],[Losing Seed]],"")</f>
        <v/>
      </c>
      <c r="Q2023">
        <f>VLOOKUP(Table1[[#This Row],[Losing Seed]],'Seed History'!$N$4:$O$19,2)</f>
        <v>0.59027777777777779</v>
      </c>
      <c r="R2023" s="1">
        <f>IF(Table1[[#This Row],[Round]]="PI",0,Table1[[#This Row],[Round]]-1)</f>
        <v>1</v>
      </c>
      <c r="S2023">
        <f>Table1[[#This Row],[LAW]]-Table1[[#This Row],[LEW]]</f>
        <v>0.40972222222222221</v>
      </c>
    </row>
    <row r="2024" spans="1:19" x14ac:dyDescent="0.25">
      <c r="A2024" s="66">
        <v>42448</v>
      </c>
      <c r="B2024" s="51">
        <f>YEAR(Table1[[#This Row],[Date]])</f>
        <v>2016</v>
      </c>
      <c r="C2024" s="1">
        <v>2</v>
      </c>
      <c r="D2024" t="s">
        <v>439</v>
      </c>
      <c r="E2024" s="1">
        <v>4</v>
      </c>
      <c r="F2024" t="s">
        <v>237</v>
      </c>
      <c r="G2024" t="str">
        <f>VLOOKUP(Table1[[#This Row],[Winner]],Ranking!C:D,2,FALSE)</f>
        <v>B12</v>
      </c>
      <c r="H2024" s="1">
        <v>78</v>
      </c>
      <c r="I2024" s="1">
        <v>12</v>
      </c>
      <c r="J2024" t="s">
        <v>472</v>
      </c>
      <c r="K2024" t="str">
        <f>VLOOKUP(Table1[[#This Row],[Loser]],Ranking!C:D,2,FALSE)</f>
        <v>SB</v>
      </c>
      <c r="L2024" s="1">
        <v>61</v>
      </c>
      <c r="N2024" s="1">
        <f>Table1[[#This Row],[Winning Score]]-Table1[[#This Row],[Losing Score]]</f>
        <v>17</v>
      </c>
      <c r="O2024" s="1">
        <f>Table1[[#This Row],[Losing Seed]]-Table1[[#This Row],[Winning Seed]]</f>
        <v>8</v>
      </c>
      <c r="P2024" s="1" t="str">
        <f>IF(Table1[[#This Row],[SeD]]&lt;-2,Table1[[#This Row],[Winning Seed]]&amp; " over " &amp;Table1[[#This Row],[Losing Seed]],"")</f>
        <v/>
      </c>
      <c r="Q2024">
        <f>VLOOKUP(Table1[[#This Row],[Losing Seed]],'Seed History'!$N$4:$O$19,2)</f>
        <v>0.52083333333333337</v>
      </c>
      <c r="R2024" s="1">
        <f>IF(Table1[[#This Row],[Round]]="PI",0,Table1[[#This Row],[Round]]-1)</f>
        <v>1</v>
      </c>
      <c r="S2024">
        <f>Table1[[#This Row],[LAW]]-Table1[[#This Row],[LEW]]</f>
        <v>0.47916666666666663</v>
      </c>
    </row>
    <row r="2025" spans="1:19" x14ac:dyDescent="0.25">
      <c r="A2025" s="66">
        <v>42448</v>
      </c>
      <c r="B2025" s="51">
        <f>YEAR(Table1[[#This Row],[Date]])</f>
        <v>2016</v>
      </c>
      <c r="C2025" s="1">
        <v>2</v>
      </c>
      <c r="D2025" t="s">
        <v>63</v>
      </c>
      <c r="E2025" s="1">
        <v>1</v>
      </c>
      <c r="F2025" t="s">
        <v>37</v>
      </c>
      <c r="G2025" t="str">
        <f>VLOOKUP(Table1[[#This Row],[Winner]],Ranking!C:D,2,FALSE)</f>
        <v>B12</v>
      </c>
      <c r="H2025" s="1">
        <v>73</v>
      </c>
      <c r="I2025" s="1">
        <v>9</v>
      </c>
      <c r="J2025" t="s">
        <v>80</v>
      </c>
      <c r="K2025" t="str">
        <f>VLOOKUP(Table1[[#This Row],[Loser]],Ranking!C:D,2,FALSE)</f>
        <v>BE</v>
      </c>
      <c r="L2025" s="1">
        <v>61</v>
      </c>
      <c r="N2025" s="1">
        <f>Table1[[#This Row],[Winning Score]]-Table1[[#This Row],[Losing Score]]</f>
        <v>12</v>
      </c>
      <c r="O2025" s="1">
        <f>Table1[[#This Row],[Losing Seed]]-Table1[[#This Row],[Winning Seed]]</f>
        <v>8</v>
      </c>
      <c r="P2025" s="1" t="str">
        <f>IF(Table1[[#This Row],[SeD]]&lt;-2,Table1[[#This Row],[Winning Seed]]&amp; " over " &amp;Table1[[#This Row],[Losing Seed]],"")</f>
        <v/>
      </c>
      <c r="Q2025">
        <f>VLOOKUP(Table1[[#This Row],[Losing Seed]],'Seed History'!$N$4:$O$19,2)</f>
        <v>0.59027777777777779</v>
      </c>
      <c r="R2025" s="1">
        <f>IF(Table1[[#This Row],[Round]]="PI",0,Table1[[#This Row],[Round]]-1)</f>
        <v>1</v>
      </c>
      <c r="S2025">
        <f>Table1[[#This Row],[LAW]]-Table1[[#This Row],[LEW]]</f>
        <v>0.40972222222222221</v>
      </c>
    </row>
    <row r="2026" spans="1:19" x14ac:dyDescent="0.25">
      <c r="A2026" s="66">
        <v>42448</v>
      </c>
      <c r="B2026" s="51">
        <f>YEAR(Table1[[#This Row],[Date]])</f>
        <v>2016</v>
      </c>
      <c r="C2026" s="1">
        <v>2</v>
      </c>
      <c r="D2026" t="s">
        <v>63</v>
      </c>
      <c r="E2026" s="1">
        <v>3</v>
      </c>
      <c r="F2026" t="s">
        <v>269</v>
      </c>
      <c r="G2026" t="str">
        <f>VLOOKUP(Table1[[#This Row],[Winner]],Ranking!C:D,2,FALSE)</f>
        <v>ACC</v>
      </c>
      <c r="H2026" s="1">
        <v>65</v>
      </c>
      <c r="I2026" s="1">
        <v>11</v>
      </c>
      <c r="J2026" t="s">
        <v>417</v>
      </c>
      <c r="K2026" t="str">
        <f>VLOOKUP(Table1[[#This Row],[Loser]],Ranking!C:D,2,FALSE)</f>
        <v>Amer</v>
      </c>
      <c r="L2026" s="1">
        <v>57</v>
      </c>
      <c r="N2026" s="1">
        <f>Table1[[#This Row],[Winning Score]]-Table1[[#This Row],[Losing Score]]</f>
        <v>8</v>
      </c>
      <c r="O2026" s="1">
        <f>Table1[[#This Row],[Losing Seed]]-Table1[[#This Row],[Winning Seed]]</f>
        <v>8</v>
      </c>
      <c r="P2026" s="1" t="str">
        <f>IF(Table1[[#This Row],[SeD]]&lt;-2,Table1[[#This Row],[Winning Seed]]&amp; " over " &amp;Table1[[#This Row],[Losing Seed]],"")</f>
        <v/>
      </c>
      <c r="Q2026">
        <f>VLOOKUP(Table1[[#This Row],[Losing Seed]],'Seed History'!$N$4:$O$19,2)</f>
        <v>0.63194444444444442</v>
      </c>
      <c r="R2026" s="1">
        <f>IF(Table1[[#This Row],[Round]]="PI",0,Table1[[#This Row],[Round]]-1)</f>
        <v>1</v>
      </c>
      <c r="S2026">
        <f>Table1[[#This Row],[LAW]]-Table1[[#This Row],[LEW]]</f>
        <v>0.36805555555555558</v>
      </c>
    </row>
    <row r="2027" spans="1:19" x14ac:dyDescent="0.25">
      <c r="A2027" s="66">
        <v>42448</v>
      </c>
      <c r="B2027" s="51">
        <f>YEAR(Table1[[#This Row],[Date]])</f>
        <v>2016</v>
      </c>
      <c r="C2027" s="1">
        <v>2</v>
      </c>
      <c r="D2027" t="s">
        <v>38</v>
      </c>
      <c r="E2027" s="1">
        <v>4</v>
      </c>
      <c r="F2027" t="s">
        <v>64</v>
      </c>
      <c r="G2027" t="str">
        <f>VLOOKUP(Table1[[#This Row],[Winner]],Ranking!C:D,2,FALSE)</f>
        <v>ACC</v>
      </c>
      <c r="H2027" s="1">
        <v>71</v>
      </c>
      <c r="I2027" s="1">
        <v>12</v>
      </c>
      <c r="J2027" t="s">
        <v>93</v>
      </c>
      <c r="K2027" t="str">
        <f>VLOOKUP(Table1[[#This Row],[Loser]],Ranking!C:D,2,FALSE)</f>
        <v>Ivy</v>
      </c>
      <c r="L2027" s="1">
        <v>64</v>
      </c>
      <c r="N2027" s="1">
        <f>Table1[[#This Row],[Winning Score]]-Table1[[#This Row],[Losing Score]]</f>
        <v>7</v>
      </c>
      <c r="O2027" s="1">
        <f>Table1[[#This Row],[Losing Seed]]-Table1[[#This Row],[Winning Seed]]</f>
        <v>8</v>
      </c>
      <c r="P2027" s="1" t="str">
        <f>IF(Table1[[#This Row],[SeD]]&lt;-2,Table1[[#This Row],[Winning Seed]]&amp; " over " &amp;Table1[[#This Row],[Losing Seed]],"")</f>
        <v/>
      </c>
      <c r="Q2027">
        <f>VLOOKUP(Table1[[#This Row],[Losing Seed]],'Seed History'!$N$4:$O$19,2)</f>
        <v>0.52083333333333337</v>
      </c>
      <c r="R2027" s="1">
        <f>IF(Table1[[#This Row],[Round]]="PI",0,Table1[[#This Row],[Round]]-1)</f>
        <v>1</v>
      </c>
      <c r="S2027">
        <f>Table1[[#This Row],[LAW]]-Table1[[#This Row],[LEW]]</f>
        <v>0.47916666666666663</v>
      </c>
    </row>
    <row r="2028" spans="1:19" x14ac:dyDescent="0.25">
      <c r="A2028" s="66">
        <v>42448</v>
      </c>
      <c r="B2028" s="51">
        <f>YEAR(Table1[[#This Row],[Date]])</f>
        <v>2016</v>
      </c>
      <c r="C2028" s="1">
        <v>2</v>
      </c>
      <c r="D2028" t="s">
        <v>49</v>
      </c>
      <c r="E2028" s="1">
        <v>5</v>
      </c>
      <c r="F2028" t="s">
        <v>36</v>
      </c>
      <c r="G2028" t="str">
        <f>VLOOKUP(Table1[[#This Row],[Winner]],Ranking!C:D,2,FALSE)</f>
        <v>B10</v>
      </c>
      <c r="H2028" s="1">
        <v>73</v>
      </c>
      <c r="I2028" s="1">
        <v>4</v>
      </c>
      <c r="J2028" t="s">
        <v>26</v>
      </c>
      <c r="K2028" t="str">
        <f>VLOOKUP(Table1[[#This Row],[Loser]],Ranking!C:D,2,FALSE)</f>
        <v>SEC</v>
      </c>
      <c r="L2028" s="1">
        <v>67</v>
      </c>
      <c r="N2028" s="1">
        <f>Table1[[#This Row],[Winning Score]]-Table1[[#This Row],[Losing Score]]</f>
        <v>6</v>
      </c>
      <c r="O2028" s="1">
        <f>Table1[[#This Row],[Losing Seed]]-Table1[[#This Row],[Winning Seed]]</f>
        <v>-1</v>
      </c>
      <c r="P2028" s="1" t="str">
        <f>IF(Table1[[#This Row],[SeD]]&lt;-2,Table1[[#This Row],[Winning Seed]]&amp; " over " &amp;Table1[[#This Row],[Losing Seed]],"")</f>
        <v/>
      </c>
      <c r="Q2028">
        <f>VLOOKUP(Table1[[#This Row],[Losing Seed]],'Seed History'!$N$4:$O$19,2)</f>
        <v>1.5208333333333333</v>
      </c>
      <c r="R2028" s="1">
        <f>IF(Table1[[#This Row],[Round]]="PI",0,Table1[[#This Row],[Round]]-1)</f>
        <v>1</v>
      </c>
      <c r="S2028">
        <f>Table1[[#This Row],[LAW]]-Table1[[#This Row],[LEW]]</f>
        <v>-0.52083333333333326</v>
      </c>
    </row>
    <row r="2029" spans="1:19" x14ac:dyDescent="0.25">
      <c r="A2029" s="66">
        <v>42449</v>
      </c>
      <c r="B2029" s="51">
        <f>YEAR(Table1[[#This Row],[Date]])</f>
        <v>2016</v>
      </c>
      <c r="C2029" s="1">
        <v>2</v>
      </c>
      <c r="D2029" t="s">
        <v>49</v>
      </c>
      <c r="E2029" s="1">
        <v>7</v>
      </c>
      <c r="F2029" t="s">
        <v>39</v>
      </c>
      <c r="G2029" t="str">
        <f>VLOOKUP(Table1[[#This Row],[Winner]],Ranking!C:D,2,FALSE)</f>
        <v>B10</v>
      </c>
      <c r="H2029" s="1">
        <v>66</v>
      </c>
      <c r="I2029" s="1">
        <v>2</v>
      </c>
      <c r="J2029" t="s">
        <v>44</v>
      </c>
      <c r="K2029" t="str">
        <f>VLOOKUP(Table1[[#This Row],[Loser]],Ranking!C:D,2,FALSE)</f>
        <v>BE</v>
      </c>
      <c r="L2029" s="1">
        <v>63</v>
      </c>
      <c r="N2029" s="1">
        <f>Table1[[#This Row],[Winning Score]]-Table1[[#This Row],[Losing Score]]</f>
        <v>3</v>
      </c>
      <c r="O2029" s="1">
        <f>Table1[[#This Row],[Losing Seed]]-Table1[[#This Row],[Winning Seed]]</f>
        <v>-5</v>
      </c>
      <c r="P2029" s="1" t="str">
        <f>IF(Table1[[#This Row],[SeD]]&lt;-2,Table1[[#This Row],[Winning Seed]]&amp; " over " &amp;Table1[[#This Row],[Losing Seed]],"")</f>
        <v>7 over 2</v>
      </c>
      <c r="Q2029">
        <f>VLOOKUP(Table1[[#This Row],[Losing Seed]],'Seed History'!$N$4:$O$19,2)</f>
        <v>2.3472222222222223</v>
      </c>
      <c r="R2029" s="1">
        <f>IF(Table1[[#This Row],[Round]]="PI",0,Table1[[#This Row],[Round]]-1)</f>
        <v>1</v>
      </c>
      <c r="S2029">
        <f>Table1[[#This Row],[LAW]]-Table1[[#This Row],[LEW]]</f>
        <v>-1.3472222222222223</v>
      </c>
    </row>
    <row r="2030" spans="1:19" x14ac:dyDescent="0.25">
      <c r="A2030" s="66">
        <v>42449</v>
      </c>
      <c r="B2030" s="51">
        <f>YEAR(Table1[[#This Row],[Date]])</f>
        <v>2016</v>
      </c>
      <c r="C2030" s="1">
        <v>2</v>
      </c>
      <c r="D2030" t="s">
        <v>49</v>
      </c>
      <c r="E2030" s="1">
        <v>6</v>
      </c>
      <c r="F2030" t="s">
        <v>35</v>
      </c>
      <c r="G2030" t="str">
        <f>VLOOKUP(Table1[[#This Row],[Winner]],Ranking!C:D,2,FALSE)</f>
        <v>ACC</v>
      </c>
      <c r="H2030" s="1">
        <v>76</v>
      </c>
      <c r="I2030" s="1">
        <v>14</v>
      </c>
      <c r="J2030" t="s">
        <v>370</v>
      </c>
      <c r="K2030" t="str">
        <f>VLOOKUP(Table1[[#This Row],[Loser]],Ranking!C:D,2,FALSE)</f>
        <v>Slnd</v>
      </c>
      <c r="L2030" s="1">
        <v>75</v>
      </c>
      <c r="N2030" s="1">
        <f>Table1[[#This Row],[Winning Score]]-Table1[[#This Row],[Losing Score]]</f>
        <v>1</v>
      </c>
      <c r="O2030" s="1">
        <f>Table1[[#This Row],[Losing Seed]]-Table1[[#This Row],[Winning Seed]]</f>
        <v>8</v>
      </c>
      <c r="P2030" s="1" t="str">
        <f>IF(Table1[[#This Row],[SeD]]&lt;-2,Table1[[#This Row],[Winning Seed]]&amp; " over " &amp;Table1[[#This Row],[Losing Seed]],"")</f>
        <v/>
      </c>
      <c r="Q2030">
        <f>VLOOKUP(Table1[[#This Row],[Losing Seed]],'Seed History'!$N$4:$O$19,2)</f>
        <v>0.16666666666666666</v>
      </c>
      <c r="R2030" s="1">
        <f>IF(Table1[[#This Row],[Round]]="PI",0,Table1[[#This Row],[Round]]-1)</f>
        <v>1</v>
      </c>
      <c r="S2030">
        <f>Table1[[#This Row],[LAW]]-Table1[[#This Row],[LEW]]</f>
        <v>0.83333333333333337</v>
      </c>
    </row>
    <row r="2031" spans="1:19" x14ac:dyDescent="0.25">
      <c r="A2031" s="66">
        <v>42449</v>
      </c>
      <c r="B2031" s="51">
        <f>YEAR(Table1[[#This Row],[Date]])</f>
        <v>2016</v>
      </c>
      <c r="C2031" s="1">
        <v>2</v>
      </c>
      <c r="D2031" t="s">
        <v>439</v>
      </c>
      <c r="E2031" s="1">
        <v>10</v>
      </c>
      <c r="F2031" t="s">
        <v>86</v>
      </c>
      <c r="G2031" t="str">
        <f>VLOOKUP(Table1[[#This Row],[Winner]],Ranking!C:D,2,FALSE)</f>
        <v>ACC</v>
      </c>
      <c r="H2031" s="1">
        <v>75</v>
      </c>
      <c r="I2031" s="1">
        <v>15</v>
      </c>
      <c r="J2031" t="s">
        <v>272</v>
      </c>
      <c r="K2031" t="str">
        <f>VLOOKUP(Table1[[#This Row],[Loser]],Ranking!C:D,2,FALSE)</f>
        <v>CUSA</v>
      </c>
      <c r="L2031" s="1">
        <v>50</v>
      </c>
      <c r="N2031" s="1">
        <f>Table1[[#This Row],[Winning Score]]-Table1[[#This Row],[Losing Score]]</f>
        <v>25</v>
      </c>
      <c r="O2031" s="1">
        <f>Table1[[#This Row],[Losing Seed]]-Table1[[#This Row],[Winning Seed]]</f>
        <v>5</v>
      </c>
      <c r="P2031" s="1" t="str">
        <f>IF(Table1[[#This Row],[SeD]]&lt;-2,Table1[[#This Row],[Winning Seed]]&amp; " over " &amp;Table1[[#This Row],[Losing Seed]],"")</f>
        <v/>
      </c>
      <c r="Q2031">
        <f>VLOOKUP(Table1[[#This Row],[Losing Seed]],'Seed History'!$N$4:$O$19,2)</f>
        <v>7.6388888888888895E-2</v>
      </c>
      <c r="R2031" s="1">
        <f>IF(Table1[[#This Row],[Round]]="PI",0,Table1[[#This Row],[Round]]-1)</f>
        <v>1</v>
      </c>
      <c r="S2031">
        <f>Table1[[#This Row],[LAW]]-Table1[[#This Row],[LEW]]</f>
        <v>0.92361111111111116</v>
      </c>
    </row>
    <row r="2032" spans="1:19" x14ac:dyDescent="0.25">
      <c r="A2032" s="66">
        <v>42449</v>
      </c>
      <c r="B2032" s="51">
        <f>YEAR(Table1[[#This Row],[Date]])</f>
        <v>2016</v>
      </c>
      <c r="C2032" s="1">
        <v>2</v>
      </c>
      <c r="D2032" t="s">
        <v>63</v>
      </c>
      <c r="E2032" s="1">
        <v>2</v>
      </c>
      <c r="F2032" t="s">
        <v>50</v>
      </c>
      <c r="G2032" t="str">
        <f>VLOOKUP(Table1[[#This Row],[Winner]],Ranking!C:D,2,FALSE)</f>
        <v>BE</v>
      </c>
      <c r="H2032" s="1">
        <v>87</v>
      </c>
      <c r="I2032" s="1">
        <v>7</v>
      </c>
      <c r="J2032" t="s">
        <v>69</v>
      </c>
      <c r="K2032" t="str">
        <f>VLOOKUP(Table1[[#This Row],[Loser]],Ranking!C:D,2,FALSE)</f>
        <v>B10</v>
      </c>
      <c r="L2032" s="1">
        <v>68</v>
      </c>
      <c r="N2032" s="1">
        <f>Table1[[#This Row],[Winning Score]]-Table1[[#This Row],[Losing Score]]</f>
        <v>19</v>
      </c>
      <c r="O2032" s="1">
        <f>Table1[[#This Row],[Losing Seed]]-Table1[[#This Row],[Winning Seed]]</f>
        <v>5</v>
      </c>
      <c r="P2032" s="1" t="str">
        <f>IF(Table1[[#This Row],[SeD]]&lt;-2,Table1[[#This Row],[Winning Seed]]&amp; " over " &amp;Table1[[#This Row],[Losing Seed]],"")</f>
        <v/>
      </c>
      <c r="Q2032">
        <f>VLOOKUP(Table1[[#This Row],[Losing Seed]],'Seed History'!$N$4:$O$19,2)</f>
        <v>0.90277777777777779</v>
      </c>
      <c r="R2032" s="1">
        <f>IF(Table1[[#This Row],[Round]]="PI",0,Table1[[#This Row],[Round]]-1)</f>
        <v>1</v>
      </c>
      <c r="S2032">
        <f>Table1[[#This Row],[LAW]]-Table1[[#This Row],[LEW]]</f>
        <v>9.722222222222221E-2</v>
      </c>
    </row>
    <row r="2033" spans="1:19" x14ac:dyDescent="0.25">
      <c r="A2033" s="66">
        <v>42449</v>
      </c>
      <c r="B2033" s="51">
        <f>YEAR(Table1[[#This Row],[Date]])</f>
        <v>2016</v>
      </c>
      <c r="C2033" s="1">
        <v>2</v>
      </c>
      <c r="D2033" t="s">
        <v>63</v>
      </c>
      <c r="E2033" s="1">
        <v>5</v>
      </c>
      <c r="F2033" t="s">
        <v>31</v>
      </c>
      <c r="G2033" t="str">
        <f>VLOOKUP(Table1[[#This Row],[Winner]],Ranking!C:D,2,FALSE)</f>
        <v>B10</v>
      </c>
      <c r="H2033" s="1">
        <v>73</v>
      </c>
      <c r="I2033" s="1">
        <v>13</v>
      </c>
      <c r="J2033" t="s">
        <v>221</v>
      </c>
      <c r="K2033" t="str">
        <f>VLOOKUP(Table1[[#This Row],[Loser]],Ranking!C:D,2,FALSE)</f>
        <v>BW</v>
      </c>
      <c r="L2033" s="1">
        <v>60</v>
      </c>
      <c r="N2033" s="1">
        <f>Table1[[#This Row],[Winning Score]]-Table1[[#This Row],[Losing Score]]</f>
        <v>13</v>
      </c>
      <c r="O2033" s="1">
        <f>Table1[[#This Row],[Losing Seed]]-Table1[[#This Row],[Winning Seed]]</f>
        <v>8</v>
      </c>
      <c r="P2033" s="1" t="str">
        <f>IF(Table1[[#This Row],[SeD]]&lt;-2,Table1[[#This Row],[Winning Seed]]&amp; " over " &amp;Table1[[#This Row],[Losing Seed]],"")</f>
        <v/>
      </c>
      <c r="Q2033">
        <f>VLOOKUP(Table1[[#This Row],[Losing Seed]],'Seed History'!$N$4:$O$19,2)</f>
        <v>0.25694444444444442</v>
      </c>
      <c r="R2033" s="1">
        <f>IF(Table1[[#This Row],[Round]]="PI",0,Table1[[#This Row],[Round]]-1)</f>
        <v>1</v>
      </c>
      <c r="S2033">
        <f>Table1[[#This Row],[LAW]]-Table1[[#This Row],[LEW]]</f>
        <v>0.74305555555555558</v>
      </c>
    </row>
    <row r="2034" spans="1:19" x14ac:dyDescent="0.25">
      <c r="A2034" s="66">
        <v>42449</v>
      </c>
      <c r="B2034" s="51">
        <f>YEAR(Table1[[#This Row],[Date]])</f>
        <v>2016</v>
      </c>
      <c r="C2034" s="1">
        <v>2</v>
      </c>
      <c r="D2034" t="s">
        <v>38</v>
      </c>
      <c r="E2034" s="1">
        <v>1</v>
      </c>
      <c r="F2034" t="s">
        <v>40</v>
      </c>
      <c r="G2034" t="str">
        <f>VLOOKUP(Table1[[#This Row],[Winner]],Ranking!C:D,2,FALSE)</f>
        <v>P12</v>
      </c>
      <c r="H2034" s="1">
        <v>69</v>
      </c>
      <c r="I2034" s="1">
        <v>8</v>
      </c>
      <c r="J2034" t="s">
        <v>337</v>
      </c>
      <c r="K2034" t="str">
        <f>VLOOKUP(Table1[[#This Row],[Loser]],Ranking!C:D,2,FALSE)</f>
        <v>A10</v>
      </c>
      <c r="L2034" s="1">
        <v>64</v>
      </c>
      <c r="N2034" s="1">
        <f>Table1[[#This Row],[Winning Score]]-Table1[[#This Row],[Losing Score]]</f>
        <v>5</v>
      </c>
      <c r="O2034" s="1">
        <f>Table1[[#This Row],[Losing Seed]]-Table1[[#This Row],[Winning Seed]]</f>
        <v>7</v>
      </c>
      <c r="P2034" s="1" t="str">
        <f>IF(Table1[[#This Row],[SeD]]&lt;-2,Table1[[#This Row],[Winning Seed]]&amp; " over " &amp;Table1[[#This Row],[Losing Seed]],"")</f>
        <v/>
      </c>
      <c r="Q2034">
        <f>VLOOKUP(Table1[[#This Row],[Losing Seed]],'Seed History'!$N$4:$O$19,2)</f>
        <v>0.70833333333333337</v>
      </c>
      <c r="R2034" s="1">
        <f>IF(Table1[[#This Row],[Round]]="PI",0,Table1[[#This Row],[Round]]-1)</f>
        <v>1</v>
      </c>
      <c r="S2034">
        <f>Table1[[#This Row],[LAW]]-Table1[[#This Row],[LEW]]</f>
        <v>0.29166666666666663</v>
      </c>
    </row>
    <row r="2035" spans="1:19" x14ac:dyDescent="0.25">
      <c r="A2035" s="66">
        <v>42449</v>
      </c>
      <c r="B2035" s="51">
        <f>YEAR(Table1[[#This Row],[Date]])</f>
        <v>2016</v>
      </c>
      <c r="C2035" s="1">
        <v>2</v>
      </c>
      <c r="D2035" t="s">
        <v>38</v>
      </c>
      <c r="E2035" s="1">
        <v>2</v>
      </c>
      <c r="F2035" t="s">
        <v>58</v>
      </c>
      <c r="G2035" t="str">
        <f>VLOOKUP(Table1[[#This Row],[Winner]],Ranking!C:D,2,FALSE)</f>
        <v>B12</v>
      </c>
      <c r="H2035" s="1">
        <v>85</v>
      </c>
      <c r="I2035" s="1">
        <v>10</v>
      </c>
      <c r="J2035" t="s">
        <v>47</v>
      </c>
      <c r="K2035" t="str">
        <f>VLOOKUP(Table1[[#This Row],[Loser]],Ranking!C:D,2,FALSE)</f>
        <v>A10</v>
      </c>
      <c r="L2035" s="1">
        <v>81</v>
      </c>
      <c r="N2035" s="1">
        <f>Table1[[#This Row],[Winning Score]]-Table1[[#This Row],[Losing Score]]</f>
        <v>4</v>
      </c>
      <c r="O2035" s="1">
        <f>Table1[[#This Row],[Losing Seed]]-Table1[[#This Row],[Winning Seed]]</f>
        <v>8</v>
      </c>
      <c r="P2035" s="1" t="str">
        <f>IF(Table1[[#This Row],[SeD]]&lt;-2,Table1[[#This Row],[Winning Seed]]&amp; " over " &amp;Table1[[#This Row],[Losing Seed]],"")</f>
        <v/>
      </c>
      <c r="Q2035">
        <f>VLOOKUP(Table1[[#This Row],[Losing Seed]],'Seed History'!$N$4:$O$19,2)</f>
        <v>0.61805555555555558</v>
      </c>
      <c r="R2035" s="1">
        <f>IF(Table1[[#This Row],[Round]]="PI",0,Table1[[#This Row],[Round]]-1)</f>
        <v>1</v>
      </c>
      <c r="S2035">
        <f>Table1[[#This Row],[LAW]]-Table1[[#This Row],[LEW]]</f>
        <v>0.38194444444444442</v>
      </c>
    </row>
    <row r="2036" spans="1:19" x14ac:dyDescent="0.25">
      <c r="A2036" s="66">
        <v>42449</v>
      </c>
      <c r="B2036" s="51">
        <f>YEAR(Table1[[#This Row],[Date]])</f>
        <v>2016</v>
      </c>
      <c r="C2036" s="1">
        <v>2</v>
      </c>
      <c r="D2036" t="s">
        <v>38</v>
      </c>
      <c r="E2036" s="1">
        <v>3</v>
      </c>
      <c r="F2036" t="s">
        <v>79</v>
      </c>
      <c r="G2036" t="str">
        <f>VLOOKUP(Table1[[#This Row],[Winner]],Ranking!C:D,2,FALSE)</f>
        <v>SEC</v>
      </c>
      <c r="H2036" s="1">
        <v>92</v>
      </c>
      <c r="I2036" s="1">
        <v>11</v>
      </c>
      <c r="J2036" t="s">
        <v>310</v>
      </c>
      <c r="K2036" t="str">
        <f>VLOOKUP(Table1[[#This Row],[Loser]],Ranking!C:D,2,FALSE)</f>
        <v>MVC</v>
      </c>
      <c r="L2036" s="1">
        <v>88</v>
      </c>
      <c r="M2036" s="1" t="s">
        <v>463</v>
      </c>
      <c r="N2036" s="1">
        <f>Table1[[#This Row],[Winning Score]]-Table1[[#This Row],[Losing Score]]</f>
        <v>4</v>
      </c>
      <c r="O2036" s="1">
        <f>Table1[[#This Row],[Losing Seed]]-Table1[[#This Row],[Winning Seed]]</f>
        <v>8</v>
      </c>
      <c r="P2036" s="1" t="str">
        <f>IF(Table1[[#This Row],[SeD]]&lt;-2,Table1[[#This Row],[Winning Seed]]&amp; " over " &amp;Table1[[#This Row],[Losing Seed]],"")</f>
        <v/>
      </c>
      <c r="Q2036">
        <f>VLOOKUP(Table1[[#This Row],[Losing Seed]],'Seed History'!$N$4:$O$19,2)</f>
        <v>0.63194444444444442</v>
      </c>
      <c r="R2036" s="1">
        <f>IF(Table1[[#This Row],[Round]]="PI",0,Table1[[#This Row],[Round]]-1)</f>
        <v>1</v>
      </c>
      <c r="S2036">
        <f>Table1[[#This Row],[LAW]]-Table1[[#This Row],[LEW]]</f>
        <v>0.36805555555555558</v>
      </c>
    </row>
    <row r="2037" spans="1:19" x14ac:dyDescent="0.25">
      <c r="A2037" s="66">
        <v>42453</v>
      </c>
      <c r="B2037" s="51">
        <f>YEAR(Table1[[#This Row],[Date]])</f>
        <v>2016</v>
      </c>
      <c r="C2037" s="1">
        <v>3</v>
      </c>
      <c r="D2037" t="s">
        <v>63</v>
      </c>
      <c r="E2037" s="1">
        <v>1</v>
      </c>
      <c r="F2037" t="s">
        <v>37</v>
      </c>
      <c r="G2037" t="str">
        <f>VLOOKUP(Table1[[#This Row],[Winner]],Ranking!C:D,2,FALSE)</f>
        <v>B12</v>
      </c>
      <c r="H2037" s="1">
        <v>79</v>
      </c>
      <c r="I2037" s="1">
        <v>5</v>
      </c>
      <c r="J2037" t="s">
        <v>31</v>
      </c>
      <c r="K2037" t="str">
        <f>VLOOKUP(Table1[[#This Row],[Loser]],Ranking!C:D,2,FALSE)</f>
        <v>B10</v>
      </c>
      <c r="L2037" s="1">
        <v>63</v>
      </c>
      <c r="N2037" s="1">
        <f>Table1[[#This Row],[Winning Score]]-Table1[[#This Row],[Losing Score]]</f>
        <v>16</v>
      </c>
      <c r="O2037" s="1">
        <f>Table1[[#This Row],[Losing Seed]]-Table1[[#This Row],[Winning Seed]]</f>
        <v>4</v>
      </c>
      <c r="P2037" s="1" t="str">
        <f>IF(Table1[[#This Row],[SeD]]&lt;-2,Table1[[#This Row],[Winning Seed]]&amp; " over " &amp;Table1[[#This Row],[Losing Seed]],"")</f>
        <v/>
      </c>
      <c r="Q2037">
        <f>VLOOKUP(Table1[[#This Row],[Losing Seed]],'Seed History'!$N$4:$O$19,2)</f>
        <v>1.1180555555555556</v>
      </c>
      <c r="R2037" s="1">
        <f>IF(Table1[[#This Row],[Round]]="PI",0,Table1[[#This Row],[Round]]-1)</f>
        <v>2</v>
      </c>
      <c r="S2037">
        <f>Table1[[#This Row],[LAW]]-Table1[[#This Row],[LEW]]</f>
        <v>0.88194444444444442</v>
      </c>
    </row>
    <row r="2038" spans="1:19" x14ac:dyDescent="0.25">
      <c r="A2038" s="66">
        <v>42453</v>
      </c>
      <c r="B2038" s="51">
        <f>YEAR(Table1[[#This Row],[Date]])</f>
        <v>2016</v>
      </c>
      <c r="C2038" s="1">
        <v>3</v>
      </c>
      <c r="D2038" t="s">
        <v>63</v>
      </c>
      <c r="E2038" s="1">
        <v>2</v>
      </c>
      <c r="F2038" t="s">
        <v>50</v>
      </c>
      <c r="G2038" t="str">
        <f>VLOOKUP(Table1[[#This Row],[Winner]],Ranking!C:D,2,FALSE)</f>
        <v>BE</v>
      </c>
      <c r="H2038" s="1">
        <v>92</v>
      </c>
      <c r="I2038" s="1">
        <v>3</v>
      </c>
      <c r="J2038" t="s">
        <v>269</v>
      </c>
      <c r="K2038" t="str">
        <f>VLOOKUP(Table1[[#This Row],[Loser]],Ranking!C:D,2,FALSE)</f>
        <v>ACC</v>
      </c>
      <c r="L2038" s="1">
        <v>69</v>
      </c>
      <c r="N2038" s="1">
        <f>Table1[[#This Row],[Winning Score]]-Table1[[#This Row],[Losing Score]]</f>
        <v>23</v>
      </c>
      <c r="O2038" s="1">
        <f>Table1[[#This Row],[Losing Seed]]-Table1[[#This Row],[Winning Seed]]</f>
        <v>1</v>
      </c>
      <c r="P2038" s="1" t="str">
        <f>IF(Table1[[#This Row],[SeD]]&lt;-2,Table1[[#This Row],[Winning Seed]]&amp; " over " &amp;Table1[[#This Row],[Losing Seed]],"")</f>
        <v/>
      </c>
      <c r="Q2038">
        <f>VLOOKUP(Table1[[#This Row],[Losing Seed]],'Seed History'!$N$4:$O$19,2)</f>
        <v>1.8472222222222223</v>
      </c>
      <c r="R2038" s="1">
        <f>IF(Table1[[#This Row],[Round]]="PI",0,Table1[[#This Row],[Round]]-1)</f>
        <v>2</v>
      </c>
      <c r="S2038">
        <f>Table1[[#This Row],[LAW]]-Table1[[#This Row],[LEW]]</f>
        <v>0.15277777777777768</v>
      </c>
    </row>
    <row r="2039" spans="1:19" x14ac:dyDescent="0.25">
      <c r="A2039" s="66">
        <v>42453</v>
      </c>
      <c r="B2039" s="51">
        <f>YEAR(Table1[[#This Row],[Date]])</f>
        <v>2016</v>
      </c>
      <c r="C2039" s="1">
        <v>3</v>
      </c>
      <c r="D2039" t="s">
        <v>38</v>
      </c>
      <c r="E2039" s="1">
        <v>1</v>
      </c>
      <c r="F2039" t="s">
        <v>40</v>
      </c>
      <c r="G2039" t="str">
        <f>VLOOKUP(Table1[[#This Row],[Winner]],Ranking!C:D,2,FALSE)</f>
        <v>P12</v>
      </c>
      <c r="H2039" s="1">
        <v>82</v>
      </c>
      <c r="I2039" s="1">
        <v>4</v>
      </c>
      <c r="J2039" t="s">
        <v>64</v>
      </c>
      <c r="K2039" t="str">
        <f>VLOOKUP(Table1[[#This Row],[Loser]],Ranking!C:D,2,FALSE)</f>
        <v>ACC</v>
      </c>
      <c r="L2039" s="1">
        <v>68</v>
      </c>
      <c r="N2039" s="1">
        <f>Table1[[#This Row],[Winning Score]]-Table1[[#This Row],[Losing Score]]</f>
        <v>14</v>
      </c>
      <c r="O2039" s="1">
        <f>Table1[[#This Row],[Losing Seed]]-Table1[[#This Row],[Winning Seed]]</f>
        <v>3</v>
      </c>
      <c r="P2039" s="1" t="str">
        <f>IF(Table1[[#This Row],[SeD]]&lt;-2,Table1[[#This Row],[Winning Seed]]&amp; " over " &amp;Table1[[#This Row],[Losing Seed]],"")</f>
        <v/>
      </c>
      <c r="Q2039">
        <f>VLOOKUP(Table1[[#This Row],[Losing Seed]],'Seed History'!$N$4:$O$19,2)</f>
        <v>1.5208333333333333</v>
      </c>
      <c r="R2039" s="1">
        <f>IF(Table1[[#This Row],[Round]]="PI",0,Table1[[#This Row],[Round]]-1)</f>
        <v>2</v>
      </c>
      <c r="S2039">
        <f>Table1[[#This Row],[LAW]]-Table1[[#This Row],[LEW]]</f>
        <v>0.47916666666666674</v>
      </c>
    </row>
    <row r="2040" spans="1:19" x14ac:dyDescent="0.25">
      <c r="A2040" s="66">
        <v>42453</v>
      </c>
      <c r="B2040" s="51">
        <f>YEAR(Table1[[#This Row],[Date]])</f>
        <v>2016</v>
      </c>
      <c r="C2040" s="1">
        <v>3</v>
      </c>
      <c r="D2040" t="s">
        <v>38</v>
      </c>
      <c r="E2040" s="1">
        <v>2</v>
      </c>
      <c r="F2040" t="s">
        <v>58</v>
      </c>
      <c r="G2040" t="str">
        <f>VLOOKUP(Table1[[#This Row],[Winner]],Ranking!C:D,2,FALSE)</f>
        <v>B12</v>
      </c>
      <c r="H2040" s="1">
        <v>77</v>
      </c>
      <c r="I2040" s="1">
        <v>3</v>
      </c>
      <c r="J2040" t="s">
        <v>79</v>
      </c>
      <c r="K2040" t="str">
        <f>VLOOKUP(Table1[[#This Row],[Loser]],Ranking!C:D,2,FALSE)</f>
        <v>SEC</v>
      </c>
      <c r="L2040" s="1">
        <v>63</v>
      </c>
      <c r="N2040" s="1">
        <f>Table1[[#This Row],[Winning Score]]-Table1[[#This Row],[Losing Score]]</f>
        <v>14</v>
      </c>
      <c r="O2040" s="1">
        <f>Table1[[#This Row],[Losing Seed]]-Table1[[#This Row],[Winning Seed]]</f>
        <v>1</v>
      </c>
      <c r="P2040" s="1" t="str">
        <f>IF(Table1[[#This Row],[SeD]]&lt;-2,Table1[[#This Row],[Winning Seed]]&amp; " over " &amp;Table1[[#This Row],[Losing Seed]],"")</f>
        <v/>
      </c>
      <c r="Q2040">
        <f>VLOOKUP(Table1[[#This Row],[Losing Seed]],'Seed History'!$N$4:$O$19,2)</f>
        <v>1.8472222222222223</v>
      </c>
      <c r="R2040" s="1">
        <f>IF(Table1[[#This Row],[Round]]="PI",0,Table1[[#This Row],[Round]]-1)</f>
        <v>2</v>
      </c>
      <c r="S2040">
        <f>Table1[[#This Row],[LAW]]-Table1[[#This Row],[LEW]]</f>
        <v>0.15277777777777768</v>
      </c>
    </row>
    <row r="2041" spans="1:19" x14ac:dyDescent="0.25">
      <c r="A2041" s="66">
        <v>42454</v>
      </c>
      <c r="B2041" s="51">
        <f>YEAR(Table1[[#This Row],[Date]])</f>
        <v>2016</v>
      </c>
      <c r="C2041" s="1">
        <v>3</v>
      </c>
      <c r="D2041" t="s">
        <v>49</v>
      </c>
      <c r="E2041" s="1">
        <v>1</v>
      </c>
      <c r="F2041" t="s">
        <v>298</v>
      </c>
      <c r="G2041" t="str">
        <f>VLOOKUP(Table1[[#This Row],[Winner]],Ranking!C:D,2,FALSE)</f>
        <v>ACC</v>
      </c>
      <c r="H2041" s="1">
        <v>101</v>
      </c>
      <c r="I2041" s="1">
        <v>5</v>
      </c>
      <c r="J2041" t="s">
        <v>36</v>
      </c>
      <c r="K2041" t="str">
        <f>VLOOKUP(Table1[[#This Row],[Loser]],Ranking!C:D,2,FALSE)</f>
        <v>B10</v>
      </c>
      <c r="L2041" s="1">
        <v>86</v>
      </c>
      <c r="N2041" s="1">
        <f>Table1[[#This Row],[Winning Score]]-Table1[[#This Row],[Losing Score]]</f>
        <v>15</v>
      </c>
      <c r="O2041" s="1">
        <f>Table1[[#This Row],[Losing Seed]]-Table1[[#This Row],[Winning Seed]]</f>
        <v>4</v>
      </c>
      <c r="P2041" s="1" t="str">
        <f>IF(Table1[[#This Row],[SeD]]&lt;-2,Table1[[#This Row],[Winning Seed]]&amp; " over " &amp;Table1[[#This Row],[Losing Seed]],"")</f>
        <v/>
      </c>
      <c r="Q2041">
        <f>VLOOKUP(Table1[[#This Row],[Losing Seed]],'Seed History'!$N$4:$O$19,2)</f>
        <v>1.1180555555555556</v>
      </c>
      <c r="R2041" s="1">
        <f>IF(Table1[[#This Row],[Round]]="PI",0,Table1[[#This Row],[Round]]-1)</f>
        <v>2</v>
      </c>
      <c r="S2041">
        <f>Table1[[#This Row],[LAW]]-Table1[[#This Row],[LEW]]</f>
        <v>0.88194444444444442</v>
      </c>
    </row>
    <row r="2042" spans="1:19" x14ac:dyDescent="0.25">
      <c r="A2042" s="66">
        <v>42454</v>
      </c>
      <c r="B2042" s="51">
        <f>YEAR(Table1[[#This Row],[Date]])</f>
        <v>2016</v>
      </c>
      <c r="C2042" s="1">
        <v>3</v>
      </c>
      <c r="D2042" t="s">
        <v>49</v>
      </c>
      <c r="E2042" s="1">
        <v>6</v>
      </c>
      <c r="F2042" t="s">
        <v>35</v>
      </c>
      <c r="G2042" t="str">
        <f>VLOOKUP(Table1[[#This Row],[Winner]],Ranking!C:D,2,FALSE)</f>
        <v>ACC</v>
      </c>
      <c r="H2042" s="1">
        <v>61</v>
      </c>
      <c r="I2042" s="1">
        <v>7</v>
      </c>
      <c r="J2042" t="s">
        <v>39</v>
      </c>
      <c r="K2042" t="str">
        <f>VLOOKUP(Table1[[#This Row],[Loser]],Ranking!C:D,2,FALSE)</f>
        <v>B10</v>
      </c>
      <c r="L2042" s="1">
        <v>56</v>
      </c>
      <c r="N2042" s="1">
        <f>Table1[[#This Row],[Winning Score]]-Table1[[#This Row],[Losing Score]]</f>
        <v>5</v>
      </c>
      <c r="O2042" s="1">
        <f>Table1[[#This Row],[Losing Seed]]-Table1[[#This Row],[Winning Seed]]</f>
        <v>1</v>
      </c>
      <c r="P2042" s="1" t="str">
        <f>IF(Table1[[#This Row],[SeD]]&lt;-2,Table1[[#This Row],[Winning Seed]]&amp; " over " &amp;Table1[[#This Row],[Losing Seed]],"")</f>
        <v/>
      </c>
      <c r="Q2042">
        <f>VLOOKUP(Table1[[#This Row],[Losing Seed]],'Seed History'!$N$4:$O$19,2)</f>
        <v>0.90277777777777779</v>
      </c>
      <c r="R2042" s="1">
        <f>IF(Table1[[#This Row],[Round]]="PI",0,Table1[[#This Row],[Round]]-1)</f>
        <v>2</v>
      </c>
      <c r="S2042">
        <f>Table1[[#This Row],[LAW]]-Table1[[#This Row],[LEW]]</f>
        <v>1.0972222222222223</v>
      </c>
    </row>
    <row r="2043" spans="1:19" x14ac:dyDescent="0.25">
      <c r="A2043" s="66">
        <v>42454</v>
      </c>
      <c r="B2043" s="51">
        <f>YEAR(Table1[[#This Row],[Date]])</f>
        <v>2016</v>
      </c>
      <c r="C2043" s="1">
        <v>3</v>
      </c>
      <c r="D2043" t="s">
        <v>439</v>
      </c>
      <c r="E2043" s="1">
        <v>1</v>
      </c>
      <c r="F2043" t="s">
        <v>61</v>
      </c>
      <c r="G2043" t="str">
        <f>VLOOKUP(Table1[[#This Row],[Winner]],Ranking!C:D,2,FALSE)</f>
        <v>ACC</v>
      </c>
      <c r="H2043" s="1">
        <v>84</v>
      </c>
      <c r="I2043" s="1">
        <v>4</v>
      </c>
      <c r="J2043" t="s">
        <v>237</v>
      </c>
      <c r="K2043" t="str">
        <f>VLOOKUP(Table1[[#This Row],[Loser]],Ranking!C:D,2,FALSE)</f>
        <v>B12</v>
      </c>
      <c r="L2043" s="1">
        <v>71</v>
      </c>
      <c r="N2043" s="1">
        <f>Table1[[#This Row],[Winning Score]]-Table1[[#This Row],[Losing Score]]</f>
        <v>13</v>
      </c>
      <c r="O2043" s="1">
        <f>Table1[[#This Row],[Losing Seed]]-Table1[[#This Row],[Winning Seed]]</f>
        <v>3</v>
      </c>
      <c r="P2043" s="1" t="str">
        <f>IF(Table1[[#This Row],[SeD]]&lt;-2,Table1[[#This Row],[Winning Seed]]&amp; " over " &amp;Table1[[#This Row],[Losing Seed]],"")</f>
        <v/>
      </c>
      <c r="Q2043">
        <f>VLOOKUP(Table1[[#This Row],[Losing Seed]],'Seed History'!$N$4:$O$19,2)</f>
        <v>1.5208333333333333</v>
      </c>
      <c r="R2043" s="1">
        <f>IF(Table1[[#This Row],[Round]]="PI",0,Table1[[#This Row],[Round]]-1)</f>
        <v>2</v>
      </c>
      <c r="S2043">
        <f>Table1[[#This Row],[LAW]]-Table1[[#This Row],[LEW]]</f>
        <v>0.47916666666666674</v>
      </c>
    </row>
    <row r="2044" spans="1:19" x14ac:dyDescent="0.25">
      <c r="A2044" s="66">
        <v>42454</v>
      </c>
      <c r="B2044" s="51">
        <f>YEAR(Table1[[#This Row],[Date]])</f>
        <v>2016</v>
      </c>
      <c r="C2044" s="1">
        <v>3</v>
      </c>
      <c r="D2044" t="s">
        <v>439</v>
      </c>
      <c r="E2044" s="1">
        <v>10</v>
      </c>
      <c r="F2044" t="s">
        <v>86</v>
      </c>
      <c r="G2044" t="str">
        <f>VLOOKUP(Table1[[#This Row],[Winner]],Ranking!C:D,2,FALSE)</f>
        <v>ACC</v>
      </c>
      <c r="H2044" s="1">
        <v>63</v>
      </c>
      <c r="I2044" s="1">
        <v>11</v>
      </c>
      <c r="J2044" t="s">
        <v>71</v>
      </c>
      <c r="K2044" t="str">
        <f>VLOOKUP(Table1[[#This Row],[Loser]],Ranking!C:D,2,FALSE)</f>
        <v>WCC</v>
      </c>
      <c r="L2044" s="1">
        <v>60</v>
      </c>
      <c r="N2044" s="1">
        <f>Table1[[#This Row],[Winning Score]]-Table1[[#This Row],[Losing Score]]</f>
        <v>3</v>
      </c>
      <c r="O2044" s="1">
        <f>Table1[[#This Row],[Losing Seed]]-Table1[[#This Row],[Winning Seed]]</f>
        <v>1</v>
      </c>
      <c r="P2044" s="1" t="str">
        <f>IF(Table1[[#This Row],[SeD]]&lt;-2,Table1[[#This Row],[Winning Seed]]&amp; " over " &amp;Table1[[#This Row],[Losing Seed]],"")</f>
        <v/>
      </c>
      <c r="Q2044">
        <f>VLOOKUP(Table1[[#This Row],[Losing Seed]],'Seed History'!$N$4:$O$19,2)</f>
        <v>0.63194444444444442</v>
      </c>
      <c r="R2044" s="1">
        <f>IF(Table1[[#This Row],[Round]]="PI",0,Table1[[#This Row],[Round]]-1)</f>
        <v>2</v>
      </c>
      <c r="S2044">
        <f>Table1[[#This Row],[LAW]]-Table1[[#This Row],[LEW]]</f>
        <v>1.3680555555555556</v>
      </c>
    </row>
    <row r="2045" spans="1:19" x14ac:dyDescent="0.25">
      <c r="A2045" s="66">
        <v>42455</v>
      </c>
      <c r="B2045" s="51">
        <f>YEAR(Table1[[#This Row],[Date]])</f>
        <v>2016</v>
      </c>
      <c r="C2045" s="1">
        <v>4</v>
      </c>
      <c r="D2045" t="s">
        <v>63</v>
      </c>
      <c r="E2045" s="1">
        <v>2</v>
      </c>
      <c r="F2045" t="s">
        <v>50</v>
      </c>
      <c r="G2045" t="str">
        <f>VLOOKUP(Table1[[#This Row],[Winner]],Ranking!C:D,2,FALSE)</f>
        <v>BE</v>
      </c>
      <c r="H2045" s="1">
        <v>64</v>
      </c>
      <c r="I2045" s="1">
        <v>1</v>
      </c>
      <c r="J2045" t="s">
        <v>37</v>
      </c>
      <c r="K2045" t="str">
        <f>VLOOKUP(Table1[[#This Row],[Loser]],Ranking!C:D,2,FALSE)</f>
        <v>B12</v>
      </c>
      <c r="L2045" s="1">
        <v>59</v>
      </c>
      <c r="N2045" s="1">
        <f>Table1[[#This Row],[Winning Score]]-Table1[[#This Row],[Losing Score]]</f>
        <v>5</v>
      </c>
      <c r="O2045" s="1">
        <f>Table1[[#This Row],[Losing Seed]]-Table1[[#This Row],[Winning Seed]]</f>
        <v>-1</v>
      </c>
      <c r="P2045" s="1" t="str">
        <f>IF(Table1[[#This Row],[SeD]]&lt;-2,Table1[[#This Row],[Winning Seed]]&amp; " over " &amp;Table1[[#This Row],[Losing Seed]],"")</f>
        <v/>
      </c>
      <c r="Q2045">
        <f>VLOOKUP(Table1[[#This Row],[Losing Seed]],'Seed History'!$N$4:$O$19,2)</f>
        <v>3.3263888888888888</v>
      </c>
      <c r="R2045" s="1">
        <f>IF(Table1[[#This Row],[Round]]="PI",0,Table1[[#This Row],[Round]]-1)</f>
        <v>3</v>
      </c>
      <c r="S2045">
        <f>Table1[[#This Row],[LAW]]-Table1[[#This Row],[LEW]]</f>
        <v>-0.32638888888888884</v>
      </c>
    </row>
    <row r="2046" spans="1:19" x14ac:dyDescent="0.25">
      <c r="A2046" s="66">
        <v>42455</v>
      </c>
      <c r="B2046" s="51">
        <f>YEAR(Table1[[#This Row],[Date]])</f>
        <v>2016</v>
      </c>
      <c r="C2046" s="1">
        <v>4</v>
      </c>
      <c r="D2046" t="s">
        <v>38</v>
      </c>
      <c r="E2046" s="1">
        <v>2</v>
      </c>
      <c r="F2046" t="s">
        <v>58</v>
      </c>
      <c r="G2046" t="str">
        <f>VLOOKUP(Table1[[#This Row],[Winner]],Ranking!C:D,2,FALSE)</f>
        <v>B12</v>
      </c>
      <c r="H2046" s="1">
        <v>80</v>
      </c>
      <c r="I2046" s="1">
        <v>1</v>
      </c>
      <c r="J2046" t="s">
        <v>40</v>
      </c>
      <c r="K2046" t="str">
        <f>VLOOKUP(Table1[[#This Row],[Loser]],Ranking!C:D,2,FALSE)</f>
        <v>P12</v>
      </c>
      <c r="L2046" s="1">
        <v>68</v>
      </c>
      <c r="N2046" s="1">
        <f>Table1[[#This Row],[Winning Score]]-Table1[[#This Row],[Losing Score]]</f>
        <v>12</v>
      </c>
      <c r="O2046" s="1">
        <f>Table1[[#This Row],[Losing Seed]]-Table1[[#This Row],[Winning Seed]]</f>
        <v>-1</v>
      </c>
      <c r="P2046" s="1" t="str">
        <f>IF(Table1[[#This Row],[SeD]]&lt;-2,Table1[[#This Row],[Winning Seed]]&amp; " over " &amp;Table1[[#This Row],[Losing Seed]],"")</f>
        <v/>
      </c>
      <c r="Q2046">
        <f>VLOOKUP(Table1[[#This Row],[Losing Seed]],'Seed History'!$N$4:$O$19,2)</f>
        <v>3.3263888888888888</v>
      </c>
      <c r="R2046" s="1">
        <f>IF(Table1[[#This Row],[Round]]="PI",0,Table1[[#This Row],[Round]]-1)</f>
        <v>3</v>
      </c>
      <c r="S2046">
        <f>Table1[[#This Row],[LAW]]-Table1[[#This Row],[LEW]]</f>
        <v>-0.32638888888888884</v>
      </c>
    </row>
    <row r="2047" spans="1:19" x14ac:dyDescent="0.25">
      <c r="A2047" s="66">
        <v>42456</v>
      </c>
      <c r="B2047" s="51">
        <f>YEAR(Table1[[#This Row],[Date]])</f>
        <v>2016</v>
      </c>
      <c r="C2047" s="1">
        <v>4</v>
      </c>
      <c r="D2047" t="s">
        <v>439</v>
      </c>
      <c r="E2047" s="1">
        <v>10</v>
      </c>
      <c r="F2047" t="s">
        <v>86</v>
      </c>
      <c r="G2047" t="str">
        <f>VLOOKUP(Table1[[#This Row],[Winner]],Ranking!C:D,2,FALSE)</f>
        <v>ACC</v>
      </c>
      <c r="H2047" s="1">
        <v>68</v>
      </c>
      <c r="I2047" s="1">
        <v>1</v>
      </c>
      <c r="J2047" t="s">
        <v>61</v>
      </c>
      <c r="K2047" t="str">
        <f>VLOOKUP(Table1[[#This Row],[Loser]],Ranking!C:D,2,FALSE)</f>
        <v>ACC</v>
      </c>
      <c r="L2047" s="1">
        <v>62</v>
      </c>
      <c r="N2047" s="1">
        <f>Table1[[#This Row],[Winning Score]]-Table1[[#This Row],[Losing Score]]</f>
        <v>6</v>
      </c>
      <c r="O2047" s="1">
        <f>Table1[[#This Row],[Losing Seed]]-Table1[[#This Row],[Winning Seed]]</f>
        <v>-9</v>
      </c>
      <c r="P2047" s="1" t="str">
        <f>IF(Table1[[#This Row],[SeD]]&lt;-2,Table1[[#This Row],[Winning Seed]]&amp; " over " &amp;Table1[[#This Row],[Losing Seed]],"")</f>
        <v>10 over 1</v>
      </c>
      <c r="Q2047">
        <f>VLOOKUP(Table1[[#This Row],[Losing Seed]],'Seed History'!$N$4:$O$19,2)</f>
        <v>3.3263888888888888</v>
      </c>
      <c r="R2047" s="1">
        <f>IF(Table1[[#This Row],[Round]]="PI",0,Table1[[#This Row],[Round]]-1)</f>
        <v>3</v>
      </c>
      <c r="S2047">
        <f>Table1[[#This Row],[LAW]]-Table1[[#This Row],[LEW]]</f>
        <v>-0.32638888888888884</v>
      </c>
    </row>
    <row r="2048" spans="1:19" x14ac:dyDescent="0.25">
      <c r="A2048" s="66">
        <v>42456</v>
      </c>
      <c r="B2048" s="51">
        <f>YEAR(Table1[[#This Row],[Date]])</f>
        <v>2016</v>
      </c>
      <c r="C2048" s="1">
        <v>4</v>
      </c>
      <c r="D2048" t="s">
        <v>49</v>
      </c>
      <c r="E2048" s="1">
        <v>1</v>
      </c>
      <c r="F2048" t="s">
        <v>298</v>
      </c>
      <c r="G2048" t="str">
        <f>VLOOKUP(Table1[[#This Row],[Winner]],Ranking!C:D,2,FALSE)</f>
        <v>ACC</v>
      </c>
      <c r="H2048" s="1">
        <v>88</v>
      </c>
      <c r="I2048" s="1">
        <v>6</v>
      </c>
      <c r="J2048" t="s">
        <v>35</v>
      </c>
      <c r="K2048" t="str">
        <f>VLOOKUP(Table1[[#This Row],[Loser]],Ranking!C:D,2,FALSE)</f>
        <v>ACC</v>
      </c>
      <c r="L2048" s="1">
        <v>74</v>
      </c>
      <c r="N2048" s="1">
        <f>Table1[[#This Row],[Winning Score]]-Table1[[#This Row],[Losing Score]]</f>
        <v>14</v>
      </c>
      <c r="O2048" s="1">
        <f>Table1[[#This Row],[Losing Seed]]-Table1[[#This Row],[Winning Seed]]</f>
        <v>5</v>
      </c>
      <c r="P2048" s="1" t="str">
        <f>IF(Table1[[#This Row],[SeD]]&lt;-2,Table1[[#This Row],[Winning Seed]]&amp; " over " &amp;Table1[[#This Row],[Losing Seed]],"")</f>
        <v/>
      </c>
      <c r="Q2048">
        <f>VLOOKUP(Table1[[#This Row],[Losing Seed]],'Seed History'!$N$4:$O$19,2)</f>
        <v>1.0625</v>
      </c>
      <c r="R2048" s="1">
        <f>IF(Table1[[#This Row],[Round]]="PI",0,Table1[[#This Row],[Round]]-1)</f>
        <v>3</v>
      </c>
      <c r="S2048">
        <f>Table1[[#This Row],[LAW]]-Table1[[#This Row],[LEW]]</f>
        <v>1.9375</v>
      </c>
    </row>
    <row r="2049" spans="1:19" x14ac:dyDescent="0.25">
      <c r="A2049" s="66">
        <v>42462</v>
      </c>
      <c r="B2049" s="51">
        <f>YEAR(Table1[[#This Row],[Date]])</f>
        <v>2016</v>
      </c>
      <c r="C2049" s="1">
        <v>5</v>
      </c>
      <c r="D2049" t="s">
        <v>467</v>
      </c>
      <c r="E2049" s="1">
        <v>1</v>
      </c>
      <c r="F2049" t="s">
        <v>298</v>
      </c>
      <c r="G2049" t="str">
        <f>VLOOKUP(Table1[[#This Row],[Winner]],Ranking!C:D,2,FALSE)</f>
        <v>ACC</v>
      </c>
      <c r="H2049" s="1">
        <v>83</v>
      </c>
      <c r="I2049" s="1">
        <v>10</v>
      </c>
      <c r="J2049" t="s">
        <v>86</v>
      </c>
      <c r="K2049" t="str">
        <f>VLOOKUP(Table1[[#This Row],[Loser]],Ranking!C:D,2,FALSE)</f>
        <v>ACC</v>
      </c>
      <c r="L2049" s="1">
        <v>66</v>
      </c>
      <c r="N2049" s="1">
        <f>Table1[[#This Row],[Winning Score]]-Table1[[#This Row],[Losing Score]]</f>
        <v>17</v>
      </c>
      <c r="O2049" s="1">
        <f>Table1[[#This Row],[Losing Seed]]-Table1[[#This Row],[Winning Seed]]</f>
        <v>9</v>
      </c>
      <c r="P2049" s="1" t="str">
        <f>IF(Table1[[#This Row],[SeD]]&lt;-2,Table1[[#This Row],[Winning Seed]]&amp; " over " &amp;Table1[[#This Row],[Losing Seed]],"")</f>
        <v/>
      </c>
      <c r="Q2049">
        <f>VLOOKUP(Table1[[#This Row],[Losing Seed]],'Seed History'!$N$4:$O$19,2)</f>
        <v>0.61805555555555558</v>
      </c>
      <c r="R2049" s="1">
        <f>IF(Table1[[#This Row],[Round]]="PI",0,Table1[[#This Row],[Round]]-1)</f>
        <v>4</v>
      </c>
      <c r="S2049">
        <f>Table1[[#This Row],[LAW]]-Table1[[#This Row],[LEW]]</f>
        <v>3.3819444444444446</v>
      </c>
    </row>
    <row r="2050" spans="1:19" x14ac:dyDescent="0.25">
      <c r="A2050" s="66">
        <v>42462</v>
      </c>
      <c r="B2050" s="51">
        <f>YEAR(Table1[[#This Row],[Date]])</f>
        <v>2016</v>
      </c>
      <c r="C2050" s="1">
        <v>5</v>
      </c>
      <c r="D2050" t="s">
        <v>467</v>
      </c>
      <c r="E2050" s="1">
        <v>2</v>
      </c>
      <c r="F2050" t="s">
        <v>50</v>
      </c>
      <c r="G2050" t="str">
        <f>VLOOKUP(Table1[[#This Row],[Winner]],Ranking!C:D,2,FALSE)</f>
        <v>BE</v>
      </c>
      <c r="H2050" s="1">
        <v>95</v>
      </c>
      <c r="I2050" s="1">
        <v>2</v>
      </c>
      <c r="J2050" t="s">
        <v>58</v>
      </c>
      <c r="K2050" t="str">
        <f>VLOOKUP(Table1[[#This Row],[Loser]],Ranking!C:D,2,FALSE)</f>
        <v>B12</v>
      </c>
      <c r="L2050" s="1">
        <v>51</v>
      </c>
      <c r="N2050" s="1">
        <f>Table1[[#This Row],[Winning Score]]-Table1[[#This Row],[Losing Score]]</f>
        <v>44</v>
      </c>
      <c r="O2050" s="1">
        <f>Table1[[#This Row],[Losing Seed]]-Table1[[#This Row],[Winning Seed]]</f>
        <v>0</v>
      </c>
      <c r="P2050" s="1" t="str">
        <f>IF(Table1[[#This Row],[SeD]]&lt;-2,Table1[[#This Row],[Winning Seed]]&amp; " over " &amp;Table1[[#This Row],[Losing Seed]],"")</f>
        <v/>
      </c>
      <c r="Q2050">
        <f>VLOOKUP(Table1[[#This Row],[Losing Seed]],'Seed History'!$N$4:$O$19,2)</f>
        <v>2.3472222222222223</v>
      </c>
      <c r="R2050" s="1">
        <f>IF(Table1[[#This Row],[Round]]="PI",0,Table1[[#This Row],[Round]]-1)</f>
        <v>4</v>
      </c>
      <c r="S2050">
        <f>Table1[[#This Row],[LAW]]-Table1[[#This Row],[LEW]]</f>
        <v>1.6527777777777777</v>
      </c>
    </row>
    <row r="2051" spans="1:19" x14ac:dyDescent="0.25">
      <c r="A2051" s="66">
        <v>42464</v>
      </c>
      <c r="B2051" s="51">
        <f>YEAR(Table1[[#This Row],[Date]])</f>
        <v>2016</v>
      </c>
      <c r="C2051" s="1">
        <v>6</v>
      </c>
      <c r="D2051" t="s">
        <v>468</v>
      </c>
      <c r="E2051" s="1">
        <v>2</v>
      </c>
      <c r="F2051" t="s">
        <v>50</v>
      </c>
      <c r="G2051" t="str">
        <f>VLOOKUP(Table1[[#This Row],[Winner]],Ranking!C:D,2,FALSE)</f>
        <v>BE</v>
      </c>
      <c r="H2051" s="1">
        <v>77</v>
      </c>
      <c r="I2051" s="1">
        <v>1</v>
      </c>
      <c r="J2051" t="s">
        <v>298</v>
      </c>
      <c r="K2051" t="str">
        <f>VLOOKUP(Table1[[#This Row],[Loser]],Ranking!C:D,2,FALSE)</f>
        <v>ACC</v>
      </c>
      <c r="L2051" s="1">
        <v>74</v>
      </c>
      <c r="N2051" s="1">
        <f>Table1[[#This Row],[Winning Score]]-Table1[[#This Row],[Losing Score]]</f>
        <v>3</v>
      </c>
      <c r="O2051" s="1">
        <f>Table1[[#This Row],[Losing Seed]]-Table1[[#This Row],[Winning Seed]]</f>
        <v>-1</v>
      </c>
      <c r="P2051" s="1" t="str">
        <f>IF(Table1[[#This Row],[SeD]]&lt;-2,Table1[[#This Row],[Winning Seed]]&amp; " over " &amp;Table1[[#This Row],[Losing Seed]],"")</f>
        <v/>
      </c>
      <c r="Q2051">
        <f>VLOOKUP(Table1[[#This Row],[Losing Seed]],'Seed History'!$N$4:$O$19,2)</f>
        <v>3.3263888888888888</v>
      </c>
      <c r="R2051" s="1">
        <f>IF(Table1[[#This Row],[Round]]="PI",0,Table1[[#This Row],[Round]]-1)</f>
        <v>5</v>
      </c>
      <c r="S2051">
        <f>Table1[[#This Row],[LAW]]-Table1[[#This Row],[LEW]]</f>
        <v>1.6736111111111112</v>
      </c>
    </row>
    <row r="2052" spans="1:19" x14ac:dyDescent="0.25">
      <c r="A2052" s="66">
        <v>42808</v>
      </c>
      <c r="B2052" s="51">
        <f>YEAR(Table1[[#This Row],[Date]])</f>
        <v>2017</v>
      </c>
      <c r="C2052" s="1" t="s">
        <v>476</v>
      </c>
      <c r="D2052" t="s">
        <v>63</v>
      </c>
      <c r="E2052" s="1">
        <v>11</v>
      </c>
      <c r="F2052" t="s">
        <v>243</v>
      </c>
      <c r="G2052" t="str">
        <f>VLOOKUP(Table1[[#This Row],[Winner]],Ranking!C:D,2,FALSE)</f>
        <v>B12</v>
      </c>
      <c r="H2052" s="1">
        <v>95</v>
      </c>
      <c r="I2052" s="1">
        <v>11</v>
      </c>
      <c r="J2052" t="s">
        <v>408</v>
      </c>
      <c r="K2052" t="str">
        <f>VLOOKUP(Table1[[#This Row],[Loser]],Ranking!C:D,2,FALSE)</f>
        <v>ACC</v>
      </c>
      <c r="L2052" s="1">
        <v>88</v>
      </c>
      <c r="N2052" s="1">
        <f>Table1[[#This Row],[Winning Score]]-Table1[[#This Row],[Losing Score]]</f>
        <v>7</v>
      </c>
      <c r="O2052" s="1">
        <f>Table1[[#This Row],[Losing Seed]]-Table1[[#This Row],[Winning Seed]]</f>
        <v>0</v>
      </c>
      <c r="P2052" s="1" t="str">
        <f>IF(Table1[[#This Row],[SeD]]&lt;-2,Table1[[#This Row],[Winning Seed]]&amp; " over " &amp;Table1[[#This Row],[Losing Seed]],"")</f>
        <v/>
      </c>
      <c r="Q2052">
        <f>VLOOKUP(Table1[[#This Row],[Losing Seed]],'Seed History'!$N$4:$O$19,2)</f>
        <v>0.63194444444444442</v>
      </c>
      <c r="R2052" s="1">
        <f>IF(Table1[[#This Row],[Round]]="PI",0,Table1[[#This Row],[Round]]-1)</f>
        <v>0</v>
      </c>
      <c r="S2052">
        <f>Table1[[#This Row],[LAW]]-Table1[[#This Row],[LEW]]</f>
        <v>-0.63194444444444442</v>
      </c>
    </row>
    <row r="2053" spans="1:19" x14ac:dyDescent="0.25">
      <c r="A2053" s="66">
        <v>42808</v>
      </c>
      <c r="B2053" s="51">
        <f>YEAR(Table1[[#This Row],[Date]])</f>
        <v>2017</v>
      </c>
      <c r="C2053" s="1" t="s">
        <v>476</v>
      </c>
      <c r="D2053" t="s">
        <v>49</v>
      </c>
      <c r="E2053" s="1">
        <v>16</v>
      </c>
      <c r="F2053" t="s">
        <v>284</v>
      </c>
      <c r="G2053" t="str">
        <f>VLOOKUP(Table1[[#This Row],[Winner]],Ranking!C:D,2,FALSE)</f>
        <v>NEC</v>
      </c>
      <c r="H2053" s="1">
        <v>67</v>
      </c>
      <c r="I2053" s="1">
        <v>16</v>
      </c>
      <c r="J2053" t="s">
        <v>293</v>
      </c>
      <c r="K2053" t="str">
        <f>VLOOKUP(Table1[[#This Row],[Loser]],Ranking!C:D,2,FALSE)</f>
        <v>Slnd</v>
      </c>
      <c r="L2053" s="1">
        <v>66</v>
      </c>
      <c r="N2053" s="1">
        <f>Table1[[#This Row],[Winning Score]]-Table1[[#This Row],[Losing Score]]</f>
        <v>1</v>
      </c>
      <c r="O2053" s="1">
        <f>Table1[[#This Row],[Losing Seed]]-Table1[[#This Row],[Winning Seed]]</f>
        <v>0</v>
      </c>
      <c r="P2053" s="1" t="str">
        <f>IF(Table1[[#This Row],[SeD]]&lt;-2,Table1[[#This Row],[Winning Seed]]&amp; " over " &amp;Table1[[#This Row],[Losing Seed]],"")</f>
        <v/>
      </c>
      <c r="Q2053">
        <f>VLOOKUP(Table1[[#This Row],[Losing Seed]],'Seed History'!$N$4:$O$19,2)</f>
        <v>6.9444444444444441E-3</v>
      </c>
      <c r="R2053" s="1">
        <f>IF(Table1[[#This Row],[Round]]="PI",0,Table1[[#This Row],[Round]]-1)</f>
        <v>0</v>
      </c>
      <c r="S2053">
        <f>Table1[[#This Row],[LAW]]-Table1[[#This Row],[LEW]]</f>
        <v>-6.9444444444444441E-3</v>
      </c>
    </row>
    <row r="2054" spans="1:19" x14ac:dyDescent="0.25">
      <c r="A2054" s="66">
        <v>42809</v>
      </c>
      <c r="B2054" s="51">
        <f>YEAR(Table1[[#This Row],[Date]])</f>
        <v>2017</v>
      </c>
      <c r="C2054" s="1" t="s">
        <v>476</v>
      </c>
      <c r="D2054" t="s">
        <v>439</v>
      </c>
      <c r="E2054" s="1">
        <v>16</v>
      </c>
      <c r="F2054" t="s">
        <v>386</v>
      </c>
      <c r="G2054" t="str">
        <f>VLOOKUP(Table1[[#This Row],[Winner]],Ranking!C:D,2,FALSE)</f>
        <v>BW</v>
      </c>
      <c r="H2054" s="1">
        <v>67</v>
      </c>
      <c r="I2054" s="1">
        <v>16</v>
      </c>
      <c r="J2054" t="s">
        <v>300</v>
      </c>
      <c r="K2054" t="str">
        <f>VLOOKUP(Table1[[#This Row],[Loser]],Ranking!C:D,2,FALSE)</f>
        <v>MEAC</v>
      </c>
      <c r="L2054" s="1">
        <v>63</v>
      </c>
      <c r="N2054" s="1">
        <f>Table1[[#This Row],[Winning Score]]-Table1[[#This Row],[Losing Score]]</f>
        <v>4</v>
      </c>
      <c r="O2054" s="1">
        <f>Table1[[#This Row],[Losing Seed]]-Table1[[#This Row],[Winning Seed]]</f>
        <v>0</v>
      </c>
      <c r="P2054" s="1" t="str">
        <f>IF(Table1[[#This Row],[SeD]]&lt;-2,Table1[[#This Row],[Winning Seed]]&amp; " over " &amp;Table1[[#This Row],[Losing Seed]],"")</f>
        <v/>
      </c>
      <c r="Q2054">
        <f>VLOOKUP(Table1[[#This Row],[Losing Seed]],'Seed History'!$N$4:$O$19,2)</f>
        <v>6.9444444444444441E-3</v>
      </c>
      <c r="R2054" s="1">
        <f>IF(Table1[[#This Row],[Round]]="PI",0,Table1[[#This Row],[Round]]-1)</f>
        <v>0</v>
      </c>
      <c r="S2054">
        <f>Table1[[#This Row],[LAW]]-Table1[[#This Row],[LEW]]</f>
        <v>-6.9444444444444441E-3</v>
      </c>
    </row>
    <row r="2055" spans="1:19" x14ac:dyDescent="0.25">
      <c r="A2055" s="66">
        <v>42809</v>
      </c>
      <c r="B2055" s="51">
        <f>YEAR(Table1[[#This Row],[Date]])</f>
        <v>2017</v>
      </c>
      <c r="C2055" s="1" t="s">
        <v>476</v>
      </c>
      <c r="D2055" t="s">
        <v>49</v>
      </c>
      <c r="E2055" s="1">
        <v>11</v>
      </c>
      <c r="F2055" t="s">
        <v>85</v>
      </c>
      <c r="G2055" t="str">
        <f>VLOOKUP(Table1[[#This Row],[Winner]],Ranking!C:D,2,FALSE)</f>
        <v>P12</v>
      </c>
      <c r="H2055" s="1">
        <v>75</v>
      </c>
      <c r="I2055" s="1">
        <v>11</v>
      </c>
      <c r="J2055" t="s">
        <v>56</v>
      </c>
      <c r="K2055" t="str">
        <f>VLOOKUP(Table1[[#This Row],[Loser]],Ranking!C:D,2,FALSE)</f>
        <v>BE</v>
      </c>
      <c r="L2055" s="1">
        <v>71</v>
      </c>
      <c r="N2055" s="1">
        <f>Table1[[#This Row],[Winning Score]]-Table1[[#This Row],[Losing Score]]</f>
        <v>4</v>
      </c>
      <c r="O2055" s="1">
        <f>Table1[[#This Row],[Losing Seed]]-Table1[[#This Row],[Winning Seed]]</f>
        <v>0</v>
      </c>
      <c r="P2055" s="1" t="str">
        <f>IF(Table1[[#This Row],[SeD]]&lt;-2,Table1[[#This Row],[Winning Seed]]&amp; " over " &amp;Table1[[#This Row],[Losing Seed]],"")</f>
        <v/>
      </c>
      <c r="Q2055">
        <f>VLOOKUP(Table1[[#This Row],[Losing Seed]],'Seed History'!$N$4:$O$19,2)</f>
        <v>0.63194444444444442</v>
      </c>
      <c r="R2055" s="1">
        <f>IF(Table1[[#This Row],[Round]]="PI",0,Table1[[#This Row],[Round]]-1)</f>
        <v>0</v>
      </c>
      <c r="S2055">
        <f>Table1[[#This Row],[LAW]]-Table1[[#This Row],[LEW]]</f>
        <v>-0.63194444444444442</v>
      </c>
    </row>
    <row r="2056" spans="1:19" x14ac:dyDescent="0.25">
      <c r="A2056" s="66">
        <v>42810</v>
      </c>
      <c r="B2056" s="51">
        <f>YEAR(Table1[[#This Row],[Date]])</f>
        <v>2017</v>
      </c>
      <c r="C2056" s="1">
        <v>1</v>
      </c>
      <c r="D2056" t="s">
        <v>63</v>
      </c>
      <c r="E2056" s="1">
        <v>12</v>
      </c>
      <c r="F2056" t="s">
        <v>272</v>
      </c>
      <c r="G2056" t="str">
        <f>VLOOKUP(Table1[[#This Row],[Winner]],Ranking!C:D,2,FALSE)</f>
        <v>CUSA</v>
      </c>
      <c r="H2056" s="1">
        <v>81</v>
      </c>
      <c r="I2056" s="1">
        <v>5</v>
      </c>
      <c r="J2056" t="s">
        <v>274</v>
      </c>
      <c r="K2056" t="str">
        <f>VLOOKUP(Table1[[#This Row],[Loser]],Ranking!C:D,2,FALSE)</f>
        <v>B10</v>
      </c>
      <c r="L2056" s="1">
        <v>72</v>
      </c>
      <c r="N2056" s="1">
        <f>Table1[[#This Row],[Winning Score]]-Table1[[#This Row],[Losing Score]]</f>
        <v>9</v>
      </c>
      <c r="O2056" s="1">
        <f>Table1[[#This Row],[Losing Seed]]-Table1[[#This Row],[Winning Seed]]</f>
        <v>-7</v>
      </c>
      <c r="P2056" s="1" t="str">
        <f>IF(Table1[[#This Row],[SeD]]&lt;-2,Table1[[#This Row],[Winning Seed]]&amp; " over " &amp;Table1[[#This Row],[Losing Seed]],"")</f>
        <v>12 over 5</v>
      </c>
      <c r="Q2056">
        <f>VLOOKUP(Table1[[#This Row],[Losing Seed]],'Seed History'!$N$4:$O$19,2)</f>
        <v>1.1180555555555556</v>
      </c>
      <c r="R2056" s="1">
        <f>IF(Table1[[#This Row],[Round]]="PI",0,Table1[[#This Row],[Round]]-1)</f>
        <v>0</v>
      </c>
      <c r="S2056">
        <f>Table1[[#This Row],[LAW]]-Table1[[#This Row],[LEW]]</f>
        <v>-1.1180555555555556</v>
      </c>
    </row>
    <row r="2057" spans="1:19" x14ac:dyDescent="0.25">
      <c r="A2057" s="66">
        <v>42810</v>
      </c>
      <c r="B2057" s="51">
        <f>YEAR(Table1[[#This Row],[Date]])</f>
        <v>2017</v>
      </c>
      <c r="C2057" s="1">
        <v>1</v>
      </c>
      <c r="D2057" t="s">
        <v>38</v>
      </c>
      <c r="E2057" s="1">
        <v>11</v>
      </c>
      <c r="F2057" t="s">
        <v>44</v>
      </c>
      <c r="G2057" t="str">
        <f>VLOOKUP(Table1[[#This Row],[Winner]],Ranking!C:D,2,FALSE)</f>
        <v>BE</v>
      </c>
      <c r="H2057" s="1">
        <v>76</v>
      </c>
      <c r="I2057" s="1">
        <v>6</v>
      </c>
      <c r="J2057" t="s">
        <v>31</v>
      </c>
      <c r="K2057" t="str">
        <f>VLOOKUP(Table1[[#This Row],[Loser]],Ranking!C:D,2,FALSE)</f>
        <v>B10</v>
      </c>
      <c r="L2057" s="1">
        <v>65</v>
      </c>
      <c r="N2057" s="1">
        <f>Table1[[#This Row],[Winning Score]]-Table1[[#This Row],[Losing Score]]</f>
        <v>11</v>
      </c>
      <c r="O2057" s="1">
        <f>Table1[[#This Row],[Losing Seed]]-Table1[[#This Row],[Winning Seed]]</f>
        <v>-5</v>
      </c>
      <c r="P2057" s="1" t="str">
        <f>IF(Table1[[#This Row],[SeD]]&lt;-2,Table1[[#This Row],[Winning Seed]]&amp; " over " &amp;Table1[[#This Row],[Losing Seed]],"")</f>
        <v>11 over 6</v>
      </c>
      <c r="Q2057">
        <f>VLOOKUP(Table1[[#This Row],[Losing Seed]],'Seed History'!$N$4:$O$19,2)</f>
        <v>1.0625</v>
      </c>
      <c r="R2057" s="1">
        <f>IF(Table1[[#This Row],[Round]]="PI",0,Table1[[#This Row],[Round]]-1)</f>
        <v>0</v>
      </c>
      <c r="S2057">
        <f>Table1[[#This Row],[LAW]]-Table1[[#This Row],[LEW]]</f>
        <v>-1.0625</v>
      </c>
    </row>
    <row r="2058" spans="1:19" x14ac:dyDescent="0.25">
      <c r="A2058" s="66">
        <v>42810</v>
      </c>
      <c r="B2058" s="51">
        <f>YEAR(Table1[[#This Row],[Date]])</f>
        <v>2017</v>
      </c>
      <c r="C2058" s="1">
        <v>1</v>
      </c>
      <c r="D2058" t="s">
        <v>38</v>
      </c>
      <c r="E2058" s="1">
        <v>5</v>
      </c>
      <c r="F2058" t="s">
        <v>35</v>
      </c>
      <c r="G2058" t="str">
        <f>VLOOKUP(Table1[[#This Row],[Winner]],Ranking!C:D,2,FALSE)</f>
        <v>ACC</v>
      </c>
      <c r="H2058" s="1">
        <v>60</v>
      </c>
      <c r="I2058" s="1">
        <v>12</v>
      </c>
      <c r="J2058" t="s">
        <v>91</v>
      </c>
      <c r="K2058" t="str">
        <f>VLOOKUP(Table1[[#This Row],[Loser]],Ranking!C:D,2,FALSE)</f>
        <v>Ivy</v>
      </c>
      <c r="L2058" s="1">
        <v>58</v>
      </c>
      <c r="N2058" s="1">
        <f>Table1[[#This Row],[Winning Score]]-Table1[[#This Row],[Losing Score]]</f>
        <v>2</v>
      </c>
      <c r="O2058" s="1">
        <f>Table1[[#This Row],[Losing Seed]]-Table1[[#This Row],[Winning Seed]]</f>
        <v>7</v>
      </c>
      <c r="P2058" s="1" t="str">
        <f>IF(Table1[[#This Row],[SeD]]&lt;-2,Table1[[#This Row],[Winning Seed]]&amp; " over " &amp;Table1[[#This Row],[Losing Seed]],"")</f>
        <v/>
      </c>
      <c r="Q2058">
        <f>VLOOKUP(Table1[[#This Row],[Losing Seed]],'Seed History'!$N$4:$O$19,2)</f>
        <v>0.52083333333333337</v>
      </c>
      <c r="R2058" s="1">
        <f>IF(Table1[[#This Row],[Round]]="PI",0,Table1[[#This Row],[Round]]-1)</f>
        <v>0</v>
      </c>
      <c r="S2058">
        <f>Table1[[#This Row],[LAW]]-Table1[[#This Row],[LEW]]</f>
        <v>-0.52083333333333337</v>
      </c>
    </row>
    <row r="2059" spans="1:19" x14ac:dyDescent="0.25">
      <c r="A2059" s="66">
        <v>42810</v>
      </c>
      <c r="B2059" s="51">
        <f>YEAR(Table1[[#This Row],[Date]])</f>
        <v>2017</v>
      </c>
      <c r="C2059" s="1">
        <v>1</v>
      </c>
      <c r="D2059" t="s">
        <v>49</v>
      </c>
      <c r="E2059" s="1">
        <v>5</v>
      </c>
      <c r="F2059" t="s">
        <v>61</v>
      </c>
      <c r="G2059" t="str">
        <f>VLOOKUP(Table1[[#This Row],[Winner]],Ranking!C:D,2,FALSE)</f>
        <v>ACC</v>
      </c>
      <c r="H2059" s="1">
        <v>76</v>
      </c>
      <c r="I2059" s="1">
        <v>12</v>
      </c>
      <c r="J2059" t="s">
        <v>395</v>
      </c>
      <c r="K2059" t="str">
        <f>VLOOKUP(Table1[[#This Row],[Loser]],Ranking!C:D,2,FALSE)</f>
        <v>CAA</v>
      </c>
      <c r="L2059" s="1">
        <v>71</v>
      </c>
      <c r="N2059" s="1">
        <f>Table1[[#This Row],[Winning Score]]-Table1[[#This Row],[Losing Score]]</f>
        <v>5</v>
      </c>
      <c r="O2059" s="1">
        <f>Table1[[#This Row],[Losing Seed]]-Table1[[#This Row],[Winning Seed]]</f>
        <v>7</v>
      </c>
      <c r="P2059" s="1" t="str">
        <f>IF(Table1[[#This Row],[SeD]]&lt;-2,Table1[[#This Row],[Winning Seed]]&amp; " over " &amp;Table1[[#This Row],[Losing Seed]],"")</f>
        <v/>
      </c>
      <c r="Q2059">
        <f>VLOOKUP(Table1[[#This Row],[Losing Seed]],'Seed History'!$N$4:$O$19,2)</f>
        <v>0.52083333333333337</v>
      </c>
      <c r="R2059" s="1">
        <f>IF(Table1[[#This Row],[Round]]="PI",0,Table1[[#This Row],[Round]]-1)</f>
        <v>0</v>
      </c>
      <c r="S2059">
        <f>Table1[[#This Row],[LAW]]-Table1[[#This Row],[LEW]]</f>
        <v>-0.52083333333333337</v>
      </c>
    </row>
    <row r="2060" spans="1:19" x14ac:dyDescent="0.25">
      <c r="A2060" s="66">
        <v>42810</v>
      </c>
      <c r="B2060" s="51">
        <f>YEAR(Table1[[#This Row],[Date]])</f>
        <v>2017</v>
      </c>
      <c r="C2060" s="1">
        <v>1</v>
      </c>
      <c r="D2060" t="s">
        <v>63</v>
      </c>
      <c r="E2060" s="1">
        <v>4</v>
      </c>
      <c r="F2060" t="s">
        <v>33</v>
      </c>
      <c r="G2060" t="str">
        <f>VLOOKUP(Table1[[#This Row],[Winner]],Ranking!C:D,2,FALSE)</f>
        <v>BE</v>
      </c>
      <c r="H2060" s="1">
        <v>76</v>
      </c>
      <c r="I2060" s="1">
        <v>13</v>
      </c>
      <c r="J2060" t="s">
        <v>419</v>
      </c>
      <c r="K2060" t="str">
        <f>VLOOKUP(Table1[[#This Row],[Loser]],Ranking!C:D,2,FALSE)</f>
        <v>BSth</v>
      </c>
      <c r="L2060" s="1">
        <v>64</v>
      </c>
      <c r="N2060" s="1">
        <f>Table1[[#This Row],[Winning Score]]-Table1[[#This Row],[Losing Score]]</f>
        <v>12</v>
      </c>
      <c r="O2060" s="1">
        <f>Table1[[#This Row],[Losing Seed]]-Table1[[#This Row],[Winning Seed]]</f>
        <v>9</v>
      </c>
      <c r="P2060" s="1" t="str">
        <f>IF(Table1[[#This Row],[SeD]]&lt;-2,Table1[[#This Row],[Winning Seed]]&amp; " over " &amp;Table1[[#This Row],[Losing Seed]],"")</f>
        <v/>
      </c>
      <c r="Q2060">
        <f>VLOOKUP(Table1[[#This Row],[Losing Seed]],'Seed History'!$N$4:$O$19,2)</f>
        <v>0.25694444444444442</v>
      </c>
      <c r="R2060" s="1">
        <f>IF(Table1[[#This Row],[Round]]="PI",0,Table1[[#This Row],[Round]]-1)</f>
        <v>0</v>
      </c>
      <c r="S2060">
        <f>Table1[[#This Row],[LAW]]-Table1[[#This Row],[LEW]]</f>
        <v>-0.25694444444444442</v>
      </c>
    </row>
    <row r="2061" spans="1:19" x14ac:dyDescent="0.25">
      <c r="A2061" s="66">
        <v>42810</v>
      </c>
      <c r="B2061" s="51">
        <f>YEAR(Table1[[#This Row],[Date]])</f>
        <v>2017</v>
      </c>
      <c r="C2061" s="1">
        <v>1</v>
      </c>
      <c r="D2061" t="s">
        <v>38</v>
      </c>
      <c r="E2061" s="1">
        <v>1</v>
      </c>
      <c r="F2061" t="s">
        <v>71</v>
      </c>
      <c r="G2061" t="str">
        <f>VLOOKUP(Table1[[#This Row],[Winner]],Ranking!C:D,2,FALSE)</f>
        <v>WCC</v>
      </c>
      <c r="H2061" s="1">
        <v>66</v>
      </c>
      <c r="I2061" s="1">
        <v>16</v>
      </c>
      <c r="J2061" t="s">
        <v>344</v>
      </c>
      <c r="K2061" t="str">
        <f>VLOOKUP(Table1[[#This Row],[Loser]],Ranking!C:D,2,FALSE)</f>
        <v>MWC</v>
      </c>
      <c r="L2061" s="1">
        <v>46</v>
      </c>
      <c r="N2061" s="1">
        <f>Table1[[#This Row],[Winning Score]]-Table1[[#This Row],[Losing Score]]</f>
        <v>20</v>
      </c>
      <c r="O2061" s="1">
        <f>Table1[[#This Row],[Losing Seed]]-Table1[[#This Row],[Winning Seed]]</f>
        <v>15</v>
      </c>
      <c r="P2061" s="1" t="str">
        <f>IF(Table1[[#This Row],[SeD]]&lt;-2,Table1[[#This Row],[Winning Seed]]&amp; " over " &amp;Table1[[#This Row],[Losing Seed]],"")</f>
        <v/>
      </c>
      <c r="Q2061">
        <f>VLOOKUP(Table1[[#This Row],[Losing Seed]],'Seed History'!$N$4:$O$19,2)</f>
        <v>6.9444444444444441E-3</v>
      </c>
      <c r="R2061" s="1">
        <f>IF(Table1[[#This Row],[Round]]="PI",0,Table1[[#This Row],[Round]]-1)</f>
        <v>0</v>
      </c>
      <c r="S2061">
        <f>Table1[[#This Row],[LAW]]-Table1[[#This Row],[LEW]]</f>
        <v>-6.9444444444444441E-3</v>
      </c>
    </row>
    <row r="2062" spans="1:19" x14ac:dyDescent="0.25">
      <c r="A2062" s="66">
        <v>42810</v>
      </c>
      <c r="B2062" s="51">
        <f>YEAR(Table1[[#This Row],[Date]])</f>
        <v>2017</v>
      </c>
      <c r="C2062" s="1">
        <v>1</v>
      </c>
      <c r="D2062" t="s">
        <v>38</v>
      </c>
      <c r="E2062" s="1">
        <v>4</v>
      </c>
      <c r="F2062" t="s">
        <v>412</v>
      </c>
      <c r="G2062" t="str">
        <f>VLOOKUP(Table1[[#This Row],[Winner]],Ranking!C:D,2,FALSE)</f>
        <v>B12</v>
      </c>
      <c r="H2062" s="1">
        <v>86</v>
      </c>
      <c r="I2062" s="1">
        <v>13</v>
      </c>
      <c r="J2062" t="s">
        <v>148</v>
      </c>
      <c r="K2062" t="str">
        <f>VLOOKUP(Table1[[#This Row],[Loser]],Ranking!C:D,2,FALSE)</f>
        <v>Pat</v>
      </c>
      <c r="L2062" s="1">
        <v>80</v>
      </c>
      <c r="N2062" s="1">
        <f>Table1[[#This Row],[Winning Score]]-Table1[[#This Row],[Losing Score]]</f>
        <v>6</v>
      </c>
      <c r="O2062" s="1">
        <f>Table1[[#This Row],[Losing Seed]]-Table1[[#This Row],[Winning Seed]]</f>
        <v>9</v>
      </c>
      <c r="P2062" s="1" t="str">
        <f>IF(Table1[[#This Row],[SeD]]&lt;-2,Table1[[#This Row],[Winning Seed]]&amp; " over " &amp;Table1[[#This Row],[Losing Seed]],"")</f>
        <v/>
      </c>
      <c r="Q2062">
        <f>VLOOKUP(Table1[[#This Row],[Losing Seed]],'Seed History'!$N$4:$O$19,2)</f>
        <v>0.25694444444444442</v>
      </c>
      <c r="R2062" s="1">
        <f>IF(Table1[[#This Row],[Round]]="PI",0,Table1[[#This Row],[Round]]-1)</f>
        <v>0</v>
      </c>
      <c r="S2062">
        <f>Table1[[#This Row],[LAW]]-Table1[[#This Row],[LEW]]</f>
        <v>-0.25694444444444442</v>
      </c>
    </row>
    <row r="2063" spans="1:19" x14ac:dyDescent="0.25">
      <c r="A2063" s="66">
        <v>42810</v>
      </c>
      <c r="B2063" s="51">
        <f>YEAR(Table1[[#This Row],[Date]])</f>
        <v>2017</v>
      </c>
      <c r="C2063" s="1">
        <v>1</v>
      </c>
      <c r="D2063" t="s">
        <v>49</v>
      </c>
      <c r="E2063" s="1">
        <v>4</v>
      </c>
      <c r="F2063" t="s">
        <v>81</v>
      </c>
      <c r="G2063" t="str">
        <f>VLOOKUP(Table1[[#This Row],[Winner]],Ranking!C:D,2,FALSE)</f>
        <v>SEC</v>
      </c>
      <c r="H2063" s="1">
        <v>80</v>
      </c>
      <c r="I2063" s="1">
        <v>13</v>
      </c>
      <c r="J2063" t="s">
        <v>192</v>
      </c>
      <c r="K2063" t="str">
        <f>VLOOKUP(Table1[[#This Row],[Loser]],Ranking!C:D,2,FALSE)</f>
        <v>SC</v>
      </c>
      <c r="L2063" s="1">
        <v>65</v>
      </c>
      <c r="N2063" s="1">
        <f>Table1[[#This Row],[Winning Score]]-Table1[[#This Row],[Losing Score]]</f>
        <v>15</v>
      </c>
      <c r="O2063" s="1">
        <f>Table1[[#This Row],[Losing Seed]]-Table1[[#This Row],[Winning Seed]]</f>
        <v>9</v>
      </c>
      <c r="P2063" s="1" t="str">
        <f>IF(Table1[[#This Row],[SeD]]&lt;-2,Table1[[#This Row],[Winning Seed]]&amp; " over " &amp;Table1[[#This Row],[Losing Seed]],"")</f>
        <v/>
      </c>
      <c r="Q2063">
        <f>VLOOKUP(Table1[[#This Row],[Losing Seed]],'Seed History'!$N$4:$O$19,2)</f>
        <v>0.25694444444444442</v>
      </c>
      <c r="R2063" s="1">
        <f>IF(Table1[[#This Row],[Round]]="PI",0,Table1[[#This Row],[Round]]-1)</f>
        <v>0</v>
      </c>
      <c r="S2063">
        <f>Table1[[#This Row],[LAW]]-Table1[[#This Row],[LEW]]</f>
        <v>-0.25694444444444442</v>
      </c>
    </row>
    <row r="2064" spans="1:19" x14ac:dyDescent="0.25">
      <c r="A2064" s="66">
        <v>42810</v>
      </c>
      <c r="B2064" s="51">
        <f>YEAR(Table1[[#This Row],[Date]])</f>
        <v>2017</v>
      </c>
      <c r="C2064" s="1">
        <v>1</v>
      </c>
      <c r="D2064" t="s">
        <v>38</v>
      </c>
      <c r="E2064" s="1">
        <v>8</v>
      </c>
      <c r="F2064" t="s">
        <v>97</v>
      </c>
      <c r="G2064" t="str">
        <f>VLOOKUP(Table1[[#This Row],[Winner]],Ranking!C:D,2,FALSE)</f>
        <v>B10</v>
      </c>
      <c r="H2064" s="1">
        <v>68</v>
      </c>
      <c r="I2064" s="1">
        <v>9</v>
      </c>
      <c r="J2064" t="s">
        <v>78</v>
      </c>
      <c r="K2064" t="str">
        <f>VLOOKUP(Table1[[#This Row],[Loser]],Ranking!C:D,2,FALSE)</f>
        <v>SEC</v>
      </c>
      <c r="L2064" s="1">
        <v>66</v>
      </c>
      <c r="N2064" s="1">
        <f>Table1[[#This Row],[Winning Score]]-Table1[[#This Row],[Losing Score]]</f>
        <v>2</v>
      </c>
      <c r="O2064" s="1">
        <f>Table1[[#This Row],[Losing Seed]]-Table1[[#This Row],[Winning Seed]]</f>
        <v>1</v>
      </c>
      <c r="P2064" s="1" t="str">
        <f>IF(Table1[[#This Row],[SeD]]&lt;-2,Table1[[#This Row],[Winning Seed]]&amp; " over " &amp;Table1[[#This Row],[Losing Seed]],"")</f>
        <v/>
      </c>
      <c r="Q2064">
        <f>VLOOKUP(Table1[[#This Row],[Losing Seed]],'Seed History'!$N$4:$O$19,2)</f>
        <v>0.59027777777777779</v>
      </c>
      <c r="R2064" s="1">
        <f>IF(Table1[[#This Row],[Round]]="PI",0,Table1[[#This Row],[Round]]-1)</f>
        <v>0</v>
      </c>
      <c r="S2064">
        <f>Table1[[#This Row],[LAW]]-Table1[[#This Row],[LEW]]</f>
        <v>-0.59027777777777779</v>
      </c>
    </row>
    <row r="2065" spans="1:19" x14ac:dyDescent="0.25">
      <c r="A2065" s="66">
        <v>42810</v>
      </c>
      <c r="B2065" s="51">
        <f>YEAR(Table1[[#This Row],[Date]])</f>
        <v>2017</v>
      </c>
      <c r="C2065" s="1">
        <v>1</v>
      </c>
      <c r="D2065" t="s">
        <v>49</v>
      </c>
      <c r="E2065" s="1">
        <v>1</v>
      </c>
      <c r="F2065" t="s">
        <v>50</v>
      </c>
      <c r="G2065" t="str">
        <f>VLOOKUP(Table1[[#This Row],[Winner]],Ranking!C:D,2,FALSE)</f>
        <v>BE</v>
      </c>
      <c r="H2065" s="1">
        <v>76</v>
      </c>
      <c r="I2065" s="1">
        <v>16</v>
      </c>
      <c r="J2065" t="s">
        <v>284</v>
      </c>
      <c r="K2065" t="str">
        <f>VLOOKUP(Table1[[#This Row],[Loser]],Ranking!C:D,2,FALSE)</f>
        <v>NEC</v>
      </c>
      <c r="L2065" s="1">
        <v>56</v>
      </c>
      <c r="N2065" s="1">
        <f>Table1[[#This Row],[Winning Score]]-Table1[[#This Row],[Losing Score]]</f>
        <v>20</v>
      </c>
      <c r="O2065" s="1">
        <f>Table1[[#This Row],[Losing Seed]]-Table1[[#This Row],[Winning Seed]]</f>
        <v>15</v>
      </c>
      <c r="P2065" s="1" t="str">
        <f>IF(Table1[[#This Row],[SeD]]&lt;-2,Table1[[#This Row],[Winning Seed]]&amp; " over " &amp;Table1[[#This Row],[Losing Seed]],"")</f>
        <v/>
      </c>
      <c r="Q2065">
        <f>VLOOKUP(Table1[[#This Row],[Losing Seed]],'Seed History'!$N$4:$O$19,2)</f>
        <v>6.9444444444444441E-3</v>
      </c>
      <c r="R2065" s="1">
        <f>IF(Table1[[#This Row],[Round]]="PI",0,Table1[[#This Row],[Round]]-1)</f>
        <v>0</v>
      </c>
      <c r="S2065">
        <f>Table1[[#This Row],[LAW]]-Table1[[#This Row],[LEW]]</f>
        <v>-6.9444444444444441E-3</v>
      </c>
    </row>
    <row r="2066" spans="1:19" x14ac:dyDescent="0.25">
      <c r="A2066" s="66">
        <v>42810</v>
      </c>
      <c r="B2066" s="51">
        <f>YEAR(Table1[[#This Row],[Date]])</f>
        <v>2017</v>
      </c>
      <c r="C2066" s="1">
        <v>1</v>
      </c>
      <c r="D2066" t="s">
        <v>38</v>
      </c>
      <c r="E2066" s="1">
        <v>7</v>
      </c>
      <c r="F2066" t="s">
        <v>339</v>
      </c>
      <c r="G2066" t="str">
        <f>VLOOKUP(Table1[[#This Row],[Winner]],Ranking!C:D,2,FALSE)</f>
        <v>WCC</v>
      </c>
      <c r="H2066" s="1">
        <v>85</v>
      </c>
      <c r="I2066" s="1">
        <v>10</v>
      </c>
      <c r="J2066" t="s">
        <v>47</v>
      </c>
      <c r="K2066" t="str">
        <f>VLOOKUP(Table1[[#This Row],[Loser]],Ranking!C:D,2,FALSE)</f>
        <v>A10</v>
      </c>
      <c r="L2066" s="1">
        <v>77</v>
      </c>
      <c r="N2066" s="1">
        <f>Table1[[#This Row],[Winning Score]]-Table1[[#This Row],[Losing Score]]</f>
        <v>8</v>
      </c>
      <c r="O2066" s="1">
        <f>Table1[[#This Row],[Losing Seed]]-Table1[[#This Row],[Winning Seed]]</f>
        <v>3</v>
      </c>
      <c r="P2066" s="1" t="str">
        <f>IF(Table1[[#This Row],[SeD]]&lt;-2,Table1[[#This Row],[Winning Seed]]&amp; " over " &amp;Table1[[#This Row],[Losing Seed]],"")</f>
        <v/>
      </c>
      <c r="Q2066">
        <f>VLOOKUP(Table1[[#This Row],[Losing Seed]],'Seed History'!$N$4:$O$19,2)</f>
        <v>0.61805555555555558</v>
      </c>
      <c r="R2066" s="1">
        <f>IF(Table1[[#This Row],[Round]]="PI",0,Table1[[#This Row],[Round]]-1)</f>
        <v>0</v>
      </c>
      <c r="S2066">
        <f>Table1[[#This Row],[LAW]]-Table1[[#This Row],[LEW]]</f>
        <v>-0.61805555555555558</v>
      </c>
    </row>
    <row r="2067" spans="1:19" x14ac:dyDescent="0.25">
      <c r="A2067" s="66">
        <v>42810</v>
      </c>
      <c r="B2067" s="51">
        <f>YEAR(Table1[[#This Row],[Date]])</f>
        <v>2017</v>
      </c>
      <c r="C2067" s="1">
        <v>1</v>
      </c>
      <c r="D2067" t="s">
        <v>439</v>
      </c>
      <c r="E2067" s="1">
        <v>4</v>
      </c>
      <c r="F2067" t="s">
        <v>29</v>
      </c>
      <c r="G2067" t="str">
        <f>VLOOKUP(Table1[[#This Row],[Winner]],Ranking!C:D,2,FALSE)</f>
        <v>B10</v>
      </c>
      <c r="H2067" s="1">
        <v>80</v>
      </c>
      <c r="I2067" s="1">
        <v>13</v>
      </c>
      <c r="J2067" t="s">
        <v>404</v>
      </c>
      <c r="K2067" t="str">
        <f>VLOOKUP(Table1[[#This Row],[Loser]],Ranking!C:D,2,FALSE)</f>
        <v>AE</v>
      </c>
      <c r="L2067" s="1">
        <v>70</v>
      </c>
      <c r="N2067" s="1">
        <f>Table1[[#This Row],[Winning Score]]-Table1[[#This Row],[Losing Score]]</f>
        <v>10</v>
      </c>
      <c r="O2067" s="1">
        <f>Table1[[#This Row],[Losing Seed]]-Table1[[#This Row],[Winning Seed]]</f>
        <v>9</v>
      </c>
      <c r="P2067" s="1" t="str">
        <f>IF(Table1[[#This Row],[SeD]]&lt;-2,Table1[[#This Row],[Winning Seed]]&amp; " over " &amp;Table1[[#This Row],[Losing Seed]],"")</f>
        <v/>
      </c>
      <c r="Q2067">
        <f>VLOOKUP(Table1[[#This Row],[Losing Seed]],'Seed History'!$N$4:$O$19,2)</f>
        <v>0.25694444444444442</v>
      </c>
      <c r="R2067" s="1">
        <f>IF(Table1[[#This Row],[Round]]="PI",0,Table1[[#This Row],[Round]]-1)</f>
        <v>0</v>
      </c>
      <c r="S2067">
        <f>Table1[[#This Row],[LAW]]-Table1[[#This Row],[LEW]]</f>
        <v>-0.25694444444444442</v>
      </c>
    </row>
    <row r="2068" spans="1:19" x14ac:dyDescent="0.25">
      <c r="A2068" s="66">
        <v>42810</v>
      </c>
      <c r="B2068" s="51">
        <f>YEAR(Table1[[#This Row],[Date]])</f>
        <v>2017</v>
      </c>
      <c r="C2068" s="1">
        <v>1</v>
      </c>
      <c r="D2068" t="s">
        <v>38</v>
      </c>
      <c r="E2068" s="1">
        <v>3</v>
      </c>
      <c r="F2068" t="s">
        <v>207</v>
      </c>
      <c r="G2068" t="str">
        <f>VLOOKUP(Table1[[#This Row],[Winner]],Ranking!C:D,2,FALSE)</f>
        <v>ACC</v>
      </c>
      <c r="H2068" s="1">
        <v>86</v>
      </c>
      <c r="I2068" s="1">
        <v>14</v>
      </c>
      <c r="J2068" t="s">
        <v>205</v>
      </c>
      <c r="K2068" t="str">
        <f>VLOOKUP(Table1[[#This Row],[Loser]],Ranking!C:D,2,FALSE)</f>
        <v>ASun</v>
      </c>
      <c r="L2068" s="1">
        <v>80</v>
      </c>
      <c r="N2068" s="1">
        <f>Table1[[#This Row],[Winning Score]]-Table1[[#This Row],[Losing Score]]</f>
        <v>6</v>
      </c>
      <c r="O2068" s="1">
        <f>Table1[[#This Row],[Losing Seed]]-Table1[[#This Row],[Winning Seed]]</f>
        <v>11</v>
      </c>
      <c r="P2068" s="1" t="str">
        <f>IF(Table1[[#This Row],[SeD]]&lt;-2,Table1[[#This Row],[Winning Seed]]&amp; " over " &amp;Table1[[#This Row],[Losing Seed]],"")</f>
        <v/>
      </c>
      <c r="Q2068">
        <f>VLOOKUP(Table1[[#This Row],[Losing Seed]],'Seed History'!$N$4:$O$19,2)</f>
        <v>0.16666666666666666</v>
      </c>
      <c r="R2068" s="1">
        <f>IF(Table1[[#This Row],[Round]]="PI",0,Table1[[#This Row],[Round]]-1)</f>
        <v>0</v>
      </c>
      <c r="S2068">
        <f>Table1[[#This Row],[LAW]]-Table1[[#This Row],[LEW]]</f>
        <v>-0.16666666666666666</v>
      </c>
    </row>
    <row r="2069" spans="1:19" x14ac:dyDescent="0.25">
      <c r="A2069" s="66">
        <v>42810</v>
      </c>
      <c r="B2069" s="51">
        <f>YEAR(Table1[[#This Row],[Date]])</f>
        <v>2017</v>
      </c>
      <c r="C2069" s="1">
        <v>1</v>
      </c>
      <c r="D2069" t="s">
        <v>49</v>
      </c>
      <c r="E2069" s="1">
        <v>8</v>
      </c>
      <c r="F2069" t="s">
        <v>39</v>
      </c>
      <c r="G2069" t="str">
        <f>VLOOKUP(Table1[[#This Row],[Winner]],Ranking!C:D,2,FALSE)</f>
        <v>B10</v>
      </c>
      <c r="H2069" s="1">
        <v>84</v>
      </c>
      <c r="I2069" s="1">
        <v>9</v>
      </c>
      <c r="J2069" t="s">
        <v>405</v>
      </c>
      <c r="K2069" t="str">
        <f>VLOOKUP(Table1[[#This Row],[Loser]],Ranking!C:D,2,FALSE)</f>
        <v>ACC</v>
      </c>
      <c r="L2069" s="1">
        <v>74</v>
      </c>
      <c r="N2069" s="1">
        <f>Table1[[#This Row],[Winning Score]]-Table1[[#This Row],[Losing Score]]</f>
        <v>10</v>
      </c>
      <c r="O2069" s="1">
        <f>Table1[[#This Row],[Losing Seed]]-Table1[[#This Row],[Winning Seed]]</f>
        <v>1</v>
      </c>
      <c r="P2069" s="1" t="str">
        <f>IF(Table1[[#This Row],[SeD]]&lt;-2,Table1[[#This Row],[Winning Seed]]&amp; " over " &amp;Table1[[#This Row],[Losing Seed]],"")</f>
        <v/>
      </c>
      <c r="Q2069">
        <f>VLOOKUP(Table1[[#This Row],[Losing Seed]],'Seed History'!$N$4:$O$19,2)</f>
        <v>0.59027777777777779</v>
      </c>
      <c r="R2069" s="1">
        <f>IF(Table1[[#This Row],[Round]]="PI",0,Table1[[#This Row],[Round]]-1)</f>
        <v>0</v>
      </c>
      <c r="S2069">
        <f>Table1[[#This Row],[LAW]]-Table1[[#This Row],[LEW]]</f>
        <v>-0.59027777777777779</v>
      </c>
    </row>
    <row r="2070" spans="1:19" x14ac:dyDescent="0.25">
      <c r="A2070" s="66">
        <v>42810</v>
      </c>
      <c r="B2070" s="51">
        <f>YEAR(Table1[[#This Row],[Date]])</f>
        <v>2017</v>
      </c>
      <c r="C2070" s="1">
        <v>1</v>
      </c>
      <c r="D2070" t="s">
        <v>439</v>
      </c>
      <c r="E2070" s="1">
        <v>5</v>
      </c>
      <c r="F2070" t="s">
        <v>237</v>
      </c>
      <c r="G2070" t="str">
        <f>VLOOKUP(Table1[[#This Row],[Winner]],Ranking!C:D,2,FALSE)</f>
        <v>B12</v>
      </c>
      <c r="H2070" s="1">
        <v>84</v>
      </c>
      <c r="I2070" s="1">
        <v>12</v>
      </c>
      <c r="J2070" t="s">
        <v>289</v>
      </c>
      <c r="K2070" t="str">
        <f>VLOOKUP(Table1[[#This Row],[Loser]],Ranking!C:D,2,FALSE)</f>
        <v>MWC</v>
      </c>
      <c r="L2070" s="1">
        <v>73</v>
      </c>
      <c r="N2070" s="1">
        <f>Table1[[#This Row],[Winning Score]]-Table1[[#This Row],[Losing Score]]</f>
        <v>11</v>
      </c>
      <c r="O2070" s="1">
        <f>Table1[[#This Row],[Losing Seed]]-Table1[[#This Row],[Winning Seed]]</f>
        <v>7</v>
      </c>
      <c r="P2070" s="1" t="str">
        <f>IF(Table1[[#This Row],[SeD]]&lt;-2,Table1[[#This Row],[Winning Seed]]&amp; " over " &amp;Table1[[#This Row],[Losing Seed]],"")</f>
        <v/>
      </c>
      <c r="Q2070">
        <f>VLOOKUP(Table1[[#This Row],[Losing Seed]],'Seed History'!$N$4:$O$19,2)</f>
        <v>0.52083333333333337</v>
      </c>
      <c r="R2070" s="1">
        <f>IF(Table1[[#This Row],[Round]]="PI",0,Table1[[#This Row],[Round]]-1)</f>
        <v>0</v>
      </c>
      <c r="S2070">
        <f>Table1[[#This Row],[LAW]]-Table1[[#This Row],[LEW]]</f>
        <v>-0.52083333333333337</v>
      </c>
    </row>
    <row r="2071" spans="1:19" x14ac:dyDescent="0.25">
      <c r="A2071" s="66">
        <v>42810</v>
      </c>
      <c r="B2071" s="51">
        <f>YEAR(Table1[[#This Row],[Date]])</f>
        <v>2017</v>
      </c>
      <c r="C2071" s="1">
        <v>1</v>
      </c>
      <c r="D2071" t="s">
        <v>38</v>
      </c>
      <c r="E2071" s="1">
        <v>2</v>
      </c>
      <c r="F2071" t="s">
        <v>48</v>
      </c>
      <c r="G2071" t="str">
        <f>VLOOKUP(Table1[[#This Row],[Winner]],Ranking!C:D,2,FALSE)</f>
        <v>P12</v>
      </c>
      <c r="H2071" s="1">
        <v>100</v>
      </c>
      <c r="I2071" s="1">
        <v>15</v>
      </c>
      <c r="J2071" t="s">
        <v>302</v>
      </c>
      <c r="K2071" t="str">
        <f>VLOOKUP(Table1[[#This Row],[Loser]],Ranking!C:D,2,FALSE)</f>
        <v>Sum</v>
      </c>
      <c r="L2071" s="1">
        <v>82</v>
      </c>
      <c r="N2071" s="1">
        <f>Table1[[#This Row],[Winning Score]]-Table1[[#This Row],[Losing Score]]</f>
        <v>18</v>
      </c>
      <c r="O2071" s="1">
        <f>Table1[[#This Row],[Losing Seed]]-Table1[[#This Row],[Winning Seed]]</f>
        <v>13</v>
      </c>
      <c r="P2071" s="1" t="str">
        <f>IF(Table1[[#This Row],[SeD]]&lt;-2,Table1[[#This Row],[Winning Seed]]&amp; " over " &amp;Table1[[#This Row],[Losing Seed]],"")</f>
        <v/>
      </c>
      <c r="Q2071">
        <f>VLOOKUP(Table1[[#This Row],[Losing Seed]],'Seed History'!$N$4:$O$19,2)</f>
        <v>7.6388888888888895E-2</v>
      </c>
      <c r="R2071" s="1">
        <f>IF(Table1[[#This Row],[Round]]="PI",0,Table1[[#This Row],[Round]]-1)</f>
        <v>0</v>
      </c>
      <c r="S2071">
        <f>Table1[[#This Row],[LAW]]-Table1[[#This Row],[LEW]]</f>
        <v>-7.6388888888888895E-2</v>
      </c>
    </row>
    <row r="2072" spans="1:19" x14ac:dyDescent="0.25">
      <c r="A2072" s="66">
        <v>42811</v>
      </c>
      <c r="B2072" s="51">
        <f>YEAR(Table1[[#This Row],[Date]])</f>
        <v>2017</v>
      </c>
      <c r="C2072" s="1">
        <v>1</v>
      </c>
      <c r="D2072" t="s">
        <v>49</v>
      </c>
      <c r="E2072" s="1">
        <v>11</v>
      </c>
      <c r="F2072" t="s">
        <v>85</v>
      </c>
      <c r="G2072" t="str">
        <f>VLOOKUP(Table1[[#This Row],[Winner]],Ranking!C:D,2,FALSE)</f>
        <v>P12</v>
      </c>
      <c r="H2072" s="1">
        <v>66</v>
      </c>
      <c r="I2072" s="1">
        <v>6</v>
      </c>
      <c r="J2072" t="s">
        <v>352</v>
      </c>
      <c r="K2072" t="str">
        <f>VLOOKUP(Table1[[#This Row],[Loser]],Ranking!C:D,2,FALSE)</f>
        <v>Amer</v>
      </c>
      <c r="L2072" s="1">
        <v>65</v>
      </c>
      <c r="N2072" s="1">
        <f>Table1[[#This Row],[Winning Score]]-Table1[[#This Row],[Losing Score]]</f>
        <v>1</v>
      </c>
      <c r="O2072" s="1">
        <f>Table1[[#This Row],[Losing Seed]]-Table1[[#This Row],[Winning Seed]]</f>
        <v>-5</v>
      </c>
      <c r="P2072" s="1" t="str">
        <f>IF(Table1[[#This Row],[SeD]]&lt;-2,Table1[[#This Row],[Winning Seed]]&amp; " over " &amp;Table1[[#This Row],[Losing Seed]],"")</f>
        <v>11 over 6</v>
      </c>
      <c r="Q2072">
        <f>VLOOKUP(Table1[[#This Row],[Losing Seed]],'Seed History'!$N$4:$O$19,2)</f>
        <v>1.0625</v>
      </c>
      <c r="R2072" s="1">
        <f>IF(Table1[[#This Row],[Round]]="PI",0,Table1[[#This Row],[Round]]-1)</f>
        <v>0</v>
      </c>
      <c r="S2072">
        <f>Table1[[#This Row],[LAW]]-Table1[[#This Row],[LEW]]</f>
        <v>-1.0625</v>
      </c>
    </row>
    <row r="2073" spans="1:19" x14ac:dyDescent="0.25">
      <c r="A2073" s="66">
        <v>42811</v>
      </c>
      <c r="B2073" s="51">
        <f>YEAR(Table1[[#This Row],[Date]])</f>
        <v>2017</v>
      </c>
      <c r="C2073" s="1">
        <v>1</v>
      </c>
      <c r="D2073" t="s">
        <v>439</v>
      </c>
      <c r="E2073" s="1">
        <v>11</v>
      </c>
      <c r="F2073" t="s">
        <v>96</v>
      </c>
      <c r="G2073" t="str">
        <f>VLOOKUP(Table1[[#This Row],[Winner]],Ranking!C:D,2,FALSE)</f>
        <v>A10</v>
      </c>
      <c r="H2073" s="1">
        <v>84</v>
      </c>
      <c r="I2073" s="1">
        <v>6</v>
      </c>
      <c r="J2073" t="s">
        <v>88</v>
      </c>
      <c r="K2073" t="str">
        <f>VLOOKUP(Table1[[#This Row],[Loser]],Ranking!C:D,2,FALSE)</f>
        <v>BE</v>
      </c>
      <c r="L2073" s="1">
        <v>72</v>
      </c>
      <c r="N2073" s="1">
        <f>Table1[[#This Row],[Winning Score]]-Table1[[#This Row],[Losing Score]]</f>
        <v>12</v>
      </c>
      <c r="O2073" s="1">
        <f>Table1[[#This Row],[Losing Seed]]-Table1[[#This Row],[Winning Seed]]</f>
        <v>-5</v>
      </c>
      <c r="P2073" s="1" t="str">
        <f>IF(Table1[[#This Row],[SeD]]&lt;-2,Table1[[#This Row],[Winning Seed]]&amp; " over " &amp;Table1[[#This Row],[Losing Seed]],"")</f>
        <v>11 over 6</v>
      </c>
      <c r="Q2073">
        <f>VLOOKUP(Table1[[#This Row],[Losing Seed]],'Seed History'!$N$4:$O$19,2)</f>
        <v>1.0625</v>
      </c>
      <c r="R2073" s="1">
        <f>IF(Table1[[#This Row],[Round]]="PI",0,Table1[[#This Row],[Round]]-1)</f>
        <v>0</v>
      </c>
      <c r="S2073">
        <f>Table1[[#This Row],[LAW]]-Table1[[#This Row],[LEW]]</f>
        <v>-1.0625</v>
      </c>
    </row>
    <row r="2074" spans="1:19" x14ac:dyDescent="0.25">
      <c r="A2074" s="66">
        <v>42811</v>
      </c>
      <c r="B2074" s="51">
        <f>YEAR(Table1[[#This Row],[Date]])</f>
        <v>2017</v>
      </c>
      <c r="C2074" s="1">
        <v>1</v>
      </c>
      <c r="D2074" t="s">
        <v>63</v>
      </c>
      <c r="E2074" s="1">
        <v>10</v>
      </c>
      <c r="F2074" t="s">
        <v>417</v>
      </c>
      <c r="G2074" t="str">
        <f>VLOOKUP(Table1[[#This Row],[Winner]],Ranking!C:D,2,FALSE)</f>
        <v>Amer</v>
      </c>
      <c r="H2074" s="1">
        <v>64</v>
      </c>
      <c r="I2074" s="1">
        <v>7</v>
      </c>
      <c r="J2074" t="s">
        <v>57</v>
      </c>
      <c r="K2074" t="str">
        <f>VLOOKUP(Table1[[#This Row],[Loser]],Ranking!C:D,2,FALSE)</f>
        <v>A10</v>
      </c>
      <c r="L2074" s="1">
        <v>58</v>
      </c>
      <c r="N2074" s="1">
        <f>Table1[[#This Row],[Winning Score]]-Table1[[#This Row],[Losing Score]]</f>
        <v>6</v>
      </c>
      <c r="O2074" s="1">
        <f>Table1[[#This Row],[Losing Seed]]-Table1[[#This Row],[Winning Seed]]</f>
        <v>-3</v>
      </c>
      <c r="P2074" s="1" t="str">
        <f>IF(Table1[[#This Row],[SeD]]&lt;-2,Table1[[#This Row],[Winning Seed]]&amp; " over " &amp;Table1[[#This Row],[Losing Seed]],"")</f>
        <v>10 over 7</v>
      </c>
      <c r="Q2074">
        <f>VLOOKUP(Table1[[#This Row],[Losing Seed]],'Seed History'!$N$4:$O$19,2)</f>
        <v>0.90277777777777779</v>
      </c>
      <c r="R2074" s="1">
        <f>IF(Table1[[#This Row],[Round]]="PI",0,Table1[[#This Row],[Round]]-1)</f>
        <v>0</v>
      </c>
      <c r="S2074">
        <f>Table1[[#This Row],[LAW]]-Table1[[#This Row],[LEW]]</f>
        <v>-0.90277777777777779</v>
      </c>
    </row>
    <row r="2075" spans="1:19" x14ac:dyDescent="0.25">
      <c r="A2075" s="66">
        <v>42811</v>
      </c>
      <c r="B2075" s="51">
        <f>YEAR(Table1[[#This Row],[Date]])</f>
        <v>2017</v>
      </c>
      <c r="C2075" s="1">
        <v>1</v>
      </c>
      <c r="D2075" t="s">
        <v>439</v>
      </c>
      <c r="E2075" s="1">
        <v>7</v>
      </c>
      <c r="F2075" t="s">
        <v>82</v>
      </c>
      <c r="G2075" t="str">
        <f>VLOOKUP(Table1[[#This Row],[Winner]],Ranking!C:D,2,FALSE)</f>
        <v>B10</v>
      </c>
      <c r="H2075" s="1">
        <v>92</v>
      </c>
      <c r="I2075" s="1">
        <v>10</v>
      </c>
      <c r="J2075" t="s">
        <v>316</v>
      </c>
      <c r="K2075" t="str">
        <f>VLOOKUP(Table1[[#This Row],[Loser]],Ranking!C:D,2,FALSE)</f>
        <v>B12</v>
      </c>
      <c r="L2075" s="1">
        <v>91</v>
      </c>
      <c r="N2075" s="1">
        <f>Table1[[#This Row],[Winning Score]]-Table1[[#This Row],[Losing Score]]</f>
        <v>1</v>
      </c>
      <c r="O2075" s="1">
        <f>Table1[[#This Row],[Losing Seed]]-Table1[[#This Row],[Winning Seed]]</f>
        <v>3</v>
      </c>
      <c r="P2075" s="1" t="str">
        <f>IF(Table1[[#This Row],[SeD]]&lt;-2,Table1[[#This Row],[Winning Seed]]&amp; " over " &amp;Table1[[#This Row],[Losing Seed]],"")</f>
        <v/>
      </c>
      <c r="Q2075">
        <f>VLOOKUP(Table1[[#This Row],[Losing Seed]],'Seed History'!$N$4:$O$19,2)</f>
        <v>0.61805555555555558</v>
      </c>
      <c r="R2075" s="1">
        <f>IF(Table1[[#This Row],[Round]]="PI",0,Table1[[#This Row],[Round]]-1)</f>
        <v>0</v>
      </c>
      <c r="S2075">
        <f>Table1[[#This Row],[LAW]]-Table1[[#This Row],[LEW]]</f>
        <v>-0.61805555555555558</v>
      </c>
    </row>
    <row r="2076" spans="1:19" x14ac:dyDescent="0.25">
      <c r="A2076" s="66">
        <v>42811</v>
      </c>
      <c r="B2076" s="51">
        <f>YEAR(Table1[[#This Row],[Date]])</f>
        <v>2017</v>
      </c>
      <c r="C2076" s="1">
        <v>1</v>
      </c>
      <c r="D2076" t="s">
        <v>49</v>
      </c>
      <c r="E2076" s="1">
        <v>3</v>
      </c>
      <c r="F2076" t="s">
        <v>46</v>
      </c>
      <c r="G2076" t="str">
        <f>VLOOKUP(Table1[[#This Row],[Winner]],Ranking!C:D,2,FALSE)</f>
        <v>B12</v>
      </c>
      <c r="H2076" s="1">
        <v>91</v>
      </c>
      <c r="I2076" s="1">
        <v>14</v>
      </c>
      <c r="J2076" t="s">
        <v>292</v>
      </c>
      <c r="K2076" t="str">
        <f>VLOOKUP(Table1[[#This Row],[Loser]],Ranking!C:D,2,FALSE)</f>
        <v>WAC</v>
      </c>
      <c r="L2076" s="1">
        <v>73</v>
      </c>
      <c r="N2076" s="1">
        <f>Table1[[#This Row],[Winning Score]]-Table1[[#This Row],[Losing Score]]</f>
        <v>18</v>
      </c>
      <c r="O2076" s="1">
        <f>Table1[[#This Row],[Losing Seed]]-Table1[[#This Row],[Winning Seed]]</f>
        <v>11</v>
      </c>
      <c r="P2076" s="1" t="str">
        <f>IF(Table1[[#This Row],[SeD]]&lt;-2,Table1[[#This Row],[Winning Seed]]&amp; " over " &amp;Table1[[#This Row],[Losing Seed]],"")</f>
        <v/>
      </c>
      <c r="Q2076">
        <f>VLOOKUP(Table1[[#This Row],[Losing Seed]],'Seed History'!$N$4:$O$19,2)</f>
        <v>0.16666666666666666</v>
      </c>
      <c r="R2076" s="1">
        <f>IF(Table1[[#This Row],[Round]]="PI",0,Table1[[#This Row],[Round]]-1)</f>
        <v>0</v>
      </c>
      <c r="S2076">
        <f>Table1[[#This Row],[LAW]]-Table1[[#This Row],[LEW]]</f>
        <v>-0.16666666666666666</v>
      </c>
    </row>
    <row r="2077" spans="1:19" x14ac:dyDescent="0.25">
      <c r="A2077" s="66">
        <v>42811</v>
      </c>
      <c r="B2077" s="51">
        <f>YEAR(Table1[[#This Row],[Date]])</f>
        <v>2017</v>
      </c>
      <c r="C2077" s="1">
        <v>1</v>
      </c>
      <c r="D2077" t="s">
        <v>63</v>
      </c>
      <c r="E2077" s="1">
        <v>8</v>
      </c>
      <c r="F2077" t="s">
        <v>41</v>
      </c>
      <c r="G2077" t="str">
        <f>VLOOKUP(Table1[[#This Row],[Winner]],Ranking!C:D,2,FALSE)</f>
        <v>SEC</v>
      </c>
      <c r="H2077" s="1">
        <v>77</v>
      </c>
      <c r="I2077" s="1">
        <v>9</v>
      </c>
      <c r="J2077" t="s">
        <v>87</v>
      </c>
      <c r="K2077" t="str">
        <f>VLOOKUP(Table1[[#This Row],[Loser]],Ranking!C:D,2,FALSE)</f>
        <v>BE</v>
      </c>
      <c r="L2077" s="1">
        <v>71</v>
      </c>
      <c r="N2077" s="1">
        <f>Table1[[#This Row],[Winning Score]]-Table1[[#This Row],[Losing Score]]</f>
        <v>6</v>
      </c>
      <c r="O2077" s="1">
        <f>Table1[[#This Row],[Losing Seed]]-Table1[[#This Row],[Winning Seed]]</f>
        <v>1</v>
      </c>
      <c r="P2077" s="1" t="str">
        <f>IF(Table1[[#This Row],[SeD]]&lt;-2,Table1[[#This Row],[Winning Seed]]&amp; " over " &amp;Table1[[#This Row],[Losing Seed]],"")</f>
        <v/>
      </c>
      <c r="Q2077">
        <f>VLOOKUP(Table1[[#This Row],[Losing Seed]],'Seed History'!$N$4:$O$19,2)</f>
        <v>0.59027777777777779</v>
      </c>
      <c r="R2077" s="1">
        <f>IF(Table1[[#This Row],[Round]]="PI",0,Table1[[#This Row],[Round]]-1)</f>
        <v>0</v>
      </c>
      <c r="S2077">
        <f>Table1[[#This Row],[LAW]]-Table1[[#This Row],[LEW]]</f>
        <v>-0.59027777777777779</v>
      </c>
    </row>
    <row r="2078" spans="1:19" x14ac:dyDescent="0.25">
      <c r="A2078" s="66">
        <v>42811</v>
      </c>
      <c r="B2078" s="51">
        <f>YEAR(Table1[[#This Row],[Date]])</f>
        <v>2017</v>
      </c>
      <c r="C2078" s="1">
        <v>1</v>
      </c>
      <c r="D2078" t="s">
        <v>439</v>
      </c>
      <c r="E2078" s="1">
        <v>3</v>
      </c>
      <c r="F2078" t="s">
        <v>40</v>
      </c>
      <c r="G2078" t="str">
        <f>VLOOKUP(Table1[[#This Row],[Winner]],Ranking!C:D,2,FALSE)</f>
        <v>P12</v>
      </c>
      <c r="H2078" s="1">
        <v>93</v>
      </c>
      <c r="I2078" s="1">
        <v>14</v>
      </c>
      <c r="J2078" t="s">
        <v>236</v>
      </c>
      <c r="K2078" t="str">
        <f>VLOOKUP(Table1[[#This Row],[Loser]],Ranking!C:D,2,FALSE)</f>
        <v>MAAC</v>
      </c>
      <c r="L2078" s="1">
        <v>77</v>
      </c>
      <c r="N2078" s="1">
        <f>Table1[[#This Row],[Winning Score]]-Table1[[#This Row],[Losing Score]]</f>
        <v>16</v>
      </c>
      <c r="O2078" s="1">
        <f>Table1[[#This Row],[Losing Seed]]-Table1[[#This Row],[Winning Seed]]</f>
        <v>11</v>
      </c>
      <c r="P2078" s="1" t="str">
        <f>IF(Table1[[#This Row],[SeD]]&lt;-2,Table1[[#This Row],[Winning Seed]]&amp; " over " &amp;Table1[[#This Row],[Losing Seed]],"")</f>
        <v/>
      </c>
      <c r="Q2078">
        <f>VLOOKUP(Table1[[#This Row],[Losing Seed]],'Seed History'!$N$4:$O$19,2)</f>
        <v>0.16666666666666666</v>
      </c>
      <c r="R2078" s="1">
        <f>IF(Table1[[#This Row],[Round]]="PI",0,Table1[[#This Row],[Round]]-1)</f>
        <v>0</v>
      </c>
      <c r="S2078">
        <f>Table1[[#This Row],[LAW]]-Table1[[#This Row],[LEW]]</f>
        <v>-0.16666666666666666</v>
      </c>
    </row>
    <row r="2079" spans="1:19" x14ac:dyDescent="0.25">
      <c r="A2079" s="66">
        <v>42811</v>
      </c>
      <c r="B2079" s="51">
        <f>YEAR(Table1[[#This Row],[Date]])</f>
        <v>2017</v>
      </c>
      <c r="C2079" s="1">
        <v>1</v>
      </c>
      <c r="D2079" t="s">
        <v>439</v>
      </c>
      <c r="E2079" s="1">
        <v>2</v>
      </c>
      <c r="F2079" t="s">
        <v>54</v>
      </c>
      <c r="G2079" t="str">
        <f>VLOOKUP(Table1[[#This Row],[Winner]],Ranking!C:D,2,FALSE)</f>
        <v>ACC</v>
      </c>
      <c r="H2079" s="1">
        <v>78</v>
      </c>
      <c r="I2079" s="1">
        <v>15</v>
      </c>
      <c r="J2079" t="s">
        <v>241</v>
      </c>
      <c r="K2079" t="str">
        <f>VLOOKUP(Table1[[#This Row],[Loser]],Ranking!C:D,2,FALSE)</f>
        <v>OVC</v>
      </c>
      <c r="L2079" s="1">
        <v>63</v>
      </c>
      <c r="N2079" s="1">
        <f>Table1[[#This Row],[Winning Score]]-Table1[[#This Row],[Losing Score]]</f>
        <v>15</v>
      </c>
      <c r="O2079" s="1">
        <f>Table1[[#This Row],[Losing Seed]]-Table1[[#This Row],[Winning Seed]]</f>
        <v>13</v>
      </c>
      <c r="P2079" s="1" t="str">
        <f>IF(Table1[[#This Row],[SeD]]&lt;-2,Table1[[#This Row],[Winning Seed]]&amp; " over " &amp;Table1[[#This Row],[Losing Seed]],"")</f>
        <v/>
      </c>
      <c r="Q2079">
        <f>VLOOKUP(Table1[[#This Row],[Losing Seed]],'Seed History'!$N$4:$O$19,2)</f>
        <v>7.6388888888888895E-2</v>
      </c>
      <c r="R2079" s="1">
        <f>IF(Table1[[#This Row],[Round]]="PI",0,Table1[[#This Row],[Round]]-1)</f>
        <v>0</v>
      </c>
      <c r="S2079">
        <f>Table1[[#This Row],[LAW]]-Table1[[#This Row],[LEW]]</f>
        <v>-7.6388888888888895E-2</v>
      </c>
    </row>
    <row r="2080" spans="1:19" x14ac:dyDescent="0.25">
      <c r="A2080" s="66">
        <v>42811</v>
      </c>
      <c r="B2080" s="51">
        <f>YEAR(Table1[[#This Row],[Date]])</f>
        <v>2017</v>
      </c>
      <c r="C2080" s="1">
        <v>1</v>
      </c>
      <c r="D2080" t="s">
        <v>63</v>
      </c>
      <c r="E2080" s="1">
        <v>1</v>
      </c>
      <c r="F2080" t="s">
        <v>298</v>
      </c>
      <c r="G2080" t="str">
        <f>VLOOKUP(Table1[[#This Row],[Winner]],Ranking!C:D,2,FALSE)</f>
        <v>ACC</v>
      </c>
      <c r="H2080" s="1">
        <v>103</v>
      </c>
      <c r="I2080" s="1">
        <v>16</v>
      </c>
      <c r="J2080" t="s">
        <v>379</v>
      </c>
      <c r="K2080" t="str">
        <f>VLOOKUP(Table1[[#This Row],[Loser]],Ranking!C:D,2,FALSE)</f>
        <v>SWAC</v>
      </c>
      <c r="L2080" s="1">
        <v>64</v>
      </c>
      <c r="N2080" s="1">
        <f>Table1[[#This Row],[Winning Score]]-Table1[[#This Row],[Losing Score]]</f>
        <v>39</v>
      </c>
      <c r="O2080" s="1">
        <f>Table1[[#This Row],[Losing Seed]]-Table1[[#This Row],[Winning Seed]]</f>
        <v>15</v>
      </c>
      <c r="P2080" s="1" t="str">
        <f>IF(Table1[[#This Row],[SeD]]&lt;-2,Table1[[#This Row],[Winning Seed]]&amp; " over " &amp;Table1[[#This Row],[Losing Seed]],"")</f>
        <v/>
      </c>
      <c r="Q2080">
        <f>VLOOKUP(Table1[[#This Row],[Losing Seed]],'Seed History'!$N$4:$O$19,2)</f>
        <v>6.9444444444444441E-3</v>
      </c>
      <c r="R2080" s="1">
        <f>IF(Table1[[#This Row],[Round]]="PI",0,Table1[[#This Row],[Round]]-1)</f>
        <v>0</v>
      </c>
      <c r="S2080">
        <f>Table1[[#This Row],[LAW]]-Table1[[#This Row],[LEW]]</f>
        <v>-6.9444444444444441E-3</v>
      </c>
    </row>
    <row r="2081" spans="1:19" x14ac:dyDescent="0.25">
      <c r="A2081" s="66">
        <v>42811</v>
      </c>
      <c r="B2081" s="51">
        <f>YEAR(Table1[[#This Row],[Date]])</f>
        <v>2017</v>
      </c>
      <c r="C2081" s="1">
        <v>1</v>
      </c>
      <c r="D2081" t="s">
        <v>439</v>
      </c>
      <c r="E2081" s="1">
        <v>1</v>
      </c>
      <c r="F2081" t="s">
        <v>37</v>
      </c>
      <c r="G2081" t="str">
        <f>VLOOKUP(Table1[[#This Row],[Winner]],Ranking!C:D,2,FALSE)</f>
        <v>B12</v>
      </c>
      <c r="H2081" s="1">
        <v>100</v>
      </c>
      <c r="I2081" s="1">
        <v>16</v>
      </c>
      <c r="J2081" t="s">
        <v>386</v>
      </c>
      <c r="K2081" t="str">
        <f>VLOOKUP(Table1[[#This Row],[Loser]],Ranking!C:D,2,FALSE)</f>
        <v>BW</v>
      </c>
      <c r="L2081" s="1">
        <v>62</v>
      </c>
      <c r="N2081" s="1">
        <f>Table1[[#This Row],[Winning Score]]-Table1[[#This Row],[Losing Score]]</f>
        <v>38</v>
      </c>
      <c r="O2081" s="1">
        <f>Table1[[#This Row],[Losing Seed]]-Table1[[#This Row],[Winning Seed]]</f>
        <v>15</v>
      </c>
      <c r="P2081" s="1" t="str">
        <f>IF(Table1[[#This Row],[SeD]]&lt;-2,Table1[[#This Row],[Winning Seed]]&amp; " over " &amp;Table1[[#This Row],[Losing Seed]],"")</f>
        <v/>
      </c>
      <c r="Q2081">
        <f>VLOOKUP(Table1[[#This Row],[Losing Seed]],'Seed History'!$N$4:$O$19,2)</f>
        <v>6.9444444444444441E-3</v>
      </c>
      <c r="R2081" s="1">
        <f>IF(Table1[[#This Row],[Round]]="PI",0,Table1[[#This Row],[Round]]-1)</f>
        <v>0</v>
      </c>
      <c r="S2081">
        <f>Table1[[#This Row],[LAW]]-Table1[[#This Row],[LEW]]</f>
        <v>-6.9444444444444441E-3</v>
      </c>
    </row>
    <row r="2082" spans="1:19" x14ac:dyDescent="0.25">
      <c r="A2082" s="66">
        <v>42811</v>
      </c>
      <c r="B2082" s="51">
        <f>YEAR(Table1[[#This Row],[Date]])</f>
        <v>2017</v>
      </c>
      <c r="C2082" s="1">
        <v>1</v>
      </c>
      <c r="D2082" t="s">
        <v>49</v>
      </c>
      <c r="E2082" s="1">
        <v>2</v>
      </c>
      <c r="F2082" t="s">
        <v>64</v>
      </c>
      <c r="G2082" t="str">
        <f>VLOOKUP(Table1[[#This Row],[Winner]],Ranking!C:D,2,FALSE)</f>
        <v>ACC</v>
      </c>
      <c r="H2082" s="1">
        <v>87</v>
      </c>
      <c r="I2082" s="1">
        <v>15</v>
      </c>
      <c r="J2082" t="s">
        <v>384</v>
      </c>
      <c r="K2082" t="str">
        <f>VLOOKUP(Table1[[#This Row],[Loser]],Ranking!C:D,2,FALSE)</f>
        <v>SB</v>
      </c>
      <c r="L2082" s="1">
        <v>65</v>
      </c>
      <c r="N2082" s="1">
        <f>Table1[[#This Row],[Winning Score]]-Table1[[#This Row],[Losing Score]]</f>
        <v>22</v>
      </c>
      <c r="O2082" s="1">
        <f>Table1[[#This Row],[Losing Seed]]-Table1[[#This Row],[Winning Seed]]</f>
        <v>13</v>
      </c>
      <c r="P2082" s="1" t="str">
        <f>IF(Table1[[#This Row],[SeD]]&lt;-2,Table1[[#This Row],[Winning Seed]]&amp; " over " &amp;Table1[[#This Row],[Losing Seed]],"")</f>
        <v/>
      </c>
      <c r="Q2082">
        <f>VLOOKUP(Table1[[#This Row],[Losing Seed]],'Seed History'!$N$4:$O$19,2)</f>
        <v>7.6388888888888895E-2</v>
      </c>
      <c r="R2082" s="1">
        <f>IF(Table1[[#This Row],[Round]]="PI",0,Table1[[#This Row],[Round]]-1)</f>
        <v>0</v>
      </c>
      <c r="S2082">
        <f>Table1[[#This Row],[LAW]]-Table1[[#This Row],[LEW]]</f>
        <v>-7.6388888888888895E-2</v>
      </c>
    </row>
    <row r="2083" spans="1:19" x14ac:dyDescent="0.25">
      <c r="A2083" s="66">
        <v>42811</v>
      </c>
      <c r="B2083" s="51">
        <f>YEAR(Table1[[#This Row],[Date]])</f>
        <v>2017</v>
      </c>
      <c r="C2083" s="1">
        <v>1</v>
      </c>
      <c r="D2083" t="s">
        <v>63</v>
      </c>
      <c r="E2083" s="1">
        <v>6</v>
      </c>
      <c r="F2083" t="s">
        <v>28</v>
      </c>
      <c r="G2083" t="str">
        <f>VLOOKUP(Table1[[#This Row],[Winner]],Ranking!C:D,2,FALSE)</f>
        <v>Amer</v>
      </c>
      <c r="H2083" s="1">
        <v>75</v>
      </c>
      <c r="I2083" s="1">
        <v>11</v>
      </c>
      <c r="J2083" t="s">
        <v>243</v>
      </c>
      <c r="K2083" t="str">
        <f>VLOOKUP(Table1[[#This Row],[Loser]],Ranking!C:D,2,FALSE)</f>
        <v>B12</v>
      </c>
      <c r="L2083" s="1">
        <v>61</v>
      </c>
      <c r="N2083" s="1">
        <f>Table1[[#This Row],[Winning Score]]-Table1[[#This Row],[Losing Score]]</f>
        <v>14</v>
      </c>
      <c r="O2083" s="1">
        <f>Table1[[#This Row],[Losing Seed]]-Table1[[#This Row],[Winning Seed]]</f>
        <v>5</v>
      </c>
      <c r="P2083" s="1" t="str">
        <f>IF(Table1[[#This Row],[SeD]]&lt;-2,Table1[[#This Row],[Winning Seed]]&amp; " over " &amp;Table1[[#This Row],[Losing Seed]],"")</f>
        <v/>
      </c>
      <c r="Q2083">
        <f>VLOOKUP(Table1[[#This Row],[Losing Seed]],'Seed History'!$N$4:$O$19,2)</f>
        <v>0.63194444444444442</v>
      </c>
      <c r="R2083" s="1">
        <f>IF(Table1[[#This Row],[Round]]="PI",0,Table1[[#This Row],[Round]]-1)</f>
        <v>0</v>
      </c>
      <c r="S2083">
        <f>Table1[[#This Row],[LAW]]-Table1[[#This Row],[LEW]]</f>
        <v>-0.63194444444444442</v>
      </c>
    </row>
    <row r="2084" spans="1:19" x14ac:dyDescent="0.25">
      <c r="A2084" s="66">
        <v>42811</v>
      </c>
      <c r="B2084" s="51">
        <f>YEAR(Table1[[#This Row],[Date]])</f>
        <v>2017</v>
      </c>
      <c r="C2084" s="1">
        <v>1</v>
      </c>
      <c r="D2084" t="s">
        <v>49</v>
      </c>
      <c r="E2084" s="1">
        <v>7</v>
      </c>
      <c r="F2084" t="s">
        <v>354</v>
      </c>
      <c r="G2084" t="str">
        <f>VLOOKUP(Table1[[#This Row],[Winner]],Ranking!C:D,2,FALSE)</f>
        <v>SEC</v>
      </c>
      <c r="H2084" s="1">
        <v>93</v>
      </c>
      <c r="I2084" s="1">
        <v>10</v>
      </c>
      <c r="J2084" t="s">
        <v>262</v>
      </c>
      <c r="K2084" t="str">
        <f>VLOOKUP(Table1[[#This Row],[Loser]],Ranking!C:D,2,FALSE)</f>
        <v>BE</v>
      </c>
      <c r="L2084" s="1">
        <v>73</v>
      </c>
      <c r="N2084" s="1">
        <f>Table1[[#This Row],[Winning Score]]-Table1[[#This Row],[Losing Score]]</f>
        <v>20</v>
      </c>
      <c r="O2084" s="1">
        <f>Table1[[#This Row],[Losing Seed]]-Table1[[#This Row],[Winning Seed]]</f>
        <v>3</v>
      </c>
      <c r="P2084" s="1" t="str">
        <f>IF(Table1[[#This Row],[SeD]]&lt;-2,Table1[[#This Row],[Winning Seed]]&amp; " over " &amp;Table1[[#This Row],[Losing Seed]],"")</f>
        <v/>
      </c>
      <c r="Q2084">
        <f>VLOOKUP(Table1[[#This Row],[Losing Seed]],'Seed History'!$N$4:$O$19,2)</f>
        <v>0.61805555555555558</v>
      </c>
      <c r="R2084" s="1">
        <f>IF(Table1[[#This Row],[Round]]="PI",0,Table1[[#This Row],[Round]]-1)</f>
        <v>0</v>
      </c>
      <c r="S2084">
        <f>Table1[[#This Row],[LAW]]-Table1[[#This Row],[LEW]]</f>
        <v>-0.61805555555555558</v>
      </c>
    </row>
    <row r="2085" spans="1:19" x14ac:dyDescent="0.25">
      <c r="A2085" s="66">
        <v>42811</v>
      </c>
      <c r="B2085" s="51">
        <f>YEAR(Table1[[#This Row],[Date]])</f>
        <v>2017</v>
      </c>
      <c r="C2085" s="1">
        <v>1</v>
      </c>
      <c r="D2085" t="s">
        <v>63</v>
      </c>
      <c r="E2085" s="1">
        <v>3</v>
      </c>
      <c r="F2085" t="s">
        <v>67</v>
      </c>
      <c r="G2085" t="str">
        <f>VLOOKUP(Table1[[#This Row],[Winner]],Ranking!C:D,2,FALSE)</f>
        <v>P12</v>
      </c>
      <c r="H2085" s="1">
        <v>97</v>
      </c>
      <c r="I2085" s="1">
        <v>14</v>
      </c>
      <c r="J2085" t="s">
        <v>245</v>
      </c>
      <c r="K2085" t="str">
        <f>VLOOKUP(Table1[[#This Row],[Loser]],Ranking!C:D,2,FALSE)</f>
        <v>MAC</v>
      </c>
      <c r="L2085" s="1">
        <v>80</v>
      </c>
      <c r="N2085" s="1">
        <f>Table1[[#This Row],[Winning Score]]-Table1[[#This Row],[Losing Score]]</f>
        <v>17</v>
      </c>
      <c r="O2085" s="1">
        <f>Table1[[#This Row],[Losing Seed]]-Table1[[#This Row],[Winning Seed]]</f>
        <v>11</v>
      </c>
      <c r="P2085" s="1" t="str">
        <f>IF(Table1[[#This Row],[SeD]]&lt;-2,Table1[[#This Row],[Winning Seed]]&amp; " over " &amp;Table1[[#This Row],[Losing Seed]],"")</f>
        <v/>
      </c>
      <c r="Q2085">
        <f>VLOOKUP(Table1[[#This Row],[Losing Seed]],'Seed History'!$N$4:$O$19,2)</f>
        <v>0.16666666666666666</v>
      </c>
      <c r="R2085" s="1">
        <f>IF(Table1[[#This Row],[Round]]="PI",0,Table1[[#This Row],[Round]]-1)</f>
        <v>0</v>
      </c>
      <c r="S2085">
        <f>Table1[[#This Row],[LAW]]-Table1[[#This Row],[LEW]]</f>
        <v>-0.16666666666666666</v>
      </c>
    </row>
    <row r="2086" spans="1:19" x14ac:dyDescent="0.25">
      <c r="A2086" s="66">
        <v>42811</v>
      </c>
      <c r="B2086" s="51">
        <f>YEAR(Table1[[#This Row],[Date]])</f>
        <v>2017</v>
      </c>
      <c r="C2086" s="1">
        <v>1</v>
      </c>
      <c r="D2086" t="s">
        <v>63</v>
      </c>
      <c r="E2086" s="1">
        <v>2</v>
      </c>
      <c r="F2086" t="s">
        <v>26</v>
      </c>
      <c r="G2086" t="str">
        <f>VLOOKUP(Table1[[#This Row],[Winner]],Ranking!C:D,2,FALSE)</f>
        <v>SEC</v>
      </c>
      <c r="H2086" s="1">
        <v>79</v>
      </c>
      <c r="I2086" s="1">
        <v>15</v>
      </c>
      <c r="J2086" t="s">
        <v>311</v>
      </c>
      <c r="K2086" t="str">
        <f>VLOOKUP(Table1[[#This Row],[Loser]],Ranking!C:D,2,FALSE)</f>
        <v>Horz</v>
      </c>
      <c r="L2086" s="1">
        <v>70</v>
      </c>
      <c r="N2086" s="1">
        <f>Table1[[#This Row],[Winning Score]]-Table1[[#This Row],[Losing Score]]</f>
        <v>9</v>
      </c>
      <c r="O2086" s="1">
        <f>Table1[[#This Row],[Losing Seed]]-Table1[[#This Row],[Winning Seed]]</f>
        <v>13</v>
      </c>
      <c r="P2086" s="1" t="str">
        <f>IF(Table1[[#This Row],[SeD]]&lt;-2,Table1[[#This Row],[Winning Seed]]&amp; " over " &amp;Table1[[#This Row],[Losing Seed]],"")</f>
        <v/>
      </c>
      <c r="Q2086">
        <f>VLOOKUP(Table1[[#This Row],[Losing Seed]],'Seed History'!$N$4:$O$19,2)</f>
        <v>7.6388888888888895E-2</v>
      </c>
      <c r="R2086" s="1">
        <f>IF(Table1[[#This Row],[Round]]="PI",0,Table1[[#This Row],[Round]]-1)</f>
        <v>0</v>
      </c>
      <c r="S2086">
        <f>Table1[[#This Row],[LAW]]-Table1[[#This Row],[LEW]]</f>
        <v>-7.6388888888888895E-2</v>
      </c>
    </row>
    <row r="2087" spans="1:19" x14ac:dyDescent="0.25">
      <c r="A2087" s="66">
        <v>42811</v>
      </c>
      <c r="B2087" s="51">
        <f>YEAR(Table1[[#This Row],[Date]])</f>
        <v>2017</v>
      </c>
      <c r="C2087" s="1">
        <v>1</v>
      </c>
      <c r="D2087" t="s">
        <v>439</v>
      </c>
      <c r="E2087" s="1">
        <v>9</v>
      </c>
      <c r="F2087" t="s">
        <v>271</v>
      </c>
      <c r="G2087" t="str">
        <f>VLOOKUP(Table1[[#This Row],[Winner]],Ranking!C:D,2,FALSE)</f>
        <v>B10</v>
      </c>
      <c r="H2087" s="1">
        <v>78</v>
      </c>
      <c r="I2087" s="1">
        <v>8</v>
      </c>
      <c r="J2087" t="s">
        <v>269</v>
      </c>
      <c r="K2087" t="str">
        <f>VLOOKUP(Table1[[#This Row],[Loser]],Ranking!C:D,2,FALSE)</f>
        <v>ACC</v>
      </c>
      <c r="L2087" s="1">
        <v>58</v>
      </c>
      <c r="N2087" s="1">
        <f>Table1[[#This Row],[Winning Score]]-Table1[[#This Row],[Losing Score]]</f>
        <v>20</v>
      </c>
      <c r="O2087" s="1">
        <f>Table1[[#This Row],[Losing Seed]]-Table1[[#This Row],[Winning Seed]]</f>
        <v>-1</v>
      </c>
      <c r="P2087" s="1" t="str">
        <f>IF(Table1[[#This Row],[SeD]]&lt;-2,Table1[[#This Row],[Winning Seed]]&amp; " over " &amp;Table1[[#This Row],[Losing Seed]],"")</f>
        <v/>
      </c>
      <c r="Q2087">
        <f>VLOOKUP(Table1[[#This Row],[Losing Seed]],'Seed History'!$N$4:$O$19,2)</f>
        <v>0.70833333333333337</v>
      </c>
      <c r="R2087" s="1">
        <f>IF(Table1[[#This Row],[Round]]="PI",0,Table1[[#This Row],[Round]]-1)</f>
        <v>0</v>
      </c>
      <c r="S2087">
        <f>Table1[[#This Row],[LAW]]-Table1[[#This Row],[LEW]]</f>
        <v>-0.70833333333333337</v>
      </c>
    </row>
    <row r="2088" spans="1:19" x14ac:dyDescent="0.25">
      <c r="A2088" s="66">
        <v>42812</v>
      </c>
      <c r="B2088" s="51">
        <f>YEAR(Table1[[#This Row],[Date]])</f>
        <v>2017</v>
      </c>
      <c r="C2088" s="1">
        <v>2</v>
      </c>
      <c r="D2088" t="s">
        <v>38</v>
      </c>
      <c r="E2088" s="1">
        <v>11</v>
      </c>
      <c r="F2088" t="s">
        <v>44</v>
      </c>
      <c r="G2088" t="str">
        <f>VLOOKUP(Table1[[#This Row],[Winner]],Ranking!C:D,2,FALSE)</f>
        <v>BE</v>
      </c>
      <c r="H2088" s="1">
        <v>91</v>
      </c>
      <c r="I2088" s="1">
        <v>3</v>
      </c>
      <c r="J2088" t="s">
        <v>207</v>
      </c>
      <c r="K2088" t="str">
        <f>VLOOKUP(Table1[[#This Row],[Loser]],Ranking!C:D,2,FALSE)</f>
        <v>ACC</v>
      </c>
      <c r="L2088" s="1">
        <v>66</v>
      </c>
      <c r="N2088" s="1">
        <f>Table1[[#This Row],[Winning Score]]-Table1[[#This Row],[Losing Score]]</f>
        <v>25</v>
      </c>
      <c r="O2088" s="1">
        <f>Table1[[#This Row],[Losing Seed]]-Table1[[#This Row],[Winning Seed]]</f>
        <v>-8</v>
      </c>
      <c r="P2088" s="1" t="str">
        <f>IF(Table1[[#This Row],[SeD]]&lt;-2,Table1[[#This Row],[Winning Seed]]&amp; " over " &amp;Table1[[#This Row],[Losing Seed]],"")</f>
        <v>11 over 3</v>
      </c>
      <c r="Q2088">
        <f>VLOOKUP(Table1[[#This Row],[Losing Seed]],'Seed History'!$N$4:$O$19,2)</f>
        <v>1.8472222222222223</v>
      </c>
      <c r="R2088" s="1">
        <f>IF(Table1[[#This Row],[Round]]="PI",0,Table1[[#This Row],[Round]]-1)</f>
        <v>1</v>
      </c>
      <c r="S2088">
        <f>Table1[[#This Row],[LAW]]-Table1[[#This Row],[LEW]]</f>
        <v>-0.84722222222222232</v>
      </c>
    </row>
    <row r="2089" spans="1:19" x14ac:dyDescent="0.25">
      <c r="A2089" s="66">
        <v>42812</v>
      </c>
      <c r="B2089" s="51">
        <f>YEAR(Table1[[#This Row],[Date]])</f>
        <v>2017</v>
      </c>
      <c r="C2089" s="1">
        <v>2</v>
      </c>
      <c r="D2089" t="s">
        <v>49</v>
      </c>
      <c r="E2089" s="1">
        <v>8</v>
      </c>
      <c r="F2089" t="s">
        <v>39</v>
      </c>
      <c r="G2089" t="str">
        <f>VLOOKUP(Table1[[#This Row],[Winner]],Ranking!C:D,2,FALSE)</f>
        <v>B10</v>
      </c>
      <c r="H2089" s="1">
        <v>65</v>
      </c>
      <c r="I2089" s="1">
        <v>1</v>
      </c>
      <c r="J2089" t="s">
        <v>50</v>
      </c>
      <c r="K2089" t="str">
        <f>VLOOKUP(Table1[[#This Row],[Loser]],Ranking!C:D,2,FALSE)</f>
        <v>BE</v>
      </c>
      <c r="L2089" s="1">
        <v>62</v>
      </c>
      <c r="N2089" s="1">
        <f>Table1[[#This Row],[Winning Score]]-Table1[[#This Row],[Losing Score]]</f>
        <v>3</v>
      </c>
      <c r="O2089" s="1">
        <f>Table1[[#This Row],[Losing Seed]]-Table1[[#This Row],[Winning Seed]]</f>
        <v>-7</v>
      </c>
      <c r="P2089" s="1" t="str">
        <f>IF(Table1[[#This Row],[SeD]]&lt;-2,Table1[[#This Row],[Winning Seed]]&amp; " over " &amp;Table1[[#This Row],[Losing Seed]],"")</f>
        <v>8 over 1</v>
      </c>
      <c r="Q2089">
        <f>VLOOKUP(Table1[[#This Row],[Losing Seed]],'Seed History'!$N$4:$O$19,2)</f>
        <v>3.3263888888888888</v>
      </c>
      <c r="R2089" s="1">
        <f>IF(Table1[[#This Row],[Round]]="PI",0,Table1[[#This Row],[Round]]-1)</f>
        <v>1</v>
      </c>
      <c r="S2089">
        <f>Table1[[#This Row],[LAW]]-Table1[[#This Row],[LEW]]</f>
        <v>-2.3263888888888888</v>
      </c>
    </row>
    <row r="2090" spans="1:19" x14ac:dyDescent="0.25">
      <c r="A2090" s="66">
        <v>42812</v>
      </c>
      <c r="B2090" s="51">
        <f>YEAR(Table1[[#This Row],[Date]])</f>
        <v>2017</v>
      </c>
      <c r="C2090" s="1">
        <v>2</v>
      </c>
      <c r="D2090" t="s">
        <v>38</v>
      </c>
      <c r="E2090" s="1">
        <v>4</v>
      </c>
      <c r="F2090" t="s">
        <v>412</v>
      </c>
      <c r="G2090" t="str">
        <f>VLOOKUP(Table1[[#This Row],[Winner]],Ranking!C:D,2,FALSE)</f>
        <v>B12</v>
      </c>
      <c r="H2090" s="1">
        <v>83</v>
      </c>
      <c r="I2090" s="1">
        <v>5</v>
      </c>
      <c r="J2090" t="s">
        <v>35</v>
      </c>
      <c r="K2090" t="str">
        <f>VLOOKUP(Table1[[#This Row],[Loser]],Ranking!C:D,2,FALSE)</f>
        <v>ACC</v>
      </c>
      <c r="L2090" s="1">
        <v>71</v>
      </c>
      <c r="N2090" s="1">
        <f>Table1[[#This Row],[Winning Score]]-Table1[[#This Row],[Losing Score]]</f>
        <v>12</v>
      </c>
      <c r="O2090" s="1">
        <f>Table1[[#This Row],[Losing Seed]]-Table1[[#This Row],[Winning Seed]]</f>
        <v>1</v>
      </c>
      <c r="P2090" s="1" t="str">
        <f>IF(Table1[[#This Row],[SeD]]&lt;-2,Table1[[#This Row],[Winning Seed]]&amp; " over " &amp;Table1[[#This Row],[Losing Seed]],"")</f>
        <v/>
      </c>
      <c r="Q2090">
        <f>VLOOKUP(Table1[[#This Row],[Losing Seed]],'Seed History'!$N$4:$O$19,2)</f>
        <v>1.1180555555555556</v>
      </c>
      <c r="R2090" s="1">
        <f>IF(Table1[[#This Row],[Round]]="PI",0,Table1[[#This Row],[Round]]-1)</f>
        <v>1</v>
      </c>
      <c r="S2090">
        <f>Table1[[#This Row],[LAW]]-Table1[[#This Row],[LEW]]</f>
        <v>-0.11805555555555558</v>
      </c>
    </row>
    <row r="2091" spans="1:19" x14ac:dyDescent="0.25">
      <c r="A2091" s="66">
        <v>42812</v>
      </c>
      <c r="B2091" s="51">
        <f>YEAR(Table1[[#This Row],[Date]])</f>
        <v>2017</v>
      </c>
      <c r="C2091" s="1">
        <v>2</v>
      </c>
      <c r="D2091" t="s">
        <v>38</v>
      </c>
      <c r="E2091" s="1">
        <v>1</v>
      </c>
      <c r="F2091" t="s">
        <v>71</v>
      </c>
      <c r="G2091" t="str">
        <f>VLOOKUP(Table1[[#This Row],[Winner]],Ranking!C:D,2,FALSE)</f>
        <v>WCC</v>
      </c>
      <c r="H2091" s="1">
        <v>79</v>
      </c>
      <c r="I2091" s="1">
        <v>8</v>
      </c>
      <c r="J2091" t="s">
        <v>97</v>
      </c>
      <c r="K2091" t="str">
        <f>VLOOKUP(Table1[[#This Row],[Loser]],Ranking!C:D,2,FALSE)</f>
        <v>B10</v>
      </c>
      <c r="L2091" s="1">
        <v>73</v>
      </c>
      <c r="N2091" s="1">
        <f>Table1[[#This Row],[Winning Score]]-Table1[[#This Row],[Losing Score]]</f>
        <v>6</v>
      </c>
      <c r="O2091" s="1">
        <f>Table1[[#This Row],[Losing Seed]]-Table1[[#This Row],[Winning Seed]]</f>
        <v>7</v>
      </c>
      <c r="P2091" s="1" t="str">
        <f>IF(Table1[[#This Row],[SeD]]&lt;-2,Table1[[#This Row],[Winning Seed]]&amp; " over " &amp;Table1[[#This Row],[Losing Seed]],"")</f>
        <v/>
      </c>
      <c r="Q2091">
        <f>VLOOKUP(Table1[[#This Row],[Losing Seed]],'Seed History'!$N$4:$O$19,2)</f>
        <v>0.70833333333333337</v>
      </c>
      <c r="R2091" s="1">
        <f>IF(Table1[[#This Row],[Round]]="PI",0,Table1[[#This Row],[Round]]-1)</f>
        <v>1</v>
      </c>
      <c r="S2091">
        <f>Table1[[#This Row],[LAW]]-Table1[[#This Row],[LEW]]</f>
        <v>0.29166666666666663</v>
      </c>
    </row>
    <row r="2092" spans="1:19" x14ac:dyDescent="0.25">
      <c r="A2092" s="66">
        <v>42812</v>
      </c>
      <c r="B2092" s="51">
        <f>YEAR(Table1[[#This Row],[Date]])</f>
        <v>2017</v>
      </c>
      <c r="C2092" s="1">
        <v>2</v>
      </c>
      <c r="D2092" t="s">
        <v>63</v>
      </c>
      <c r="E2092" s="1">
        <v>4</v>
      </c>
      <c r="F2092" t="s">
        <v>33</v>
      </c>
      <c r="G2092" t="str">
        <f>VLOOKUP(Table1[[#This Row],[Winner]],Ranking!C:D,2,FALSE)</f>
        <v>BE</v>
      </c>
      <c r="H2092" s="1">
        <v>74</v>
      </c>
      <c r="I2092" s="1">
        <v>12</v>
      </c>
      <c r="J2092" t="s">
        <v>272</v>
      </c>
      <c r="K2092" t="str">
        <f>VLOOKUP(Table1[[#This Row],[Loser]],Ranking!C:D,2,FALSE)</f>
        <v>CUSA</v>
      </c>
      <c r="L2092" s="1">
        <v>65</v>
      </c>
      <c r="N2092" s="1">
        <f>Table1[[#This Row],[Winning Score]]-Table1[[#This Row],[Losing Score]]</f>
        <v>9</v>
      </c>
      <c r="O2092" s="1">
        <f>Table1[[#This Row],[Losing Seed]]-Table1[[#This Row],[Winning Seed]]</f>
        <v>8</v>
      </c>
      <c r="P2092" s="1" t="str">
        <f>IF(Table1[[#This Row],[SeD]]&lt;-2,Table1[[#This Row],[Winning Seed]]&amp; " over " &amp;Table1[[#This Row],[Losing Seed]],"")</f>
        <v/>
      </c>
      <c r="Q2092">
        <f>VLOOKUP(Table1[[#This Row],[Losing Seed]],'Seed History'!$N$4:$O$19,2)</f>
        <v>0.52083333333333337</v>
      </c>
      <c r="R2092" s="1">
        <f>IF(Table1[[#This Row],[Round]]="PI",0,Table1[[#This Row],[Round]]-1)</f>
        <v>1</v>
      </c>
      <c r="S2092">
        <f>Table1[[#This Row],[LAW]]-Table1[[#This Row],[LEW]]</f>
        <v>0.47916666666666663</v>
      </c>
    </row>
    <row r="2093" spans="1:19" x14ac:dyDescent="0.25">
      <c r="A2093" s="66">
        <v>42812</v>
      </c>
      <c r="B2093" s="51">
        <f>YEAR(Table1[[#This Row],[Date]])</f>
        <v>2017</v>
      </c>
      <c r="C2093" s="1">
        <v>2</v>
      </c>
      <c r="D2093" t="s">
        <v>38</v>
      </c>
      <c r="E2093" s="1">
        <v>2</v>
      </c>
      <c r="F2093" t="s">
        <v>48</v>
      </c>
      <c r="G2093" t="str">
        <f>VLOOKUP(Table1[[#This Row],[Winner]],Ranking!C:D,2,FALSE)</f>
        <v>P12</v>
      </c>
      <c r="H2093" s="1">
        <v>69</v>
      </c>
      <c r="I2093" s="1">
        <v>7</v>
      </c>
      <c r="J2093" t="s">
        <v>339</v>
      </c>
      <c r="K2093" t="str">
        <f>VLOOKUP(Table1[[#This Row],[Loser]],Ranking!C:D,2,FALSE)</f>
        <v>WCC</v>
      </c>
      <c r="L2093" s="1">
        <v>60</v>
      </c>
      <c r="N2093" s="1">
        <f>Table1[[#This Row],[Winning Score]]-Table1[[#This Row],[Losing Score]]</f>
        <v>9</v>
      </c>
      <c r="O2093" s="1">
        <f>Table1[[#This Row],[Losing Seed]]-Table1[[#This Row],[Winning Seed]]</f>
        <v>5</v>
      </c>
      <c r="P2093" s="1" t="str">
        <f>IF(Table1[[#This Row],[SeD]]&lt;-2,Table1[[#This Row],[Winning Seed]]&amp; " over " &amp;Table1[[#This Row],[Losing Seed]],"")</f>
        <v/>
      </c>
      <c r="Q2093">
        <f>VLOOKUP(Table1[[#This Row],[Losing Seed]],'Seed History'!$N$4:$O$19,2)</f>
        <v>0.90277777777777779</v>
      </c>
      <c r="R2093" s="1">
        <f>IF(Table1[[#This Row],[Round]]="PI",0,Table1[[#This Row],[Round]]-1)</f>
        <v>1</v>
      </c>
      <c r="S2093">
        <f>Table1[[#This Row],[LAW]]-Table1[[#This Row],[LEW]]</f>
        <v>9.722222222222221E-2</v>
      </c>
    </row>
    <row r="2094" spans="1:19" x14ac:dyDescent="0.25">
      <c r="A2094" s="66">
        <v>42812</v>
      </c>
      <c r="B2094" s="51">
        <f>YEAR(Table1[[#This Row],[Date]])</f>
        <v>2017</v>
      </c>
      <c r="C2094" s="1">
        <v>2</v>
      </c>
      <c r="D2094" t="s">
        <v>49</v>
      </c>
      <c r="E2094" s="1">
        <v>4</v>
      </c>
      <c r="F2094" t="s">
        <v>81</v>
      </c>
      <c r="G2094" t="str">
        <f>VLOOKUP(Table1[[#This Row],[Winner]],Ranking!C:D,2,FALSE)</f>
        <v>SEC</v>
      </c>
      <c r="H2094" s="1">
        <v>65</v>
      </c>
      <c r="I2094" s="1">
        <v>5</v>
      </c>
      <c r="J2094" t="s">
        <v>61</v>
      </c>
      <c r="K2094" t="str">
        <f>VLOOKUP(Table1[[#This Row],[Loser]],Ranking!C:D,2,FALSE)</f>
        <v>ACC</v>
      </c>
      <c r="L2094" s="1">
        <v>39</v>
      </c>
      <c r="N2094" s="1">
        <f>Table1[[#This Row],[Winning Score]]-Table1[[#This Row],[Losing Score]]</f>
        <v>26</v>
      </c>
      <c r="O2094" s="1">
        <f>Table1[[#This Row],[Losing Seed]]-Table1[[#This Row],[Winning Seed]]</f>
        <v>1</v>
      </c>
      <c r="P2094" s="1" t="str">
        <f>IF(Table1[[#This Row],[SeD]]&lt;-2,Table1[[#This Row],[Winning Seed]]&amp; " over " &amp;Table1[[#This Row],[Losing Seed]],"")</f>
        <v/>
      </c>
      <c r="Q2094">
        <f>VLOOKUP(Table1[[#This Row],[Losing Seed]],'Seed History'!$N$4:$O$19,2)</f>
        <v>1.1180555555555556</v>
      </c>
      <c r="R2094" s="1">
        <f>IF(Table1[[#This Row],[Round]]="PI",0,Table1[[#This Row],[Round]]-1)</f>
        <v>1</v>
      </c>
      <c r="S2094">
        <f>Table1[[#This Row],[LAW]]-Table1[[#This Row],[LEW]]</f>
        <v>-0.11805555555555558</v>
      </c>
    </row>
    <row r="2095" spans="1:19" x14ac:dyDescent="0.25">
      <c r="A2095" s="66">
        <v>42812</v>
      </c>
      <c r="B2095" s="51">
        <f>YEAR(Table1[[#This Row],[Date]])</f>
        <v>2017</v>
      </c>
      <c r="C2095" s="1">
        <v>2</v>
      </c>
      <c r="D2095" t="s">
        <v>439</v>
      </c>
      <c r="E2095" s="1">
        <v>4</v>
      </c>
      <c r="F2095" t="s">
        <v>29</v>
      </c>
      <c r="G2095" t="str">
        <f>VLOOKUP(Table1[[#This Row],[Winner]],Ranking!C:D,2,FALSE)</f>
        <v>B10</v>
      </c>
      <c r="H2095" s="1">
        <v>80</v>
      </c>
      <c r="I2095" s="1">
        <v>5</v>
      </c>
      <c r="J2095" t="s">
        <v>237</v>
      </c>
      <c r="K2095" t="str">
        <f>VLOOKUP(Table1[[#This Row],[Loser]],Ranking!C:D,2,FALSE)</f>
        <v>B12</v>
      </c>
      <c r="L2095" s="1">
        <v>76</v>
      </c>
      <c r="N2095" s="1">
        <f>Table1[[#This Row],[Winning Score]]-Table1[[#This Row],[Losing Score]]</f>
        <v>4</v>
      </c>
      <c r="O2095" s="1">
        <f>Table1[[#This Row],[Losing Seed]]-Table1[[#This Row],[Winning Seed]]</f>
        <v>1</v>
      </c>
      <c r="P2095" s="1" t="str">
        <f>IF(Table1[[#This Row],[SeD]]&lt;-2,Table1[[#This Row],[Winning Seed]]&amp; " over " &amp;Table1[[#This Row],[Losing Seed]],"")</f>
        <v/>
      </c>
      <c r="Q2095">
        <f>VLOOKUP(Table1[[#This Row],[Losing Seed]],'Seed History'!$N$4:$O$19,2)</f>
        <v>1.1180555555555556</v>
      </c>
      <c r="R2095" s="1">
        <f>IF(Table1[[#This Row],[Round]]="PI",0,Table1[[#This Row],[Round]]-1)</f>
        <v>1</v>
      </c>
      <c r="S2095">
        <f>Table1[[#This Row],[LAW]]-Table1[[#This Row],[LEW]]</f>
        <v>-0.11805555555555558</v>
      </c>
    </row>
    <row r="2096" spans="1:19" x14ac:dyDescent="0.25">
      <c r="A2096" s="66">
        <v>42813</v>
      </c>
      <c r="B2096" s="51">
        <f>YEAR(Table1[[#This Row],[Date]])</f>
        <v>2017</v>
      </c>
      <c r="C2096" s="1">
        <v>2</v>
      </c>
      <c r="D2096" t="s">
        <v>439</v>
      </c>
      <c r="E2096" s="1">
        <v>7</v>
      </c>
      <c r="F2096" t="s">
        <v>82</v>
      </c>
      <c r="G2096" t="str">
        <f>VLOOKUP(Table1[[#This Row],[Winner]],Ranking!C:D,2,FALSE)</f>
        <v>B10</v>
      </c>
      <c r="H2096" s="1">
        <v>73</v>
      </c>
      <c r="I2096" s="1">
        <v>2</v>
      </c>
      <c r="J2096" t="s">
        <v>54</v>
      </c>
      <c r="K2096" t="str">
        <f>VLOOKUP(Table1[[#This Row],[Loser]],Ranking!C:D,2,FALSE)</f>
        <v>ACC</v>
      </c>
      <c r="L2096" s="1">
        <v>69</v>
      </c>
      <c r="N2096" s="1">
        <f>Table1[[#This Row],[Winning Score]]-Table1[[#This Row],[Losing Score]]</f>
        <v>4</v>
      </c>
      <c r="O2096" s="1">
        <f>Table1[[#This Row],[Losing Seed]]-Table1[[#This Row],[Winning Seed]]</f>
        <v>-5</v>
      </c>
      <c r="P2096" s="1" t="str">
        <f>IF(Table1[[#This Row],[SeD]]&lt;-2,Table1[[#This Row],[Winning Seed]]&amp; " over " &amp;Table1[[#This Row],[Losing Seed]],"")</f>
        <v>7 over 2</v>
      </c>
      <c r="Q2096">
        <f>VLOOKUP(Table1[[#This Row],[Losing Seed]],'Seed History'!$N$4:$O$19,2)</f>
        <v>2.3472222222222223</v>
      </c>
      <c r="R2096" s="1">
        <f>IF(Table1[[#This Row],[Round]]="PI",0,Table1[[#This Row],[Round]]-1)</f>
        <v>1</v>
      </c>
      <c r="S2096">
        <f>Table1[[#This Row],[LAW]]-Table1[[#This Row],[LEW]]</f>
        <v>-1.3472222222222223</v>
      </c>
    </row>
    <row r="2097" spans="1:19" x14ac:dyDescent="0.25">
      <c r="A2097" s="66">
        <v>42813</v>
      </c>
      <c r="B2097" s="51">
        <f>YEAR(Table1[[#This Row],[Date]])</f>
        <v>2017</v>
      </c>
      <c r="C2097" s="1">
        <v>2</v>
      </c>
      <c r="D2097" t="s">
        <v>49</v>
      </c>
      <c r="E2097" s="1">
        <v>7</v>
      </c>
      <c r="F2097" t="s">
        <v>354</v>
      </c>
      <c r="G2097" t="str">
        <f>VLOOKUP(Table1[[#This Row],[Winner]],Ranking!C:D,2,FALSE)</f>
        <v>SEC</v>
      </c>
      <c r="H2097" s="1">
        <v>88</v>
      </c>
      <c r="I2097" s="1">
        <v>2</v>
      </c>
      <c r="J2097" t="s">
        <v>64</v>
      </c>
      <c r="K2097" t="str">
        <f>VLOOKUP(Table1[[#This Row],[Loser]],Ranking!C:D,2,FALSE)</f>
        <v>ACC</v>
      </c>
      <c r="L2097" s="1">
        <v>81</v>
      </c>
      <c r="N2097" s="1">
        <f>Table1[[#This Row],[Winning Score]]-Table1[[#This Row],[Losing Score]]</f>
        <v>7</v>
      </c>
      <c r="O2097" s="1">
        <f>Table1[[#This Row],[Losing Seed]]-Table1[[#This Row],[Winning Seed]]</f>
        <v>-5</v>
      </c>
      <c r="P2097" s="1" t="str">
        <f>IF(Table1[[#This Row],[SeD]]&lt;-2,Table1[[#This Row],[Winning Seed]]&amp; " over " &amp;Table1[[#This Row],[Losing Seed]],"")</f>
        <v>7 over 2</v>
      </c>
      <c r="Q2097">
        <f>VLOOKUP(Table1[[#This Row],[Losing Seed]],'Seed History'!$N$4:$O$19,2)</f>
        <v>2.3472222222222223</v>
      </c>
      <c r="R2097" s="1">
        <f>IF(Table1[[#This Row],[Round]]="PI",0,Table1[[#This Row],[Round]]-1)</f>
        <v>1</v>
      </c>
      <c r="S2097">
        <f>Table1[[#This Row],[LAW]]-Table1[[#This Row],[LEW]]</f>
        <v>-1.3472222222222223</v>
      </c>
    </row>
    <row r="2098" spans="1:19" x14ac:dyDescent="0.25">
      <c r="A2098" s="66">
        <v>42813</v>
      </c>
      <c r="B2098" s="51">
        <f>YEAR(Table1[[#This Row],[Date]])</f>
        <v>2017</v>
      </c>
      <c r="C2098" s="1">
        <v>2</v>
      </c>
      <c r="D2098" t="s">
        <v>63</v>
      </c>
      <c r="E2098" s="1">
        <v>2</v>
      </c>
      <c r="F2098" t="s">
        <v>26</v>
      </c>
      <c r="G2098" t="str">
        <f>VLOOKUP(Table1[[#This Row],[Winner]],Ranking!C:D,2,FALSE)</f>
        <v>SEC</v>
      </c>
      <c r="H2098" s="1">
        <v>65</v>
      </c>
      <c r="I2098" s="1">
        <v>10</v>
      </c>
      <c r="J2098" t="s">
        <v>417</v>
      </c>
      <c r="K2098" t="str">
        <f>VLOOKUP(Table1[[#This Row],[Loser]],Ranking!C:D,2,FALSE)</f>
        <v>Amer</v>
      </c>
      <c r="L2098" s="1">
        <v>62</v>
      </c>
      <c r="N2098" s="1">
        <f>Table1[[#This Row],[Winning Score]]-Table1[[#This Row],[Losing Score]]</f>
        <v>3</v>
      </c>
      <c r="O2098" s="1">
        <f>Table1[[#This Row],[Losing Seed]]-Table1[[#This Row],[Winning Seed]]</f>
        <v>8</v>
      </c>
      <c r="P2098" s="1" t="str">
        <f>IF(Table1[[#This Row],[SeD]]&lt;-2,Table1[[#This Row],[Winning Seed]]&amp; " over " &amp;Table1[[#This Row],[Losing Seed]],"")</f>
        <v/>
      </c>
      <c r="Q2098">
        <f>VLOOKUP(Table1[[#This Row],[Losing Seed]],'Seed History'!$N$4:$O$19,2)</f>
        <v>0.61805555555555558</v>
      </c>
      <c r="R2098" s="1">
        <f>IF(Table1[[#This Row],[Round]]="PI",0,Table1[[#This Row],[Round]]-1)</f>
        <v>1</v>
      </c>
      <c r="S2098">
        <f>Table1[[#This Row],[LAW]]-Table1[[#This Row],[LEW]]</f>
        <v>0.38194444444444442</v>
      </c>
    </row>
    <row r="2099" spans="1:19" x14ac:dyDescent="0.25">
      <c r="A2099" s="66">
        <v>42813</v>
      </c>
      <c r="B2099" s="51">
        <f>YEAR(Table1[[#This Row],[Date]])</f>
        <v>2017</v>
      </c>
      <c r="C2099" s="1">
        <v>2</v>
      </c>
      <c r="D2099" t="s">
        <v>439</v>
      </c>
      <c r="E2099" s="1">
        <v>1</v>
      </c>
      <c r="F2099" t="s">
        <v>37</v>
      </c>
      <c r="G2099" t="str">
        <f>VLOOKUP(Table1[[#This Row],[Winner]],Ranking!C:D,2,FALSE)</f>
        <v>B12</v>
      </c>
      <c r="H2099" s="1">
        <v>90</v>
      </c>
      <c r="I2099" s="1">
        <v>9</v>
      </c>
      <c r="J2099" t="s">
        <v>271</v>
      </c>
      <c r="K2099" t="str">
        <f>VLOOKUP(Table1[[#This Row],[Loser]],Ranking!C:D,2,FALSE)</f>
        <v>B10</v>
      </c>
      <c r="L2099" s="1">
        <v>70</v>
      </c>
      <c r="N2099" s="1">
        <f>Table1[[#This Row],[Winning Score]]-Table1[[#This Row],[Losing Score]]</f>
        <v>20</v>
      </c>
      <c r="O2099" s="1">
        <f>Table1[[#This Row],[Losing Seed]]-Table1[[#This Row],[Winning Seed]]</f>
        <v>8</v>
      </c>
      <c r="P2099" s="1" t="str">
        <f>IF(Table1[[#This Row],[SeD]]&lt;-2,Table1[[#This Row],[Winning Seed]]&amp; " over " &amp;Table1[[#This Row],[Losing Seed]],"")</f>
        <v/>
      </c>
      <c r="Q2099">
        <f>VLOOKUP(Table1[[#This Row],[Losing Seed]],'Seed History'!$N$4:$O$19,2)</f>
        <v>0.59027777777777779</v>
      </c>
      <c r="R2099" s="1">
        <f>IF(Table1[[#This Row],[Round]]="PI",0,Table1[[#This Row],[Round]]-1)</f>
        <v>1</v>
      </c>
      <c r="S2099">
        <f>Table1[[#This Row],[LAW]]-Table1[[#This Row],[LEW]]</f>
        <v>0.40972222222222221</v>
      </c>
    </row>
    <row r="2100" spans="1:19" x14ac:dyDescent="0.25">
      <c r="A2100" s="66">
        <v>42813</v>
      </c>
      <c r="B2100" s="51">
        <f>YEAR(Table1[[#This Row],[Date]])</f>
        <v>2017</v>
      </c>
      <c r="C2100" s="1">
        <v>2</v>
      </c>
      <c r="D2100" t="s">
        <v>63</v>
      </c>
      <c r="E2100" s="1">
        <v>1</v>
      </c>
      <c r="F2100" t="s">
        <v>298</v>
      </c>
      <c r="G2100" t="str">
        <f>VLOOKUP(Table1[[#This Row],[Winner]],Ranking!C:D,2,FALSE)</f>
        <v>ACC</v>
      </c>
      <c r="H2100" s="1">
        <v>72</v>
      </c>
      <c r="I2100" s="1">
        <v>8</v>
      </c>
      <c r="J2100" t="s">
        <v>41</v>
      </c>
      <c r="K2100" t="str">
        <f>VLOOKUP(Table1[[#This Row],[Loser]],Ranking!C:D,2,FALSE)</f>
        <v>SEC</v>
      </c>
      <c r="L2100" s="1">
        <v>65</v>
      </c>
      <c r="N2100" s="1">
        <f>Table1[[#This Row],[Winning Score]]-Table1[[#This Row],[Losing Score]]</f>
        <v>7</v>
      </c>
      <c r="O2100" s="1">
        <f>Table1[[#This Row],[Losing Seed]]-Table1[[#This Row],[Winning Seed]]</f>
        <v>7</v>
      </c>
      <c r="P2100" s="1" t="str">
        <f>IF(Table1[[#This Row],[SeD]]&lt;-2,Table1[[#This Row],[Winning Seed]]&amp; " over " &amp;Table1[[#This Row],[Losing Seed]],"")</f>
        <v/>
      </c>
      <c r="Q2100">
        <f>VLOOKUP(Table1[[#This Row],[Losing Seed]],'Seed History'!$N$4:$O$19,2)</f>
        <v>0.70833333333333337</v>
      </c>
      <c r="R2100" s="1">
        <f>IF(Table1[[#This Row],[Round]]="PI",0,Table1[[#This Row],[Round]]-1)</f>
        <v>1</v>
      </c>
      <c r="S2100">
        <f>Table1[[#This Row],[LAW]]-Table1[[#This Row],[LEW]]</f>
        <v>0.29166666666666663</v>
      </c>
    </row>
    <row r="2101" spans="1:19" x14ac:dyDescent="0.25">
      <c r="A2101" s="66">
        <v>42813</v>
      </c>
      <c r="B2101" s="51">
        <f>YEAR(Table1[[#This Row],[Date]])</f>
        <v>2017</v>
      </c>
      <c r="C2101" s="1">
        <v>2</v>
      </c>
      <c r="D2101" t="s">
        <v>439</v>
      </c>
      <c r="E2101" s="1">
        <v>3</v>
      </c>
      <c r="F2101" t="s">
        <v>40</v>
      </c>
      <c r="G2101" t="str">
        <f>VLOOKUP(Table1[[#This Row],[Winner]],Ranking!C:D,2,FALSE)</f>
        <v>P12</v>
      </c>
      <c r="H2101" s="1">
        <v>75</v>
      </c>
      <c r="I2101" s="1">
        <v>11</v>
      </c>
      <c r="J2101" t="s">
        <v>96</v>
      </c>
      <c r="K2101" t="str">
        <f>VLOOKUP(Table1[[#This Row],[Loser]],Ranking!C:D,2,FALSE)</f>
        <v>A10</v>
      </c>
      <c r="L2101" s="1">
        <v>72</v>
      </c>
      <c r="N2101" s="1">
        <f>Table1[[#This Row],[Winning Score]]-Table1[[#This Row],[Losing Score]]</f>
        <v>3</v>
      </c>
      <c r="O2101" s="1">
        <f>Table1[[#This Row],[Losing Seed]]-Table1[[#This Row],[Winning Seed]]</f>
        <v>8</v>
      </c>
      <c r="P2101" s="1" t="str">
        <f>IF(Table1[[#This Row],[SeD]]&lt;-2,Table1[[#This Row],[Winning Seed]]&amp; " over " &amp;Table1[[#This Row],[Losing Seed]],"")</f>
        <v/>
      </c>
      <c r="Q2101">
        <f>VLOOKUP(Table1[[#This Row],[Losing Seed]],'Seed History'!$N$4:$O$19,2)</f>
        <v>0.63194444444444442</v>
      </c>
      <c r="R2101" s="1">
        <f>IF(Table1[[#This Row],[Round]]="PI",0,Table1[[#This Row],[Round]]-1)</f>
        <v>1</v>
      </c>
      <c r="S2101">
        <f>Table1[[#This Row],[LAW]]-Table1[[#This Row],[LEW]]</f>
        <v>0.36805555555555558</v>
      </c>
    </row>
    <row r="2102" spans="1:19" x14ac:dyDescent="0.25">
      <c r="A2102" s="66">
        <v>42813</v>
      </c>
      <c r="B2102" s="51">
        <f>YEAR(Table1[[#This Row],[Date]])</f>
        <v>2017</v>
      </c>
      <c r="C2102" s="1">
        <v>2</v>
      </c>
      <c r="D2102" t="s">
        <v>49</v>
      </c>
      <c r="E2102" s="1">
        <v>3</v>
      </c>
      <c r="F2102" t="s">
        <v>46</v>
      </c>
      <c r="G2102" t="str">
        <f>VLOOKUP(Table1[[#This Row],[Winner]],Ranking!C:D,2,FALSE)</f>
        <v>B12</v>
      </c>
      <c r="H2102" s="1">
        <v>82</v>
      </c>
      <c r="I2102" s="1">
        <v>11</v>
      </c>
      <c r="J2102" t="s">
        <v>85</v>
      </c>
      <c r="K2102" t="str">
        <f>VLOOKUP(Table1[[#This Row],[Loser]],Ranking!C:D,2,FALSE)</f>
        <v>P12</v>
      </c>
      <c r="L2102" s="1">
        <v>78</v>
      </c>
      <c r="N2102" s="1">
        <f>Table1[[#This Row],[Winning Score]]-Table1[[#This Row],[Losing Score]]</f>
        <v>4</v>
      </c>
      <c r="O2102" s="1">
        <f>Table1[[#This Row],[Losing Seed]]-Table1[[#This Row],[Winning Seed]]</f>
        <v>8</v>
      </c>
      <c r="P2102" s="1" t="str">
        <f>IF(Table1[[#This Row],[SeD]]&lt;-2,Table1[[#This Row],[Winning Seed]]&amp; " over " &amp;Table1[[#This Row],[Losing Seed]],"")</f>
        <v/>
      </c>
      <c r="Q2102">
        <f>VLOOKUP(Table1[[#This Row],[Losing Seed]],'Seed History'!$N$4:$O$19,2)</f>
        <v>0.63194444444444442</v>
      </c>
      <c r="R2102" s="1">
        <f>IF(Table1[[#This Row],[Round]]="PI",0,Table1[[#This Row],[Round]]-1)</f>
        <v>1</v>
      </c>
      <c r="S2102">
        <f>Table1[[#This Row],[LAW]]-Table1[[#This Row],[LEW]]</f>
        <v>0.36805555555555558</v>
      </c>
    </row>
    <row r="2103" spans="1:19" x14ac:dyDescent="0.25">
      <c r="A2103" s="66">
        <v>42813</v>
      </c>
      <c r="B2103" s="51">
        <f>YEAR(Table1[[#This Row],[Date]])</f>
        <v>2017</v>
      </c>
      <c r="C2103" s="1">
        <v>2</v>
      </c>
      <c r="D2103" t="s">
        <v>63</v>
      </c>
      <c r="E2103" s="1">
        <v>3</v>
      </c>
      <c r="F2103" t="s">
        <v>67</v>
      </c>
      <c r="G2103" t="str">
        <f>VLOOKUP(Table1[[#This Row],[Winner]],Ranking!C:D,2,FALSE)</f>
        <v>P12</v>
      </c>
      <c r="H2103" s="1">
        <v>79</v>
      </c>
      <c r="I2103" s="1">
        <v>6</v>
      </c>
      <c r="J2103" t="s">
        <v>28</v>
      </c>
      <c r="K2103" t="str">
        <f>VLOOKUP(Table1[[#This Row],[Loser]],Ranking!C:D,2,FALSE)</f>
        <v>Amer</v>
      </c>
      <c r="L2103" s="1">
        <v>67</v>
      </c>
      <c r="N2103" s="1">
        <f>Table1[[#This Row],[Winning Score]]-Table1[[#This Row],[Losing Score]]</f>
        <v>12</v>
      </c>
      <c r="O2103" s="1">
        <f>Table1[[#This Row],[Losing Seed]]-Table1[[#This Row],[Winning Seed]]</f>
        <v>3</v>
      </c>
      <c r="P2103" s="1" t="str">
        <f>IF(Table1[[#This Row],[SeD]]&lt;-2,Table1[[#This Row],[Winning Seed]]&amp; " over " &amp;Table1[[#This Row],[Losing Seed]],"")</f>
        <v/>
      </c>
      <c r="Q2103">
        <f>VLOOKUP(Table1[[#This Row],[Losing Seed]],'Seed History'!$N$4:$O$19,2)</f>
        <v>1.0625</v>
      </c>
      <c r="R2103" s="1">
        <f>IF(Table1[[#This Row],[Round]]="PI",0,Table1[[#This Row],[Round]]-1)</f>
        <v>1</v>
      </c>
      <c r="S2103">
        <f>Table1[[#This Row],[LAW]]-Table1[[#This Row],[LEW]]</f>
        <v>-6.25E-2</v>
      </c>
    </row>
    <row r="2104" spans="1:19" x14ac:dyDescent="0.25">
      <c r="A2104" s="66">
        <v>42817</v>
      </c>
      <c r="B2104" s="51">
        <f>YEAR(Table1[[#This Row],[Date]])</f>
        <v>2017</v>
      </c>
      <c r="C2104" s="1">
        <v>3</v>
      </c>
      <c r="D2104" t="s">
        <v>38</v>
      </c>
      <c r="E2104" s="1">
        <v>11</v>
      </c>
      <c r="F2104" t="s">
        <v>44</v>
      </c>
      <c r="G2104" t="str">
        <f>VLOOKUP(Table1[[#This Row],[Winner]],Ranking!C:D,2,FALSE)</f>
        <v>BE</v>
      </c>
      <c r="H2104" s="1">
        <v>73</v>
      </c>
      <c r="I2104" s="1">
        <v>2</v>
      </c>
      <c r="J2104" t="s">
        <v>48</v>
      </c>
      <c r="K2104" t="str">
        <f>VLOOKUP(Table1[[#This Row],[Loser]],Ranking!C:D,2,FALSE)</f>
        <v>P12</v>
      </c>
      <c r="L2104" s="1">
        <v>71</v>
      </c>
      <c r="N2104" s="1">
        <f>Table1[[#This Row],[Winning Score]]-Table1[[#This Row],[Losing Score]]</f>
        <v>2</v>
      </c>
      <c r="O2104" s="1">
        <f>Table1[[#This Row],[Losing Seed]]-Table1[[#This Row],[Winning Seed]]</f>
        <v>-9</v>
      </c>
      <c r="P2104" s="1" t="str">
        <f>IF(Table1[[#This Row],[SeD]]&lt;-2,Table1[[#This Row],[Winning Seed]]&amp; " over " &amp;Table1[[#This Row],[Losing Seed]],"")</f>
        <v>11 over 2</v>
      </c>
      <c r="Q2104">
        <f>VLOOKUP(Table1[[#This Row],[Losing Seed]],'Seed History'!$N$4:$O$19,2)</f>
        <v>2.3472222222222223</v>
      </c>
      <c r="R2104" s="1">
        <f>IF(Table1[[#This Row],[Round]]="PI",0,Table1[[#This Row],[Round]]-1)</f>
        <v>2</v>
      </c>
      <c r="S2104">
        <f>Table1[[#This Row],[LAW]]-Table1[[#This Row],[LEW]]</f>
        <v>-0.34722222222222232</v>
      </c>
    </row>
    <row r="2105" spans="1:19" x14ac:dyDescent="0.25">
      <c r="A2105" s="66">
        <v>42817</v>
      </c>
      <c r="B2105" s="51">
        <f>YEAR(Table1[[#This Row],[Date]])</f>
        <v>2017</v>
      </c>
      <c r="C2105" s="1">
        <v>3</v>
      </c>
      <c r="D2105" t="s">
        <v>439</v>
      </c>
      <c r="E2105" s="1">
        <v>3</v>
      </c>
      <c r="F2105" t="s">
        <v>40</v>
      </c>
      <c r="G2105" t="str">
        <f>VLOOKUP(Table1[[#This Row],[Winner]],Ranking!C:D,2,FALSE)</f>
        <v>P12</v>
      </c>
      <c r="H2105" s="1">
        <v>69</v>
      </c>
      <c r="I2105" s="1">
        <v>7</v>
      </c>
      <c r="J2105" t="s">
        <v>82</v>
      </c>
      <c r="K2105" t="str">
        <f>VLOOKUP(Table1[[#This Row],[Loser]],Ranking!C:D,2,FALSE)</f>
        <v>B10</v>
      </c>
      <c r="L2105" s="1">
        <v>68</v>
      </c>
      <c r="N2105" s="1">
        <f>Table1[[#This Row],[Winning Score]]-Table1[[#This Row],[Losing Score]]</f>
        <v>1</v>
      </c>
      <c r="O2105" s="1">
        <f>Table1[[#This Row],[Losing Seed]]-Table1[[#This Row],[Winning Seed]]</f>
        <v>4</v>
      </c>
      <c r="P2105" s="1" t="str">
        <f>IF(Table1[[#This Row],[SeD]]&lt;-2,Table1[[#This Row],[Winning Seed]]&amp; " over " &amp;Table1[[#This Row],[Losing Seed]],"")</f>
        <v/>
      </c>
      <c r="Q2105">
        <f>VLOOKUP(Table1[[#This Row],[Losing Seed]],'Seed History'!$N$4:$O$19,2)</f>
        <v>0.90277777777777779</v>
      </c>
      <c r="R2105" s="1">
        <f>IF(Table1[[#This Row],[Round]]="PI",0,Table1[[#This Row],[Round]]-1)</f>
        <v>2</v>
      </c>
      <c r="S2105">
        <f>Table1[[#This Row],[LAW]]-Table1[[#This Row],[LEW]]</f>
        <v>1.0972222222222223</v>
      </c>
    </row>
    <row r="2106" spans="1:19" x14ac:dyDescent="0.25">
      <c r="A2106" s="66">
        <v>42817</v>
      </c>
      <c r="B2106" s="51">
        <f>YEAR(Table1[[#This Row],[Date]])</f>
        <v>2017</v>
      </c>
      <c r="C2106" s="1">
        <v>3</v>
      </c>
      <c r="D2106" t="s">
        <v>38</v>
      </c>
      <c r="E2106" s="1">
        <v>1</v>
      </c>
      <c r="F2106" t="s">
        <v>71</v>
      </c>
      <c r="G2106" t="str">
        <f>VLOOKUP(Table1[[#This Row],[Winner]],Ranking!C:D,2,FALSE)</f>
        <v>WCC</v>
      </c>
      <c r="H2106" s="1">
        <v>61</v>
      </c>
      <c r="I2106" s="1">
        <v>4</v>
      </c>
      <c r="J2106" t="s">
        <v>412</v>
      </c>
      <c r="K2106" t="str">
        <f>VLOOKUP(Table1[[#This Row],[Loser]],Ranking!C:D,2,FALSE)</f>
        <v>B12</v>
      </c>
      <c r="L2106" s="1">
        <v>58</v>
      </c>
      <c r="N2106" s="1">
        <f>Table1[[#This Row],[Winning Score]]-Table1[[#This Row],[Losing Score]]</f>
        <v>3</v>
      </c>
      <c r="O2106" s="1">
        <f>Table1[[#This Row],[Losing Seed]]-Table1[[#This Row],[Winning Seed]]</f>
        <v>3</v>
      </c>
      <c r="P2106" s="1" t="str">
        <f>IF(Table1[[#This Row],[SeD]]&lt;-2,Table1[[#This Row],[Winning Seed]]&amp; " over " &amp;Table1[[#This Row],[Losing Seed]],"")</f>
        <v/>
      </c>
      <c r="Q2106">
        <f>VLOOKUP(Table1[[#This Row],[Losing Seed]],'Seed History'!$N$4:$O$19,2)</f>
        <v>1.5208333333333333</v>
      </c>
      <c r="R2106" s="1">
        <f>IF(Table1[[#This Row],[Round]]="PI",0,Table1[[#This Row],[Round]]-1)</f>
        <v>2</v>
      </c>
      <c r="S2106">
        <f>Table1[[#This Row],[LAW]]-Table1[[#This Row],[LEW]]</f>
        <v>0.47916666666666674</v>
      </c>
    </row>
    <row r="2107" spans="1:19" x14ac:dyDescent="0.25">
      <c r="A2107" s="66">
        <v>42817</v>
      </c>
      <c r="B2107" s="51">
        <f>YEAR(Table1[[#This Row],[Date]])</f>
        <v>2017</v>
      </c>
      <c r="C2107" s="1">
        <v>3</v>
      </c>
      <c r="D2107" t="s">
        <v>439</v>
      </c>
      <c r="E2107" s="1">
        <v>1</v>
      </c>
      <c r="F2107" t="s">
        <v>37</v>
      </c>
      <c r="G2107" t="str">
        <f>VLOOKUP(Table1[[#This Row],[Winner]],Ranking!C:D,2,FALSE)</f>
        <v>B12</v>
      </c>
      <c r="H2107" s="1">
        <v>98</v>
      </c>
      <c r="I2107" s="1">
        <v>4</v>
      </c>
      <c r="J2107" t="s">
        <v>29</v>
      </c>
      <c r="K2107" t="str">
        <f>VLOOKUP(Table1[[#This Row],[Loser]],Ranking!C:D,2,FALSE)</f>
        <v>B10</v>
      </c>
      <c r="L2107" s="1">
        <v>66</v>
      </c>
      <c r="N2107" s="1">
        <f>Table1[[#This Row],[Winning Score]]-Table1[[#This Row],[Losing Score]]</f>
        <v>32</v>
      </c>
      <c r="O2107" s="1">
        <f>Table1[[#This Row],[Losing Seed]]-Table1[[#This Row],[Winning Seed]]</f>
        <v>3</v>
      </c>
      <c r="P2107" s="1" t="str">
        <f>IF(Table1[[#This Row],[SeD]]&lt;-2,Table1[[#This Row],[Winning Seed]]&amp; " over " &amp;Table1[[#This Row],[Losing Seed]],"")</f>
        <v/>
      </c>
      <c r="Q2107">
        <f>VLOOKUP(Table1[[#This Row],[Losing Seed]],'Seed History'!$N$4:$O$19,2)</f>
        <v>1.5208333333333333</v>
      </c>
      <c r="R2107" s="1">
        <f>IF(Table1[[#This Row],[Round]]="PI",0,Table1[[#This Row],[Round]]-1)</f>
        <v>2</v>
      </c>
      <c r="S2107">
        <f>Table1[[#This Row],[LAW]]-Table1[[#This Row],[LEW]]</f>
        <v>0.47916666666666674</v>
      </c>
    </row>
    <row r="2108" spans="1:19" x14ac:dyDescent="0.25">
      <c r="A2108" s="66">
        <v>42818</v>
      </c>
      <c r="B2108" s="51">
        <f>YEAR(Table1[[#This Row],[Date]])</f>
        <v>2017</v>
      </c>
      <c r="C2108" s="1">
        <v>3</v>
      </c>
      <c r="D2108" t="s">
        <v>49</v>
      </c>
      <c r="E2108" s="1">
        <v>7</v>
      </c>
      <c r="F2108" t="s">
        <v>354</v>
      </c>
      <c r="G2108" t="str">
        <f>VLOOKUP(Table1[[#This Row],[Winner]],Ranking!C:D,2,FALSE)</f>
        <v>SEC</v>
      </c>
      <c r="H2108" s="1">
        <v>70</v>
      </c>
      <c r="I2108" s="1">
        <v>3</v>
      </c>
      <c r="J2108" t="s">
        <v>46</v>
      </c>
      <c r="K2108" t="str">
        <f>VLOOKUP(Table1[[#This Row],[Loser]],Ranking!C:D,2,FALSE)</f>
        <v>B12</v>
      </c>
      <c r="L2108" s="1">
        <v>50</v>
      </c>
      <c r="N2108" s="1">
        <f>Table1[[#This Row],[Winning Score]]-Table1[[#This Row],[Losing Score]]</f>
        <v>20</v>
      </c>
      <c r="O2108" s="1">
        <f>Table1[[#This Row],[Losing Seed]]-Table1[[#This Row],[Winning Seed]]</f>
        <v>-4</v>
      </c>
      <c r="P2108" s="1" t="str">
        <f>IF(Table1[[#This Row],[SeD]]&lt;-2,Table1[[#This Row],[Winning Seed]]&amp; " over " &amp;Table1[[#This Row],[Losing Seed]],"")</f>
        <v>7 over 3</v>
      </c>
      <c r="Q2108">
        <f>VLOOKUP(Table1[[#This Row],[Losing Seed]],'Seed History'!$N$4:$O$19,2)</f>
        <v>1.8472222222222223</v>
      </c>
      <c r="R2108" s="1">
        <f>IF(Table1[[#This Row],[Round]]="PI",0,Table1[[#This Row],[Round]]-1)</f>
        <v>2</v>
      </c>
      <c r="S2108">
        <f>Table1[[#This Row],[LAW]]-Table1[[#This Row],[LEW]]</f>
        <v>0.15277777777777768</v>
      </c>
    </row>
    <row r="2109" spans="1:19" x14ac:dyDescent="0.25">
      <c r="A2109" s="66">
        <v>42818</v>
      </c>
      <c r="B2109" s="51">
        <f>YEAR(Table1[[#This Row],[Date]])</f>
        <v>2017</v>
      </c>
      <c r="C2109" s="1">
        <v>3</v>
      </c>
      <c r="D2109" t="s">
        <v>63</v>
      </c>
      <c r="E2109" s="1">
        <v>1</v>
      </c>
      <c r="F2109" t="s">
        <v>298</v>
      </c>
      <c r="G2109" t="str">
        <f>VLOOKUP(Table1[[#This Row],[Winner]],Ranking!C:D,2,FALSE)</f>
        <v>ACC</v>
      </c>
      <c r="H2109" s="1">
        <v>92</v>
      </c>
      <c r="I2109" s="1">
        <v>4</v>
      </c>
      <c r="J2109" t="s">
        <v>33</v>
      </c>
      <c r="K2109" t="str">
        <f>VLOOKUP(Table1[[#This Row],[Loser]],Ranking!C:D,2,FALSE)</f>
        <v>BE</v>
      </c>
      <c r="L2109" s="1">
        <v>80</v>
      </c>
      <c r="N2109" s="1">
        <f>Table1[[#This Row],[Winning Score]]-Table1[[#This Row],[Losing Score]]</f>
        <v>12</v>
      </c>
      <c r="O2109" s="1">
        <f>Table1[[#This Row],[Losing Seed]]-Table1[[#This Row],[Winning Seed]]</f>
        <v>3</v>
      </c>
      <c r="P2109" s="1" t="str">
        <f>IF(Table1[[#This Row],[SeD]]&lt;-2,Table1[[#This Row],[Winning Seed]]&amp; " over " &amp;Table1[[#This Row],[Losing Seed]],"")</f>
        <v/>
      </c>
      <c r="Q2109">
        <f>VLOOKUP(Table1[[#This Row],[Losing Seed]],'Seed History'!$N$4:$O$19,2)</f>
        <v>1.5208333333333333</v>
      </c>
      <c r="R2109" s="1">
        <f>IF(Table1[[#This Row],[Round]]="PI",0,Table1[[#This Row],[Round]]-1)</f>
        <v>2</v>
      </c>
      <c r="S2109">
        <f>Table1[[#This Row],[LAW]]-Table1[[#This Row],[LEW]]</f>
        <v>0.47916666666666674</v>
      </c>
    </row>
    <row r="2110" spans="1:19" x14ac:dyDescent="0.25">
      <c r="A2110" s="66">
        <v>42818</v>
      </c>
      <c r="B2110" s="51">
        <f>YEAR(Table1[[#This Row],[Date]])</f>
        <v>2017</v>
      </c>
      <c r="C2110" s="1">
        <v>3</v>
      </c>
      <c r="D2110" t="s">
        <v>63</v>
      </c>
      <c r="E2110" s="1">
        <v>2</v>
      </c>
      <c r="F2110" t="s">
        <v>26</v>
      </c>
      <c r="G2110" t="str">
        <f>VLOOKUP(Table1[[#This Row],[Winner]],Ranking!C:D,2,FALSE)</f>
        <v>SEC</v>
      </c>
      <c r="H2110" s="1">
        <v>86</v>
      </c>
      <c r="I2110" s="1">
        <v>3</v>
      </c>
      <c r="J2110" t="s">
        <v>67</v>
      </c>
      <c r="K2110" t="str">
        <f>VLOOKUP(Table1[[#This Row],[Loser]],Ranking!C:D,2,FALSE)</f>
        <v>P12</v>
      </c>
      <c r="L2110" s="1">
        <v>75</v>
      </c>
      <c r="N2110" s="1">
        <f>Table1[[#This Row],[Winning Score]]-Table1[[#This Row],[Losing Score]]</f>
        <v>11</v>
      </c>
      <c r="O2110" s="1">
        <f>Table1[[#This Row],[Losing Seed]]-Table1[[#This Row],[Winning Seed]]</f>
        <v>1</v>
      </c>
      <c r="P2110" s="1" t="str">
        <f>IF(Table1[[#This Row],[SeD]]&lt;-2,Table1[[#This Row],[Winning Seed]]&amp; " over " &amp;Table1[[#This Row],[Losing Seed]],"")</f>
        <v/>
      </c>
      <c r="Q2110">
        <f>VLOOKUP(Table1[[#This Row],[Losing Seed]],'Seed History'!$N$4:$O$19,2)</f>
        <v>1.8472222222222223</v>
      </c>
      <c r="R2110" s="1">
        <f>IF(Table1[[#This Row],[Round]]="PI",0,Table1[[#This Row],[Round]]-1)</f>
        <v>2</v>
      </c>
      <c r="S2110">
        <f>Table1[[#This Row],[LAW]]-Table1[[#This Row],[LEW]]</f>
        <v>0.15277777777777768</v>
      </c>
    </row>
    <row r="2111" spans="1:19" x14ac:dyDescent="0.25">
      <c r="A2111" s="66">
        <v>42818</v>
      </c>
      <c r="B2111" s="51">
        <f>YEAR(Table1[[#This Row],[Date]])</f>
        <v>2017</v>
      </c>
      <c r="C2111" s="1">
        <v>3</v>
      </c>
      <c r="D2111" t="s">
        <v>49</v>
      </c>
      <c r="E2111" s="1">
        <v>4</v>
      </c>
      <c r="F2111" t="s">
        <v>81</v>
      </c>
      <c r="G2111" t="str">
        <f>VLOOKUP(Table1[[#This Row],[Winner]],Ranking!C:D,2,FALSE)</f>
        <v>SEC</v>
      </c>
      <c r="H2111" s="1">
        <v>84</v>
      </c>
      <c r="I2111" s="1">
        <v>8</v>
      </c>
      <c r="J2111" t="s">
        <v>39</v>
      </c>
      <c r="K2111" t="str">
        <f>VLOOKUP(Table1[[#This Row],[Loser]],Ranking!C:D,2,FALSE)</f>
        <v>B10</v>
      </c>
      <c r="L2111" s="1">
        <v>83</v>
      </c>
      <c r="M2111" s="1" t="s">
        <v>462</v>
      </c>
      <c r="N2111" s="1">
        <f>Table1[[#This Row],[Winning Score]]-Table1[[#This Row],[Losing Score]]</f>
        <v>1</v>
      </c>
      <c r="O2111" s="1">
        <f>Table1[[#This Row],[Losing Seed]]-Table1[[#This Row],[Winning Seed]]</f>
        <v>4</v>
      </c>
      <c r="P2111" s="1" t="str">
        <f>IF(Table1[[#This Row],[SeD]]&lt;-2,Table1[[#This Row],[Winning Seed]]&amp; " over " &amp;Table1[[#This Row],[Losing Seed]],"")</f>
        <v/>
      </c>
      <c r="Q2111">
        <f>VLOOKUP(Table1[[#This Row],[Losing Seed]],'Seed History'!$N$4:$O$19,2)</f>
        <v>0.70833333333333337</v>
      </c>
      <c r="R2111" s="1">
        <f>IF(Table1[[#This Row],[Round]]="PI",0,Table1[[#This Row],[Round]]-1)</f>
        <v>2</v>
      </c>
      <c r="S2111">
        <f>Table1[[#This Row],[LAW]]-Table1[[#This Row],[LEW]]</f>
        <v>1.2916666666666665</v>
      </c>
    </row>
    <row r="2112" spans="1:19" x14ac:dyDescent="0.25">
      <c r="A2112" s="66">
        <v>42819</v>
      </c>
      <c r="B2112" s="51">
        <f>YEAR(Table1[[#This Row],[Date]])</f>
        <v>2017</v>
      </c>
      <c r="C2112" s="1">
        <v>4</v>
      </c>
      <c r="D2112" t="s">
        <v>439</v>
      </c>
      <c r="E2112" s="1">
        <v>3</v>
      </c>
      <c r="F2112" t="s">
        <v>40</v>
      </c>
      <c r="G2112" t="str">
        <f>VLOOKUP(Table1[[#This Row],[Winner]],Ranking!C:D,2,FALSE)</f>
        <v>P12</v>
      </c>
      <c r="H2112" s="1">
        <v>74</v>
      </c>
      <c r="I2112" s="1">
        <v>1</v>
      </c>
      <c r="J2112" t="s">
        <v>37</v>
      </c>
      <c r="K2112" t="str">
        <f>VLOOKUP(Table1[[#This Row],[Loser]],Ranking!C:D,2,FALSE)</f>
        <v>B12</v>
      </c>
      <c r="L2112" s="1">
        <v>60</v>
      </c>
      <c r="N2112" s="1">
        <f>Table1[[#This Row],[Winning Score]]-Table1[[#This Row],[Losing Score]]</f>
        <v>14</v>
      </c>
      <c r="O2112" s="1">
        <f>Table1[[#This Row],[Losing Seed]]-Table1[[#This Row],[Winning Seed]]</f>
        <v>-2</v>
      </c>
      <c r="P2112" s="1" t="str">
        <f>IF(Table1[[#This Row],[SeD]]&lt;-2,Table1[[#This Row],[Winning Seed]]&amp; " over " &amp;Table1[[#This Row],[Losing Seed]],"")</f>
        <v/>
      </c>
      <c r="Q2112">
        <f>VLOOKUP(Table1[[#This Row],[Losing Seed]],'Seed History'!$N$4:$O$19,2)</f>
        <v>3.3263888888888888</v>
      </c>
      <c r="R2112" s="1">
        <f>IF(Table1[[#This Row],[Round]]="PI",0,Table1[[#This Row],[Round]]-1)</f>
        <v>3</v>
      </c>
      <c r="S2112">
        <f>Table1[[#This Row],[LAW]]-Table1[[#This Row],[LEW]]</f>
        <v>-0.32638888888888884</v>
      </c>
    </row>
    <row r="2113" spans="1:19" x14ac:dyDescent="0.25">
      <c r="A2113" s="66">
        <v>42819</v>
      </c>
      <c r="B2113" s="51">
        <f>YEAR(Table1[[#This Row],[Date]])</f>
        <v>2017</v>
      </c>
      <c r="C2113" s="1">
        <v>4</v>
      </c>
      <c r="D2113" t="s">
        <v>38</v>
      </c>
      <c r="E2113" s="1">
        <v>1</v>
      </c>
      <c r="F2113" t="s">
        <v>71</v>
      </c>
      <c r="G2113" t="str">
        <f>VLOOKUP(Table1[[#This Row],[Winner]],Ranking!C:D,2,FALSE)</f>
        <v>WCC</v>
      </c>
      <c r="H2113" s="1">
        <v>83</v>
      </c>
      <c r="I2113" s="1">
        <v>11</v>
      </c>
      <c r="J2113" t="s">
        <v>44</v>
      </c>
      <c r="K2113" t="str">
        <f>VLOOKUP(Table1[[#This Row],[Loser]],Ranking!C:D,2,FALSE)</f>
        <v>BE</v>
      </c>
      <c r="L2113" s="1">
        <v>59</v>
      </c>
      <c r="N2113" s="1">
        <f>Table1[[#This Row],[Winning Score]]-Table1[[#This Row],[Losing Score]]</f>
        <v>24</v>
      </c>
      <c r="O2113" s="1">
        <f>Table1[[#This Row],[Losing Seed]]-Table1[[#This Row],[Winning Seed]]</f>
        <v>10</v>
      </c>
      <c r="P2113" s="1" t="str">
        <f>IF(Table1[[#This Row],[SeD]]&lt;-2,Table1[[#This Row],[Winning Seed]]&amp; " over " &amp;Table1[[#This Row],[Losing Seed]],"")</f>
        <v/>
      </c>
      <c r="Q2113">
        <f>VLOOKUP(Table1[[#This Row],[Losing Seed]],'Seed History'!$N$4:$O$19,2)</f>
        <v>0.63194444444444442</v>
      </c>
      <c r="R2113" s="1">
        <f>IF(Table1[[#This Row],[Round]]="PI",0,Table1[[#This Row],[Round]]-1)</f>
        <v>3</v>
      </c>
      <c r="S2113">
        <f>Table1[[#This Row],[LAW]]-Table1[[#This Row],[LEW]]</f>
        <v>2.3680555555555554</v>
      </c>
    </row>
    <row r="2114" spans="1:19" x14ac:dyDescent="0.25">
      <c r="A2114" s="66">
        <v>42820</v>
      </c>
      <c r="B2114" s="51">
        <f>YEAR(Table1[[#This Row],[Date]])</f>
        <v>2017</v>
      </c>
      <c r="C2114" s="1">
        <v>4</v>
      </c>
      <c r="D2114" t="s">
        <v>49</v>
      </c>
      <c r="E2114" s="1">
        <v>7</v>
      </c>
      <c r="F2114" t="s">
        <v>354</v>
      </c>
      <c r="G2114" t="str">
        <f>VLOOKUP(Table1[[#This Row],[Winner]],Ranking!C:D,2,FALSE)</f>
        <v>SEC</v>
      </c>
      <c r="H2114" s="1">
        <v>77</v>
      </c>
      <c r="I2114" s="1">
        <v>4</v>
      </c>
      <c r="J2114" t="s">
        <v>81</v>
      </c>
      <c r="K2114" t="str">
        <f>VLOOKUP(Table1[[#This Row],[Loser]],Ranking!C:D,2,FALSE)</f>
        <v>SEC</v>
      </c>
      <c r="L2114" s="1">
        <v>70</v>
      </c>
      <c r="N2114" s="1">
        <f>Table1[[#This Row],[Winning Score]]-Table1[[#This Row],[Losing Score]]</f>
        <v>7</v>
      </c>
      <c r="O2114" s="1">
        <f>Table1[[#This Row],[Losing Seed]]-Table1[[#This Row],[Winning Seed]]</f>
        <v>-3</v>
      </c>
      <c r="P2114" s="1" t="str">
        <f>IF(Table1[[#This Row],[SeD]]&lt;-2,Table1[[#This Row],[Winning Seed]]&amp; " over " &amp;Table1[[#This Row],[Losing Seed]],"")</f>
        <v>7 over 4</v>
      </c>
      <c r="Q2114">
        <f>VLOOKUP(Table1[[#This Row],[Losing Seed]],'Seed History'!$N$4:$O$19,2)</f>
        <v>1.5208333333333333</v>
      </c>
      <c r="R2114" s="1">
        <f>IF(Table1[[#This Row],[Round]]="PI",0,Table1[[#This Row],[Round]]-1)</f>
        <v>3</v>
      </c>
      <c r="S2114">
        <f>Table1[[#This Row],[LAW]]-Table1[[#This Row],[LEW]]</f>
        <v>1.4791666666666667</v>
      </c>
    </row>
    <row r="2115" spans="1:19" x14ac:dyDescent="0.25">
      <c r="A2115" s="66">
        <v>42820</v>
      </c>
      <c r="B2115" s="51">
        <f>YEAR(Table1[[#This Row],[Date]])</f>
        <v>2017</v>
      </c>
      <c r="C2115" s="1">
        <v>4</v>
      </c>
      <c r="D2115" t="s">
        <v>63</v>
      </c>
      <c r="E2115" s="1">
        <v>1</v>
      </c>
      <c r="F2115" t="s">
        <v>298</v>
      </c>
      <c r="G2115" t="str">
        <f>VLOOKUP(Table1[[#This Row],[Winner]],Ranking!C:D,2,FALSE)</f>
        <v>ACC</v>
      </c>
      <c r="H2115" s="1">
        <v>75</v>
      </c>
      <c r="I2115" s="1">
        <v>2</v>
      </c>
      <c r="J2115" t="s">
        <v>26</v>
      </c>
      <c r="K2115" t="str">
        <f>VLOOKUP(Table1[[#This Row],[Loser]],Ranking!C:D,2,FALSE)</f>
        <v>SEC</v>
      </c>
      <c r="L2115" s="1">
        <v>73</v>
      </c>
      <c r="N2115" s="1">
        <f>Table1[[#This Row],[Winning Score]]-Table1[[#This Row],[Losing Score]]</f>
        <v>2</v>
      </c>
      <c r="O2115" s="1">
        <f>Table1[[#This Row],[Losing Seed]]-Table1[[#This Row],[Winning Seed]]</f>
        <v>1</v>
      </c>
      <c r="P2115" s="1" t="str">
        <f>IF(Table1[[#This Row],[SeD]]&lt;-2,Table1[[#This Row],[Winning Seed]]&amp; " over " &amp;Table1[[#This Row],[Losing Seed]],"")</f>
        <v/>
      </c>
      <c r="Q2115">
        <f>VLOOKUP(Table1[[#This Row],[Losing Seed]],'Seed History'!$N$4:$O$19,2)</f>
        <v>2.3472222222222223</v>
      </c>
      <c r="R2115" s="1">
        <f>IF(Table1[[#This Row],[Round]]="PI",0,Table1[[#This Row],[Round]]-1)</f>
        <v>3</v>
      </c>
      <c r="S2115">
        <f>Table1[[#This Row],[LAW]]-Table1[[#This Row],[LEW]]</f>
        <v>0.65277777777777768</v>
      </c>
    </row>
    <row r="2116" spans="1:19" x14ac:dyDescent="0.25">
      <c r="A2116" s="66">
        <v>42826</v>
      </c>
      <c r="B2116" s="51">
        <f>YEAR(Table1[[#This Row],[Date]])</f>
        <v>2017</v>
      </c>
      <c r="C2116" s="1">
        <v>5</v>
      </c>
      <c r="D2116" t="s">
        <v>467</v>
      </c>
      <c r="E2116" s="1">
        <v>1</v>
      </c>
      <c r="F2116" t="s">
        <v>71</v>
      </c>
      <c r="G2116" t="str">
        <f>VLOOKUP(Table1[[#This Row],[Winner]],Ranking!C:D,2,FALSE)</f>
        <v>WCC</v>
      </c>
      <c r="H2116" s="1">
        <v>77</v>
      </c>
      <c r="I2116" s="1">
        <v>7</v>
      </c>
      <c r="J2116" t="s">
        <v>354</v>
      </c>
      <c r="K2116" t="str">
        <f>VLOOKUP(Table1[[#This Row],[Loser]],Ranking!C:D,2,FALSE)</f>
        <v>SEC</v>
      </c>
      <c r="L2116" s="1">
        <v>73</v>
      </c>
      <c r="N2116" s="1">
        <f>Table1[[#This Row],[Winning Score]]-Table1[[#This Row],[Losing Score]]</f>
        <v>4</v>
      </c>
      <c r="O2116" s="1">
        <f>Table1[[#This Row],[Losing Seed]]-Table1[[#This Row],[Winning Seed]]</f>
        <v>6</v>
      </c>
      <c r="P2116" s="1" t="str">
        <f>IF(Table1[[#This Row],[SeD]]&lt;-2,Table1[[#This Row],[Winning Seed]]&amp; " over " &amp;Table1[[#This Row],[Losing Seed]],"")</f>
        <v/>
      </c>
      <c r="Q2116">
        <f>VLOOKUP(Table1[[#This Row],[Losing Seed]],'Seed History'!$N$4:$O$19,2)</f>
        <v>0.90277777777777779</v>
      </c>
      <c r="R2116" s="1">
        <f>IF(Table1[[#This Row],[Round]]="PI",0,Table1[[#This Row],[Round]]-1)</f>
        <v>4</v>
      </c>
      <c r="S2116">
        <f>Table1[[#This Row],[LAW]]-Table1[[#This Row],[LEW]]</f>
        <v>3.0972222222222223</v>
      </c>
    </row>
    <row r="2117" spans="1:19" x14ac:dyDescent="0.25">
      <c r="A2117" s="66">
        <v>42826</v>
      </c>
      <c r="B2117" s="51">
        <f>YEAR(Table1[[#This Row],[Date]])</f>
        <v>2017</v>
      </c>
      <c r="C2117" s="1">
        <v>5</v>
      </c>
      <c r="D2117" t="s">
        <v>467</v>
      </c>
      <c r="E2117" s="1">
        <v>1</v>
      </c>
      <c r="F2117" t="s">
        <v>298</v>
      </c>
      <c r="G2117" t="str">
        <f>VLOOKUP(Table1[[#This Row],[Winner]],Ranking!C:D,2,FALSE)</f>
        <v>ACC</v>
      </c>
      <c r="H2117" s="1">
        <v>77</v>
      </c>
      <c r="I2117" s="1">
        <v>3</v>
      </c>
      <c r="J2117" t="s">
        <v>40</v>
      </c>
      <c r="K2117" t="str">
        <f>VLOOKUP(Table1[[#This Row],[Loser]],Ranking!C:D,2,FALSE)</f>
        <v>P12</v>
      </c>
      <c r="L2117" s="1">
        <v>76</v>
      </c>
      <c r="N2117" s="1">
        <f>Table1[[#This Row],[Winning Score]]-Table1[[#This Row],[Losing Score]]</f>
        <v>1</v>
      </c>
      <c r="O2117" s="1">
        <f>Table1[[#This Row],[Losing Seed]]-Table1[[#This Row],[Winning Seed]]</f>
        <v>2</v>
      </c>
      <c r="P2117" s="1" t="str">
        <f>IF(Table1[[#This Row],[SeD]]&lt;-2,Table1[[#This Row],[Winning Seed]]&amp; " over " &amp;Table1[[#This Row],[Losing Seed]],"")</f>
        <v/>
      </c>
      <c r="Q2117">
        <f>VLOOKUP(Table1[[#This Row],[Losing Seed]],'Seed History'!$N$4:$O$19,2)</f>
        <v>1.8472222222222223</v>
      </c>
      <c r="R2117" s="1">
        <f>IF(Table1[[#This Row],[Round]]="PI",0,Table1[[#This Row],[Round]]-1)</f>
        <v>4</v>
      </c>
      <c r="S2117">
        <f>Table1[[#This Row],[LAW]]-Table1[[#This Row],[LEW]]</f>
        <v>2.1527777777777777</v>
      </c>
    </row>
    <row r="2118" spans="1:19" x14ac:dyDescent="0.25">
      <c r="A2118" s="66">
        <v>42828</v>
      </c>
      <c r="B2118" s="51">
        <f>YEAR(Table1[[#This Row],[Date]])</f>
        <v>2017</v>
      </c>
      <c r="C2118" s="1">
        <v>6</v>
      </c>
      <c r="D2118" t="s">
        <v>468</v>
      </c>
      <c r="E2118" s="1">
        <v>1</v>
      </c>
      <c r="F2118" t="s">
        <v>298</v>
      </c>
      <c r="G2118" t="str">
        <f>VLOOKUP(Table1[[#This Row],[Winner]],Ranking!C:D,2,FALSE)</f>
        <v>ACC</v>
      </c>
      <c r="H2118" s="1">
        <v>71</v>
      </c>
      <c r="I2118" s="1">
        <v>1</v>
      </c>
      <c r="J2118" t="s">
        <v>71</v>
      </c>
      <c r="K2118" t="str">
        <f>VLOOKUP(Table1[[#This Row],[Loser]],Ranking!C:D,2,FALSE)</f>
        <v>WCC</v>
      </c>
      <c r="L2118" s="1">
        <v>65</v>
      </c>
      <c r="N2118" s="1">
        <f>Table1[[#This Row],[Winning Score]]-Table1[[#This Row],[Losing Score]]</f>
        <v>6</v>
      </c>
      <c r="O2118" s="1">
        <f>Table1[[#This Row],[Losing Seed]]-Table1[[#This Row],[Winning Seed]]</f>
        <v>0</v>
      </c>
      <c r="P2118" s="1" t="str">
        <f>IF(Table1[[#This Row],[SeD]]&lt;-2,Table1[[#This Row],[Winning Seed]]&amp; " over " &amp;Table1[[#This Row],[Losing Seed]],"")</f>
        <v/>
      </c>
      <c r="Q2118">
        <f>VLOOKUP(Table1[[#This Row],[Losing Seed]],'Seed History'!$N$4:$O$19,2)</f>
        <v>3.3263888888888888</v>
      </c>
      <c r="R2118" s="1">
        <f>IF(Table1[[#This Row],[Round]]="PI",0,Table1[[#This Row],[Round]]-1)</f>
        <v>5</v>
      </c>
      <c r="S2118">
        <f>Table1[[#This Row],[LAW]]-Table1[[#This Row],[LEW]]</f>
        <v>1.6736111111111112</v>
      </c>
    </row>
    <row r="2119" spans="1:19" x14ac:dyDescent="0.25">
      <c r="A2119" s="66">
        <v>43172</v>
      </c>
      <c r="B2119" s="51">
        <f>YEAR(Table1[[#This Row],[Date]])</f>
        <v>2018</v>
      </c>
      <c r="C2119" s="1" t="s">
        <v>476</v>
      </c>
      <c r="D2119" t="s">
        <v>49</v>
      </c>
      <c r="E2119" s="1">
        <v>16</v>
      </c>
      <c r="F2119" t="s">
        <v>329</v>
      </c>
      <c r="G2119" t="str">
        <f>VLOOKUP(Table1[[#This Row],[Winner]],Ranking!C:D,2,FALSE)</f>
        <v>BSth</v>
      </c>
      <c r="H2119" s="1">
        <v>71</v>
      </c>
      <c r="I2119" s="1">
        <v>16</v>
      </c>
      <c r="J2119" t="s">
        <v>251</v>
      </c>
      <c r="K2119" t="e">
        <f>VLOOKUP(Table1[[#This Row],[Loser]],Ranking!C:D,2,FALSE)</f>
        <v>#N/A</v>
      </c>
      <c r="L2119" s="1">
        <v>61</v>
      </c>
      <c r="N2119" s="1">
        <f>Table1[[#This Row],[Winning Score]]-Table1[[#This Row],[Losing Score]]</f>
        <v>10</v>
      </c>
      <c r="O2119" s="1">
        <f>Table1[[#This Row],[Losing Seed]]-Table1[[#This Row],[Winning Seed]]</f>
        <v>0</v>
      </c>
      <c r="P2119" s="1" t="str">
        <f>IF(Table1[[#This Row],[SeD]]&lt;-2,Table1[[#This Row],[Winning Seed]]&amp; " over " &amp;Table1[[#This Row],[Losing Seed]],"")</f>
        <v/>
      </c>
      <c r="Q2119">
        <f>VLOOKUP(Table1[[#This Row],[Losing Seed]],'Seed History'!$N$4:$O$19,2)</f>
        <v>6.9444444444444441E-3</v>
      </c>
      <c r="R2119" s="1">
        <f>IF(Table1[[#This Row],[Round]]="PI",0,Table1[[#This Row],[Round]]-1)</f>
        <v>0</v>
      </c>
      <c r="S2119">
        <f>Table1[[#This Row],[LAW]]-Table1[[#This Row],[LEW]]</f>
        <v>-6.9444444444444441E-3</v>
      </c>
    </row>
    <row r="2120" spans="1:19" x14ac:dyDescent="0.25">
      <c r="A2120" s="66">
        <v>43172</v>
      </c>
      <c r="B2120" s="51">
        <f>YEAR(Table1[[#This Row],[Date]])</f>
        <v>2018</v>
      </c>
      <c r="C2120" s="1" t="s">
        <v>476</v>
      </c>
      <c r="D2120" t="s">
        <v>49</v>
      </c>
      <c r="E2120" s="1">
        <v>11</v>
      </c>
      <c r="F2120" t="s">
        <v>365</v>
      </c>
      <c r="G2120" t="str">
        <f>VLOOKUP(Table1[[#This Row],[Winner]],Ranking!C:D,2,FALSE)</f>
        <v>A10</v>
      </c>
      <c r="H2120" s="1">
        <v>65</v>
      </c>
      <c r="I2120" s="1">
        <v>11</v>
      </c>
      <c r="J2120" t="s">
        <v>67</v>
      </c>
      <c r="K2120" t="str">
        <f>VLOOKUP(Table1[[#This Row],[Loser]],Ranking!C:D,2,FALSE)</f>
        <v>P12</v>
      </c>
      <c r="L2120" s="1">
        <v>58</v>
      </c>
      <c r="N2120" s="1">
        <f>Table1[[#This Row],[Winning Score]]-Table1[[#This Row],[Losing Score]]</f>
        <v>7</v>
      </c>
      <c r="O2120" s="1">
        <f>Table1[[#This Row],[Losing Seed]]-Table1[[#This Row],[Winning Seed]]</f>
        <v>0</v>
      </c>
      <c r="P2120" s="1" t="str">
        <f>IF(Table1[[#This Row],[SeD]]&lt;-2,Table1[[#This Row],[Winning Seed]]&amp; " over " &amp;Table1[[#This Row],[Losing Seed]],"")</f>
        <v/>
      </c>
      <c r="Q2120">
        <f>VLOOKUP(Table1[[#This Row],[Losing Seed]],'Seed History'!$N$4:$O$19,2)</f>
        <v>0.63194444444444442</v>
      </c>
      <c r="R2120" s="1">
        <f>IF(Table1[[#This Row],[Round]]="PI",0,Table1[[#This Row],[Round]]-1)</f>
        <v>0</v>
      </c>
      <c r="S2120">
        <f>Table1[[#This Row],[LAW]]-Table1[[#This Row],[LEW]]</f>
        <v>-0.63194444444444442</v>
      </c>
    </row>
    <row r="2121" spans="1:19" x14ac:dyDescent="0.25">
      <c r="A2121" s="66">
        <v>43173</v>
      </c>
      <c r="B2121" s="51">
        <f>YEAR(Table1[[#This Row],[Date]])</f>
        <v>2018</v>
      </c>
      <c r="C2121" s="1" t="s">
        <v>476</v>
      </c>
      <c r="D2121" t="s">
        <v>38</v>
      </c>
      <c r="E2121" s="1">
        <v>16</v>
      </c>
      <c r="F2121" t="s">
        <v>379</v>
      </c>
      <c r="G2121" t="str">
        <f>VLOOKUP(Table1[[#This Row],[Winner]],Ranking!C:D,2,FALSE)</f>
        <v>SWAC</v>
      </c>
      <c r="H2121" s="1">
        <v>64</v>
      </c>
      <c r="I2121" s="1">
        <v>16</v>
      </c>
      <c r="J2121" t="s">
        <v>300</v>
      </c>
      <c r="K2121" t="str">
        <f>VLOOKUP(Table1[[#This Row],[Loser]],Ranking!C:D,2,FALSE)</f>
        <v>MEAC</v>
      </c>
      <c r="L2121" s="1">
        <v>46</v>
      </c>
      <c r="N2121" s="1">
        <f>Table1[[#This Row],[Winning Score]]-Table1[[#This Row],[Losing Score]]</f>
        <v>18</v>
      </c>
      <c r="O2121" s="1">
        <f>Table1[[#This Row],[Losing Seed]]-Table1[[#This Row],[Winning Seed]]</f>
        <v>0</v>
      </c>
      <c r="P2121" s="1" t="str">
        <f>IF(Table1[[#This Row],[SeD]]&lt;-2,Table1[[#This Row],[Winning Seed]]&amp; " over " &amp;Table1[[#This Row],[Losing Seed]],"")</f>
        <v/>
      </c>
      <c r="Q2121">
        <f>VLOOKUP(Table1[[#This Row],[Losing Seed]],'Seed History'!$N$4:$O$19,2)</f>
        <v>6.9444444444444441E-3</v>
      </c>
      <c r="R2121" s="1">
        <f>IF(Table1[[#This Row],[Round]]="PI",0,Table1[[#This Row],[Round]]-1)</f>
        <v>0</v>
      </c>
      <c r="S2121">
        <f>Table1[[#This Row],[LAW]]-Table1[[#This Row],[LEW]]</f>
        <v>-6.9444444444444441E-3</v>
      </c>
    </row>
    <row r="2122" spans="1:19" x14ac:dyDescent="0.25">
      <c r="A2122" s="66">
        <v>43173</v>
      </c>
      <c r="B2122" s="51">
        <f>YEAR(Table1[[#This Row],[Date]])</f>
        <v>2018</v>
      </c>
      <c r="C2122" s="1" t="s">
        <v>476</v>
      </c>
      <c r="D2122" t="s">
        <v>439</v>
      </c>
      <c r="E2122" s="1">
        <v>11</v>
      </c>
      <c r="F2122" t="s">
        <v>86</v>
      </c>
      <c r="G2122" t="str">
        <f>VLOOKUP(Table1[[#This Row],[Winner]],Ranking!C:D,2,FALSE)</f>
        <v>ACC</v>
      </c>
      <c r="H2122" s="1">
        <v>60</v>
      </c>
      <c r="I2122" s="1">
        <v>11</v>
      </c>
      <c r="J2122" t="s">
        <v>125</v>
      </c>
      <c r="K2122" t="str">
        <f>VLOOKUP(Table1[[#This Row],[Loser]],Ranking!C:D,2,FALSE)</f>
        <v>P12</v>
      </c>
      <c r="L2122" s="1">
        <v>56</v>
      </c>
      <c r="N2122" s="1">
        <f>Table1[[#This Row],[Winning Score]]-Table1[[#This Row],[Losing Score]]</f>
        <v>4</v>
      </c>
      <c r="O2122" s="1">
        <f>Table1[[#This Row],[Losing Seed]]-Table1[[#This Row],[Winning Seed]]</f>
        <v>0</v>
      </c>
      <c r="P2122" s="1" t="str">
        <f>IF(Table1[[#This Row],[SeD]]&lt;-2,Table1[[#This Row],[Winning Seed]]&amp; " over " &amp;Table1[[#This Row],[Losing Seed]],"")</f>
        <v/>
      </c>
      <c r="Q2122">
        <f>VLOOKUP(Table1[[#This Row],[Losing Seed]],'Seed History'!$N$4:$O$19,2)</f>
        <v>0.63194444444444442</v>
      </c>
      <c r="R2122" s="1">
        <f>IF(Table1[[#This Row],[Round]]="PI",0,Table1[[#This Row],[Round]]-1)</f>
        <v>0</v>
      </c>
      <c r="S2122">
        <f>Table1[[#This Row],[LAW]]-Table1[[#This Row],[LEW]]</f>
        <v>-0.63194444444444442</v>
      </c>
    </row>
    <row r="2123" spans="1:19" x14ac:dyDescent="0.25">
      <c r="A2123" s="66">
        <v>43174</v>
      </c>
      <c r="B2123" s="51">
        <f>YEAR(Table1[[#This Row],[Date]])</f>
        <v>2018</v>
      </c>
      <c r="C2123" s="1">
        <v>1</v>
      </c>
      <c r="D2123" t="s">
        <v>63</v>
      </c>
      <c r="E2123" s="1">
        <v>3</v>
      </c>
      <c r="F2123" t="s">
        <v>374</v>
      </c>
      <c r="G2123" t="str">
        <f>VLOOKUP(Table1[[#This Row],[Winner]],Ranking!C:D,2,FALSE)</f>
        <v>SEC</v>
      </c>
      <c r="H2123" s="1">
        <v>73</v>
      </c>
      <c r="I2123" s="1">
        <v>14</v>
      </c>
      <c r="J2123" t="s">
        <v>420</v>
      </c>
      <c r="K2123" t="str">
        <f>VLOOKUP(Table1[[#This Row],[Loser]],Ranking!C:D,2,FALSE)</f>
        <v>Horz</v>
      </c>
      <c r="L2123" s="1">
        <v>47</v>
      </c>
      <c r="N2123" s="1">
        <f>Table1[[#This Row],[Winning Score]]-Table1[[#This Row],[Losing Score]]</f>
        <v>26</v>
      </c>
      <c r="O2123" s="1">
        <f>Table1[[#This Row],[Losing Seed]]-Table1[[#This Row],[Winning Seed]]</f>
        <v>11</v>
      </c>
      <c r="P2123" s="1" t="str">
        <f>IF(Table1[[#This Row],[SeD]]&lt;-2,Table1[[#This Row],[Winning Seed]]&amp; " over " &amp;Table1[[#This Row],[Losing Seed]],"")</f>
        <v/>
      </c>
      <c r="Q2123">
        <f>VLOOKUP(Table1[[#This Row],[Losing Seed]],'Seed History'!$N$4:$O$19,2)</f>
        <v>0.16666666666666666</v>
      </c>
      <c r="R2123" s="1">
        <f>IF(Table1[[#This Row],[Round]]="PI",0,Table1[[#This Row],[Round]]-1)</f>
        <v>0</v>
      </c>
      <c r="S2123">
        <f>Table1[[#This Row],[LAW]]-Table1[[#This Row],[LEW]]</f>
        <v>-0.16666666666666666</v>
      </c>
    </row>
    <row r="2124" spans="1:19" x14ac:dyDescent="0.25">
      <c r="A2124" s="66">
        <v>43174</v>
      </c>
      <c r="B2124" s="51">
        <f>YEAR(Table1[[#This Row],[Date]])</f>
        <v>2018</v>
      </c>
      <c r="C2124" s="1">
        <v>1</v>
      </c>
      <c r="D2124" t="s">
        <v>38</v>
      </c>
      <c r="E2124" s="1">
        <v>4</v>
      </c>
      <c r="F2124" t="s">
        <v>71</v>
      </c>
      <c r="G2124" t="str">
        <f>VLOOKUP(Table1[[#This Row],[Winner]],Ranking!C:D,2,FALSE)</f>
        <v>WCC</v>
      </c>
      <c r="H2124" s="1">
        <v>68</v>
      </c>
      <c r="I2124" s="1">
        <v>13</v>
      </c>
      <c r="J2124" t="s">
        <v>394</v>
      </c>
      <c r="K2124" t="str">
        <f>VLOOKUP(Table1[[#This Row],[Loser]],Ranking!C:D,2,FALSE)</f>
        <v>SC</v>
      </c>
      <c r="L2124" s="1">
        <v>64</v>
      </c>
      <c r="N2124" s="1">
        <f>Table1[[#This Row],[Winning Score]]-Table1[[#This Row],[Losing Score]]</f>
        <v>4</v>
      </c>
      <c r="O2124" s="1">
        <f>Table1[[#This Row],[Losing Seed]]-Table1[[#This Row],[Winning Seed]]</f>
        <v>9</v>
      </c>
      <c r="P2124" s="1" t="str">
        <f>IF(Table1[[#This Row],[SeD]]&lt;-2,Table1[[#This Row],[Winning Seed]]&amp; " over " &amp;Table1[[#This Row],[Losing Seed]],"")</f>
        <v/>
      </c>
      <c r="Q2124">
        <f>VLOOKUP(Table1[[#This Row],[Losing Seed]],'Seed History'!$N$4:$O$19,2)</f>
        <v>0.25694444444444442</v>
      </c>
      <c r="R2124" s="1">
        <f>IF(Table1[[#This Row],[Round]]="PI",0,Table1[[#This Row],[Round]]-1)</f>
        <v>0</v>
      </c>
      <c r="S2124">
        <f>Table1[[#This Row],[LAW]]-Table1[[#This Row],[LEW]]</f>
        <v>-0.25694444444444442</v>
      </c>
    </row>
    <row r="2125" spans="1:19" x14ac:dyDescent="0.25">
      <c r="A2125" s="66">
        <v>43174</v>
      </c>
      <c r="B2125" s="51">
        <f>YEAR(Table1[[#This Row],[Date]])</f>
        <v>2018</v>
      </c>
      <c r="C2125" s="1">
        <v>1</v>
      </c>
      <c r="D2125" t="s">
        <v>439</v>
      </c>
      <c r="E2125" s="1">
        <v>7</v>
      </c>
      <c r="F2125" t="s">
        <v>96</v>
      </c>
      <c r="G2125" t="str">
        <f>VLOOKUP(Table1[[#This Row],[Winner]],Ranking!C:D,2,FALSE)</f>
        <v>A10</v>
      </c>
      <c r="H2125" s="1">
        <v>83</v>
      </c>
      <c r="I2125" s="1">
        <v>10</v>
      </c>
      <c r="J2125" t="s">
        <v>58</v>
      </c>
      <c r="K2125" t="str">
        <f>VLOOKUP(Table1[[#This Row],[Loser]],Ranking!C:D,2,FALSE)</f>
        <v>B12</v>
      </c>
      <c r="L2125" s="1">
        <v>78</v>
      </c>
      <c r="M2125" s="1" t="s">
        <v>462</v>
      </c>
      <c r="N2125" s="1">
        <f>Table1[[#This Row],[Winning Score]]-Table1[[#This Row],[Losing Score]]</f>
        <v>5</v>
      </c>
      <c r="O2125" s="1">
        <f>Table1[[#This Row],[Losing Seed]]-Table1[[#This Row],[Winning Seed]]</f>
        <v>3</v>
      </c>
      <c r="P2125" s="1" t="str">
        <f>IF(Table1[[#This Row],[SeD]]&lt;-2,Table1[[#This Row],[Winning Seed]]&amp; " over " &amp;Table1[[#This Row],[Losing Seed]],"")</f>
        <v/>
      </c>
      <c r="Q2125">
        <f>VLOOKUP(Table1[[#This Row],[Losing Seed]],'Seed History'!$N$4:$O$19,2)</f>
        <v>0.61805555555555558</v>
      </c>
      <c r="R2125" s="1">
        <f>IF(Table1[[#This Row],[Round]]="PI",0,Table1[[#This Row],[Round]]-1)</f>
        <v>0</v>
      </c>
      <c r="S2125">
        <f>Table1[[#This Row],[LAW]]-Table1[[#This Row],[LEW]]</f>
        <v>-0.61805555555555558</v>
      </c>
    </row>
    <row r="2126" spans="1:19" x14ac:dyDescent="0.25">
      <c r="A2126" s="66">
        <v>43174</v>
      </c>
      <c r="B2126" s="51">
        <f>YEAR(Table1[[#This Row],[Date]])</f>
        <v>2018</v>
      </c>
      <c r="C2126" s="1">
        <v>1</v>
      </c>
      <c r="D2126" t="s">
        <v>439</v>
      </c>
      <c r="E2126" s="1">
        <v>1</v>
      </c>
      <c r="F2126" t="s">
        <v>37</v>
      </c>
      <c r="G2126" t="str">
        <f>VLOOKUP(Table1[[#This Row],[Winner]],Ranking!C:D,2,FALSE)</f>
        <v>B12</v>
      </c>
      <c r="H2126" s="1">
        <v>76</v>
      </c>
      <c r="I2126" s="1">
        <v>16</v>
      </c>
      <c r="J2126" t="s">
        <v>321</v>
      </c>
      <c r="K2126" t="str">
        <f>VLOOKUP(Table1[[#This Row],[Loser]],Ranking!C:D,2,FALSE)</f>
        <v>Ivy</v>
      </c>
      <c r="L2126" s="1">
        <v>60</v>
      </c>
      <c r="N2126" s="1">
        <f>Table1[[#This Row],[Winning Score]]-Table1[[#This Row],[Losing Score]]</f>
        <v>16</v>
      </c>
      <c r="O2126" s="1">
        <f>Table1[[#This Row],[Losing Seed]]-Table1[[#This Row],[Winning Seed]]</f>
        <v>15</v>
      </c>
      <c r="P2126" s="1" t="str">
        <f>IF(Table1[[#This Row],[SeD]]&lt;-2,Table1[[#This Row],[Winning Seed]]&amp; " over " &amp;Table1[[#This Row],[Losing Seed]],"")</f>
        <v/>
      </c>
      <c r="Q2126">
        <f>VLOOKUP(Table1[[#This Row],[Losing Seed]],'Seed History'!$N$4:$O$19,2)</f>
        <v>6.9444444444444441E-3</v>
      </c>
      <c r="R2126" s="1">
        <f>IF(Table1[[#This Row],[Round]]="PI",0,Table1[[#This Row],[Round]]-1)</f>
        <v>0</v>
      </c>
      <c r="S2126">
        <f>Table1[[#This Row],[LAW]]-Table1[[#This Row],[LEW]]</f>
        <v>-6.9444444444444441E-3</v>
      </c>
    </row>
    <row r="2127" spans="1:19" x14ac:dyDescent="0.25">
      <c r="A2127" s="66">
        <v>43174</v>
      </c>
      <c r="B2127" s="51">
        <f>YEAR(Table1[[#This Row],[Date]])</f>
        <v>2018</v>
      </c>
      <c r="C2127" s="1">
        <v>1</v>
      </c>
      <c r="D2127" t="s">
        <v>439</v>
      </c>
      <c r="E2127" s="1">
        <v>2</v>
      </c>
      <c r="F2127" t="s">
        <v>64</v>
      </c>
      <c r="G2127" t="str">
        <f>VLOOKUP(Table1[[#This Row],[Winner]],Ranking!C:D,2,FALSE)</f>
        <v>ACC</v>
      </c>
      <c r="H2127" s="1">
        <v>89</v>
      </c>
      <c r="I2127" s="1">
        <v>15</v>
      </c>
      <c r="J2127" t="s">
        <v>236</v>
      </c>
      <c r="K2127" t="str">
        <f>VLOOKUP(Table1[[#This Row],[Loser]],Ranking!C:D,2,FALSE)</f>
        <v>MAAC</v>
      </c>
      <c r="L2127" s="1">
        <v>67</v>
      </c>
      <c r="N2127" s="1">
        <f>Table1[[#This Row],[Winning Score]]-Table1[[#This Row],[Losing Score]]</f>
        <v>22</v>
      </c>
      <c r="O2127" s="1">
        <f>Table1[[#This Row],[Losing Seed]]-Table1[[#This Row],[Winning Seed]]</f>
        <v>13</v>
      </c>
      <c r="P2127" s="1" t="str">
        <f>IF(Table1[[#This Row],[SeD]]&lt;-2,Table1[[#This Row],[Winning Seed]]&amp; " over " &amp;Table1[[#This Row],[Losing Seed]],"")</f>
        <v/>
      </c>
      <c r="Q2127">
        <f>VLOOKUP(Table1[[#This Row],[Losing Seed]],'Seed History'!$N$4:$O$19,2)</f>
        <v>7.6388888888888895E-2</v>
      </c>
      <c r="R2127" s="1">
        <f>IF(Table1[[#This Row],[Round]]="PI",0,Table1[[#This Row],[Round]]-1)</f>
        <v>0</v>
      </c>
      <c r="S2127">
        <f>Table1[[#This Row],[LAW]]-Table1[[#This Row],[LEW]]</f>
        <v>-7.6388888888888895E-2</v>
      </c>
    </row>
    <row r="2128" spans="1:19" x14ac:dyDescent="0.25">
      <c r="A2128" s="66">
        <v>43174</v>
      </c>
      <c r="B2128" s="51">
        <f>YEAR(Table1[[#This Row],[Date]])</f>
        <v>2018</v>
      </c>
      <c r="C2128" s="1">
        <v>1</v>
      </c>
      <c r="D2128" t="s">
        <v>38</v>
      </c>
      <c r="E2128" s="1">
        <v>5</v>
      </c>
      <c r="F2128" t="s">
        <v>315</v>
      </c>
      <c r="G2128" t="str">
        <f>VLOOKUP(Table1[[#This Row],[Winner]],Ranking!C:D,2,FALSE)</f>
        <v>B10</v>
      </c>
      <c r="H2128" s="1">
        <v>81</v>
      </c>
      <c r="I2128" s="1">
        <v>12</v>
      </c>
      <c r="J2128" t="s">
        <v>357</v>
      </c>
      <c r="K2128" t="str">
        <f>VLOOKUP(Table1[[#This Row],[Loser]],Ranking!C:D,2,FALSE)</f>
        <v>Sum</v>
      </c>
      <c r="L2128" s="1">
        <v>73</v>
      </c>
      <c r="N2128" s="1">
        <f>Table1[[#This Row],[Winning Score]]-Table1[[#This Row],[Losing Score]]</f>
        <v>8</v>
      </c>
      <c r="O2128" s="1">
        <f>Table1[[#This Row],[Losing Seed]]-Table1[[#This Row],[Winning Seed]]</f>
        <v>7</v>
      </c>
      <c r="P2128" s="1" t="str">
        <f>IF(Table1[[#This Row],[SeD]]&lt;-2,Table1[[#This Row],[Winning Seed]]&amp; " over " &amp;Table1[[#This Row],[Losing Seed]],"")</f>
        <v/>
      </c>
      <c r="Q2128">
        <f>VLOOKUP(Table1[[#This Row],[Losing Seed]],'Seed History'!$N$4:$O$19,2)</f>
        <v>0.52083333333333337</v>
      </c>
      <c r="R2128" s="1">
        <f>IF(Table1[[#This Row],[Round]]="PI",0,Table1[[#This Row],[Round]]-1)</f>
        <v>0</v>
      </c>
      <c r="S2128">
        <f>Table1[[#This Row],[LAW]]-Table1[[#This Row],[LEW]]</f>
        <v>-0.52083333333333337</v>
      </c>
    </row>
    <row r="2129" spans="1:19" x14ac:dyDescent="0.25">
      <c r="A2129" s="66">
        <v>43174</v>
      </c>
      <c r="B2129" s="51">
        <f>YEAR(Table1[[#This Row],[Date]])</f>
        <v>2018</v>
      </c>
      <c r="C2129" s="1">
        <v>1</v>
      </c>
      <c r="D2129" t="s">
        <v>63</v>
      </c>
      <c r="E2129" s="1">
        <v>11</v>
      </c>
      <c r="F2129" t="s">
        <v>257</v>
      </c>
      <c r="G2129" t="str">
        <f>VLOOKUP(Table1[[#This Row],[Winner]],Ranking!C:D,2,FALSE)</f>
        <v>MVC</v>
      </c>
      <c r="H2129" s="1">
        <v>64</v>
      </c>
      <c r="I2129" s="1">
        <v>6</v>
      </c>
      <c r="J2129" t="s">
        <v>269</v>
      </c>
      <c r="K2129" t="str">
        <f>VLOOKUP(Table1[[#This Row],[Loser]],Ranking!C:D,2,FALSE)</f>
        <v>ACC</v>
      </c>
      <c r="L2129" s="1">
        <v>62</v>
      </c>
      <c r="N2129" s="1">
        <f>Table1[[#This Row],[Winning Score]]-Table1[[#This Row],[Losing Score]]</f>
        <v>2</v>
      </c>
      <c r="O2129" s="1">
        <f>Table1[[#This Row],[Losing Seed]]-Table1[[#This Row],[Winning Seed]]</f>
        <v>-5</v>
      </c>
      <c r="P2129" s="1" t="str">
        <f>IF(Table1[[#This Row],[SeD]]&lt;-2,Table1[[#This Row],[Winning Seed]]&amp; " over " &amp;Table1[[#This Row],[Losing Seed]],"")</f>
        <v>11 over 6</v>
      </c>
      <c r="Q2129">
        <f>VLOOKUP(Table1[[#This Row],[Losing Seed]],'Seed History'!$N$4:$O$19,2)</f>
        <v>1.0625</v>
      </c>
      <c r="R2129" s="1">
        <f>IF(Table1[[#This Row],[Round]]="PI",0,Table1[[#This Row],[Round]]-1)</f>
        <v>0</v>
      </c>
      <c r="S2129">
        <f>Table1[[#This Row],[LAW]]-Table1[[#This Row],[LEW]]</f>
        <v>-1.0625</v>
      </c>
    </row>
    <row r="2130" spans="1:19" x14ac:dyDescent="0.25">
      <c r="A2130" s="66">
        <v>43174</v>
      </c>
      <c r="B2130" s="51">
        <f>YEAR(Table1[[#This Row],[Date]])</f>
        <v>2018</v>
      </c>
      <c r="C2130" s="1">
        <v>1</v>
      </c>
      <c r="D2130" t="s">
        <v>439</v>
      </c>
      <c r="E2130" s="1">
        <v>8</v>
      </c>
      <c r="F2130" t="s">
        <v>87</v>
      </c>
      <c r="G2130" t="str">
        <f>VLOOKUP(Table1[[#This Row],[Winner]],Ranking!C:D,2,FALSE)</f>
        <v>BE</v>
      </c>
      <c r="H2130" s="1">
        <v>94</v>
      </c>
      <c r="I2130" s="1">
        <v>9</v>
      </c>
      <c r="J2130" t="s">
        <v>301</v>
      </c>
      <c r="K2130" t="e">
        <f>VLOOKUP(Table1[[#This Row],[Loser]],Ranking!C:D,2,FALSE)</f>
        <v>#N/A</v>
      </c>
      <c r="L2130" s="1">
        <v>83</v>
      </c>
      <c r="N2130" s="1">
        <f>Table1[[#This Row],[Winning Score]]-Table1[[#This Row],[Losing Score]]</f>
        <v>11</v>
      </c>
      <c r="O2130" s="1">
        <f>Table1[[#This Row],[Losing Seed]]-Table1[[#This Row],[Winning Seed]]</f>
        <v>1</v>
      </c>
      <c r="P2130" s="1" t="str">
        <f>IF(Table1[[#This Row],[SeD]]&lt;-2,Table1[[#This Row],[Winning Seed]]&amp; " over " &amp;Table1[[#This Row],[Losing Seed]],"")</f>
        <v/>
      </c>
      <c r="Q2130">
        <f>VLOOKUP(Table1[[#This Row],[Losing Seed]],'Seed History'!$N$4:$O$19,2)</f>
        <v>0.59027777777777779</v>
      </c>
      <c r="R2130" s="1">
        <f>IF(Table1[[#This Row],[Round]]="PI",0,Table1[[#This Row],[Round]]-1)</f>
        <v>0</v>
      </c>
      <c r="S2130">
        <f>Table1[[#This Row],[LAW]]-Table1[[#This Row],[LEW]]</f>
        <v>-0.59027777777777779</v>
      </c>
    </row>
    <row r="2131" spans="1:19" x14ac:dyDescent="0.25">
      <c r="A2131" s="66">
        <v>43174</v>
      </c>
      <c r="B2131" s="51">
        <f>YEAR(Table1[[#This Row],[Date]])</f>
        <v>2018</v>
      </c>
      <c r="C2131" s="1">
        <v>1</v>
      </c>
      <c r="D2131" t="s">
        <v>49</v>
      </c>
      <c r="E2131" s="1">
        <v>1</v>
      </c>
      <c r="F2131" t="s">
        <v>50</v>
      </c>
      <c r="G2131" t="str">
        <f>VLOOKUP(Table1[[#This Row],[Winner]],Ranking!C:D,2,FALSE)</f>
        <v>BE</v>
      </c>
      <c r="H2131" s="1">
        <v>87</v>
      </c>
      <c r="I2131" s="1">
        <v>16</v>
      </c>
      <c r="J2131" t="s">
        <v>329</v>
      </c>
      <c r="K2131" t="str">
        <f>VLOOKUP(Table1[[#This Row],[Loser]],Ranking!C:D,2,FALSE)</f>
        <v>BSth</v>
      </c>
      <c r="L2131" s="1">
        <v>61</v>
      </c>
      <c r="N2131" s="1">
        <f>Table1[[#This Row],[Winning Score]]-Table1[[#This Row],[Losing Score]]</f>
        <v>26</v>
      </c>
      <c r="O2131" s="1">
        <f>Table1[[#This Row],[Losing Seed]]-Table1[[#This Row],[Winning Seed]]</f>
        <v>15</v>
      </c>
      <c r="P2131" s="1" t="str">
        <f>IF(Table1[[#This Row],[SeD]]&lt;-2,Table1[[#This Row],[Winning Seed]]&amp; " over " &amp;Table1[[#This Row],[Losing Seed]],"")</f>
        <v/>
      </c>
      <c r="Q2131">
        <f>VLOOKUP(Table1[[#This Row],[Losing Seed]],'Seed History'!$N$4:$O$19,2)</f>
        <v>6.9444444444444441E-3</v>
      </c>
      <c r="R2131" s="1">
        <f>IF(Table1[[#This Row],[Round]]="PI",0,Table1[[#This Row],[Round]]-1)</f>
        <v>0</v>
      </c>
      <c r="S2131">
        <f>Table1[[#This Row],[LAW]]-Table1[[#This Row],[LEW]]</f>
        <v>-6.9444444444444441E-3</v>
      </c>
    </row>
    <row r="2132" spans="1:19" x14ac:dyDescent="0.25">
      <c r="A2132" s="66">
        <v>43174</v>
      </c>
      <c r="B2132" s="51">
        <f>YEAR(Table1[[#This Row],[Date]])</f>
        <v>2018</v>
      </c>
      <c r="C2132" s="1">
        <v>1</v>
      </c>
      <c r="D2132" t="s">
        <v>63</v>
      </c>
      <c r="E2132" s="1">
        <v>5</v>
      </c>
      <c r="F2132" t="s">
        <v>26</v>
      </c>
      <c r="G2132" t="str">
        <f>VLOOKUP(Table1[[#This Row],[Winner]],Ranking!C:D,2,FALSE)</f>
        <v>SEC</v>
      </c>
      <c r="H2132" s="1">
        <v>78</v>
      </c>
      <c r="I2132" s="1">
        <v>12</v>
      </c>
      <c r="J2132" t="s">
        <v>70</v>
      </c>
      <c r="K2132" t="str">
        <f>VLOOKUP(Table1[[#This Row],[Loser]],Ranking!C:D,2,FALSE)</f>
        <v>A10</v>
      </c>
      <c r="L2132" s="1">
        <v>73</v>
      </c>
      <c r="N2132" s="1">
        <f>Table1[[#This Row],[Winning Score]]-Table1[[#This Row],[Losing Score]]</f>
        <v>5</v>
      </c>
      <c r="O2132" s="1">
        <f>Table1[[#This Row],[Losing Seed]]-Table1[[#This Row],[Winning Seed]]</f>
        <v>7</v>
      </c>
      <c r="P2132" s="1" t="str">
        <f>IF(Table1[[#This Row],[SeD]]&lt;-2,Table1[[#This Row],[Winning Seed]]&amp; " over " &amp;Table1[[#This Row],[Losing Seed]],"")</f>
        <v/>
      </c>
      <c r="Q2132">
        <f>VLOOKUP(Table1[[#This Row],[Losing Seed]],'Seed History'!$N$4:$O$19,2)</f>
        <v>0.52083333333333337</v>
      </c>
      <c r="R2132" s="1">
        <f>IF(Table1[[#This Row],[Round]]="PI",0,Table1[[#This Row],[Round]]-1)</f>
        <v>0</v>
      </c>
      <c r="S2132">
        <f>Table1[[#This Row],[LAW]]-Table1[[#This Row],[LEW]]</f>
        <v>-0.52083333333333337</v>
      </c>
    </row>
    <row r="2133" spans="1:19" x14ac:dyDescent="0.25">
      <c r="A2133" s="66">
        <v>43174</v>
      </c>
      <c r="B2133" s="51">
        <f>YEAR(Table1[[#This Row],[Date]])</f>
        <v>2018</v>
      </c>
      <c r="C2133" s="1">
        <v>1</v>
      </c>
      <c r="D2133" t="s">
        <v>49</v>
      </c>
      <c r="E2133" s="1">
        <v>3</v>
      </c>
      <c r="F2133" t="s">
        <v>92</v>
      </c>
      <c r="G2133" t="str">
        <f>VLOOKUP(Table1[[#This Row],[Winner]],Ranking!C:D,2,FALSE)</f>
        <v>B12</v>
      </c>
      <c r="H2133" s="1">
        <v>70</v>
      </c>
      <c r="I2133" s="1">
        <v>14</v>
      </c>
      <c r="J2133" t="s">
        <v>370</v>
      </c>
      <c r="K2133" t="str">
        <f>VLOOKUP(Table1[[#This Row],[Loser]],Ranking!C:D,2,FALSE)</f>
        <v>Slnd</v>
      </c>
      <c r="L2133" s="1">
        <v>60</v>
      </c>
      <c r="N2133" s="1">
        <f>Table1[[#This Row],[Winning Score]]-Table1[[#This Row],[Losing Score]]</f>
        <v>10</v>
      </c>
      <c r="O2133" s="1">
        <f>Table1[[#This Row],[Losing Seed]]-Table1[[#This Row],[Winning Seed]]</f>
        <v>11</v>
      </c>
      <c r="P2133" s="1" t="str">
        <f>IF(Table1[[#This Row],[SeD]]&lt;-2,Table1[[#This Row],[Winning Seed]]&amp; " over " &amp;Table1[[#This Row],[Losing Seed]],"")</f>
        <v/>
      </c>
      <c r="Q2133">
        <f>VLOOKUP(Table1[[#This Row],[Losing Seed]],'Seed History'!$N$4:$O$19,2)</f>
        <v>0.16666666666666666</v>
      </c>
      <c r="R2133" s="1">
        <f>IF(Table1[[#This Row],[Round]]="PI",0,Table1[[#This Row],[Round]]-1)</f>
        <v>0</v>
      </c>
      <c r="S2133">
        <f>Table1[[#This Row],[LAW]]-Table1[[#This Row],[LEW]]</f>
        <v>-0.16666666666666666</v>
      </c>
    </row>
    <row r="2134" spans="1:19" x14ac:dyDescent="0.25">
      <c r="A2134" s="66">
        <v>43174</v>
      </c>
      <c r="B2134" s="51">
        <f>YEAR(Table1[[#This Row],[Date]])</f>
        <v>2018</v>
      </c>
      <c r="C2134" s="1">
        <v>1</v>
      </c>
      <c r="D2134" t="s">
        <v>38</v>
      </c>
      <c r="E2134" s="1">
        <v>6</v>
      </c>
      <c r="F2134" t="s">
        <v>225</v>
      </c>
      <c r="G2134" t="str">
        <f>VLOOKUP(Table1[[#This Row],[Winner]],Ranking!C:D,2,FALSE)</f>
        <v>Amer</v>
      </c>
      <c r="H2134" s="1">
        <v>67</v>
      </c>
      <c r="I2134" s="1">
        <v>11</v>
      </c>
      <c r="J2134" t="s">
        <v>344</v>
      </c>
      <c r="K2134" t="str">
        <f>VLOOKUP(Table1[[#This Row],[Loser]],Ranking!C:D,2,FALSE)</f>
        <v>MWC</v>
      </c>
      <c r="L2134" s="1">
        <v>65</v>
      </c>
      <c r="N2134" s="1">
        <f>Table1[[#This Row],[Winning Score]]-Table1[[#This Row],[Losing Score]]</f>
        <v>2</v>
      </c>
      <c r="O2134" s="1">
        <f>Table1[[#This Row],[Losing Seed]]-Table1[[#This Row],[Winning Seed]]</f>
        <v>5</v>
      </c>
      <c r="P2134" s="1" t="str">
        <f>IF(Table1[[#This Row],[SeD]]&lt;-2,Table1[[#This Row],[Winning Seed]]&amp; " over " &amp;Table1[[#This Row],[Losing Seed]],"")</f>
        <v/>
      </c>
      <c r="Q2134">
        <f>VLOOKUP(Table1[[#This Row],[Losing Seed]],'Seed History'!$N$4:$O$19,2)</f>
        <v>0.63194444444444442</v>
      </c>
      <c r="R2134" s="1">
        <f>IF(Table1[[#This Row],[Round]]="PI",0,Table1[[#This Row],[Round]]-1)</f>
        <v>0</v>
      </c>
      <c r="S2134">
        <f>Table1[[#This Row],[LAW]]-Table1[[#This Row],[LEW]]</f>
        <v>-0.63194444444444442</v>
      </c>
    </row>
    <row r="2135" spans="1:19" x14ac:dyDescent="0.25">
      <c r="A2135" s="66">
        <v>43174</v>
      </c>
      <c r="B2135" s="51">
        <f>YEAR(Table1[[#This Row],[Date]])</f>
        <v>2018</v>
      </c>
      <c r="C2135" s="1">
        <v>1</v>
      </c>
      <c r="D2135" t="s">
        <v>49</v>
      </c>
      <c r="E2135" s="1">
        <v>9</v>
      </c>
      <c r="F2135" t="s">
        <v>113</v>
      </c>
      <c r="G2135" t="str">
        <f>VLOOKUP(Table1[[#This Row],[Winner]],Ranking!C:D,2,FALSE)</f>
        <v>SEC</v>
      </c>
      <c r="H2135" s="1">
        <v>86</v>
      </c>
      <c r="I2135" s="1">
        <v>8</v>
      </c>
      <c r="J2135" t="s">
        <v>405</v>
      </c>
      <c r="K2135" t="str">
        <f>VLOOKUP(Table1[[#This Row],[Loser]],Ranking!C:D,2,FALSE)</f>
        <v>ACC</v>
      </c>
      <c r="L2135" s="1">
        <v>83</v>
      </c>
      <c r="N2135" s="1">
        <f>Table1[[#This Row],[Winning Score]]-Table1[[#This Row],[Losing Score]]</f>
        <v>3</v>
      </c>
      <c r="O2135" s="1">
        <f>Table1[[#This Row],[Losing Seed]]-Table1[[#This Row],[Winning Seed]]</f>
        <v>-1</v>
      </c>
      <c r="P2135" s="1" t="str">
        <f>IF(Table1[[#This Row],[SeD]]&lt;-2,Table1[[#This Row],[Winning Seed]]&amp; " over " &amp;Table1[[#This Row],[Losing Seed]],"")</f>
        <v/>
      </c>
      <c r="Q2135">
        <f>VLOOKUP(Table1[[#This Row],[Losing Seed]],'Seed History'!$N$4:$O$19,2)</f>
        <v>0.70833333333333337</v>
      </c>
      <c r="R2135" s="1">
        <f>IF(Table1[[#This Row],[Round]]="PI",0,Table1[[#This Row],[Round]]-1)</f>
        <v>0</v>
      </c>
      <c r="S2135">
        <f>Table1[[#This Row],[LAW]]-Table1[[#This Row],[LEW]]</f>
        <v>-0.70833333333333337</v>
      </c>
    </row>
    <row r="2136" spans="1:19" x14ac:dyDescent="0.25">
      <c r="A2136" s="66">
        <v>43174</v>
      </c>
      <c r="B2136" s="51">
        <f>YEAR(Table1[[#This Row],[Date]])</f>
        <v>2018</v>
      </c>
      <c r="C2136" s="1">
        <v>1</v>
      </c>
      <c r="D2136" t="s">
        <v>63</v>
      </c>
      <c r="E2136" s="1">
        <v>13</v>
      </c>
      <c r="F2136" t="s">
        <v>30</v>
      </c>
      <c r="G2136" t="str">
        <f>VLOOKUP(Table1[[#This Row],[Winner]],Ranking!C:D,2,FALSE)</f>
        <v>MAC</v>
      </c>
      <c r="H2136" s="1">
        <v>89</v>
      </c>
      <c r="I2136" s="1">
        <v>4</v>
      </c>
      <c r="J2136" t="s">
        <v>48</v>
      </c>
      <c r="K2136" t="str">
        <f>VLOOKUP(Table1[[#This Row],[Loser]],Ranking!C:D,2,FALSE)</f>
        <v>P12</v>
      </c>
      <c r="L2136" s="1">
        <v>68</v>
      </c>
      <c r="N2136" s="1">
        <f>Table1[[#This Row],[Winning Score]]-Table1[[#This Row],[Losing Score]]</f>
        <v>21</v>
      </c>
      <c r="O2136" s="1">
        <f>Table1[[#This Row],[Losing Seed]]-Table1[[#This Row],[Winning Seed]]</f>
        <v>-9</v>
      </c>
      <c r="P2136" s="1" t="str">
        <f>IF(Table1[[#This Row],[SeD]]&lt;-2,Table1[[#This Row],[Winning Seed]]&amp; " over " &amp;Table1[[#This Row],[Losing Seed]],"")</f>
        <v>13 over 4</v>
      </c>
      <c r="Q2136">
        <f>VLOOKUP(Table1[[#This Row],[Losing Seed]],'Seed History'!$N$4:$O$19,2)</f>
        <v>1.5208333333333333</v>
      </c>
      <c r="R2136" s="1">
        <f>IF(Table1[[#This Row],[Round]]="PI",0,Table1[[#This Row],[Round]]-1)</f>
        <v>0</v>
      </c>
      <c r="S2136">
        <f>Table1[[#This Row],[LAW]]-Table1[[#This Row],[LEW]]</f>
        <v>-1.5208333333333333</v>
      </c>
    </row>
    <row r="2137" spans="1:19" x14ac:dyDescent="0.25">
      <c r="A2137" s="66">
        <v>43174</v>
      </c>
      <c r="B2137" s="51">
        <f>YEAR(Table1[[#This Row],[Date]])</f>
        <v>2018</v>
      </c>
      <c r="C2137" s="1">
        <v>1</v>
      </c>
      <c r="D2137" t="s">
        <v>49</v>
      </c>
      <c r="E2137" s="1">
        <v>6</v>
      </c>
      <c r="F2137" t="s">
        <v>81</v>
      </c>
      <c r="G2137" t="str">
        <f>VLOOKUP(Table1[[#This Row],[Winner]],Ranking!C:D,2,FALSE)</f>
        <v>SEC</v>
      </c>
      <c r="H2137" s="1">
        <v>77</v>
      </c>
      <c r="I2137" s="1">
        <v>11</v>
      </c>
      <c r="J2137" t="s">
        <v>365</v>
      </c>
      <c r="K2137" t="str">
        <f>VLOOKUP(Table1[[#This Row],[Loser]],Ranking!C:D,2,FALSE)</f>
        <v>A10</v>
      </c>
      <c r="L2137" s="1">
        <v>62</v>
      </c>
      <c r="N2137" s="1">
        <f>Table1[[#This Row],[Winning Score]]-Table1[[#This Row],[Losing Score]]</f>
        <v>15</v>
      </c>
      <c r="O2137" s="1">
        <f>Table1[[#This Row],[Losing Seed]]-Table1[[#This Row],[Winning Seed]]</f>
        <v>5</v>
      </c>
      <c r="P2137" s="1" t="str">
        <f>IF(Table1[[#This Row],[SeD]]&lt;-2,Table1[[#This Row],[Winning Seed]]&amp; " over " &amp;Table1[[#This Row],[Losing Seed]],"")</f>
        <v/>
      </c>
      <c r="Q2137">
        <f>VLOOKUP(Table1[[#This Row],[Losing Seed]],'Seed History'!$N$4:$O$19,2)</f>
        <v>0.63194444444444442</v>
      </c>
      <c r="R2137" s="1">
        <f>IF(Table1[[#This Row],[Round]]="PI",0,Table1[[#This Row],[Round]]-1)</f>
        <v>0</v>
      </c>
      <c r="S2137">
        <f>Table1[[#This Row],[LAW]]-Table1[[#This Row],[LEW]]</f>
        <v>-0.63194444444444442</v>
      </c>
    </row>
    <row r="2138" spans="1:19" x14ac:dyDescent="0.25">
      <c r="A2138" s="66">
        <v>43174</v>
      </c>
      <c r="B2138" s="51">
        <f>YEAR(Table1[[#This Row],[Date]])</f>
        <v>2018</v>
      </c>
      <c r="C2138" s="1">
        <v>1</v>
      </c>
      <c r="D2138" t="s">
        <v>38</v>
      </c>
      <c r="E2138" s="1">
        <v>3</v>
      </c>
      <c r="F2138" t="s">
        <v>82</v>
      </c>
      <c r="G2138" t="str">
        <f>VLOOKUP(Table1[[#This Row],[Winner]],Ranking!C:D,2,FALSE)</f>
        <v>B10</v>
      </c>
      <c r="H2138" s="1">
        <v>61</v>
      </c>
      <c r="I2138" s="1">
        <v>14</v>
      </c>
      <c r="J2138" t="s">
        <v>280</v>
      </c>
      <c r="K2138" t="str">
        <f>VLOOKUP(Table1[[#This Row],[Loser]],Ranking!C:D,2,FALSE)</f>
        <v>BSky</v>
      </c>
      <c r="L2138" s="1">
        <v>47</v>
      </c>
      <c r="N2138" s="1">
        <f>Table1[[#This Row],[Winning Score]]-Table1[[#This Row],[Losing Score]]</f>
        <v>14</v>
      </c>
      <c r="O2138" s="1">
        <f>Table1[[#This Row],[Losing Seed]]-Table1[[#This Row],[Winning Seed]]</f>
        <v>11</v>
      </c>
      <c r="P2138" s="1" t="str">
        <f>IF(Table1[[#This Row],[SeD]]&lt;-2,Table1[[#This Row],[Winning Seed]]&amp; " over " &amp;Table1[[#This Row],[Losing Seed]],"")</f>
        <v/>
      </c>
      <c r="Q2138">
        <f>VLOOKUP(Table1[[#This Row],[Losing Seed]],'Seed History'!$N$4:$O$19,2)</f>
        <v>0.16666666666666666</v>
      </c>
      <c r="R2138" s="1">
        <f>IF(Table1[[#This Row],[Round]]="PI",0,Table1[[#This Row],[Round]]-1)</f>
        <v>0</v>
      </c>
      <c r="S2138">
        <f>Table1[[#This Row],[LAW]]-Table1[[#This Row],[LEW]]</f>
        <v>-0.16666666666666666</v>
      </c>
    </row>
    <row r="2139" spans="1:19" x14ac:dyDescent="0.25">
      <c r="A2139" s="66">
        <v>43175</v>
      </c>
      <c r="B2139" s="51">
        <f>YEAR(Table1[[#This Row],[Date]])</f>
        <v>2018</v>
      </c>
      <c r="C2139" s="1">
        <v>1</v>
      </c>
      <c r="D2139" t="s">
        <v>63</v>
      </c>
      <c r="E2139" s="1">
        <v>2</v>
      </c>
      <c r="F2139" t="s">
        <v>28</v>
      </c>
      <c r="G2139" t="str">
        <f>VLOOKUP(Table1[[#This Row],[Winner]],Ranking!C:D,2,FALSE)</f>
        <v>Amer</v>
      </c>
      <c r="H2139" s="1">
        <v>68</v>
      </c>
      <c r="I2139" s="1">
        <v>15</v>
      </c>
      <c r="J2139" t="s">
        <v>215</v>
      </c>
      <c r="K2139" t="str">
        <f>VLOOKUP(Table1[[#This Row],[Loser]],Ranking!C:D,2,FALSE)</f>
        <v>SB</v>
      </c>
      <c r="L2139" s="1">
        <v>53</v>
      </c>
      <c r="N2139" s="1">
        <f>Table1[[#This Row],[Winning Score]]-Table1[[#This Row],[Losing Score]]</f>
        <v>15</v>
      </c>
      <c r="O2139" s="1">
        <f>Table1[[#This Row],[Losing Seed]]-Table1[[#This Row],[Winning Seed]]</f>
        <v>13</v>
      </c>
      <c r="P2139" s="1" t="str">
        <f>IF(Table1[[#This Row],[SeD]]&lt;-2,Table1[[#This Row],[Winning Seed]]&amp; " over " &amp;Table1[[#This Row],[Losing Seed]],"")</f>
        <v/>
      </c>
      <c r="Q2139">
        <f>VLOOKUP(Table1[[#This Row],[Losing Seed]],'Seed History'!$N$4:$O$19,2)</f>
        <v>7.6388888888888895E-2</v>
      </c>
      <c r="R2139" s="1">
        <f>IF(Table1[[#This Row],[Round]]="PI",0,Table1[[#This Row],[Round]]-1)</f>
        <v>0</v>
      </c>
      <c r="S2139">
        <f>Table1[[#This Row],[LAW]]-Table1[[#This Row],[LEW]]</f>
        <v>-7.6388888888888895E-2</v>
      </c>
    </row>
    <row r="2140" spans="1:19" x14ac:dyDescent="0.25">
      <c r="A2140" s="66">
        <v>43175</v>
      </c>
      <c r="B2140" s="51">
        <f>YEAR(Table1[[#This Row],[Date]])</f>
        <v>2018</v>
      </c>
      <c r="C2140" s="1">
        <v>1</v>
      </c>
      <c r="D2140" t="s">
        <v>49</v>
      </c>
      <c r="E2140" s="1">
        <v>2</v>
      </c>
      <c r="F2140" t="s">
        <v>29</v>
      </c>
      <c r="G2140" t="str">
        <f>VLOOKUP(Table1[[#This Row],[Winner]],Ranking!C:D,2,FALSE)</f>
        <v>B10</v>
      </c>
      <c r="H2140" s="1">
        <v>74</v>
      </c>
      <c r="I2140" s="1">
        <v>15</v>
      </c>
      <c r="J2140" t="s">
        <v>155</v>
      </c>
      <c r="K2140" t="str">
        <f>VLOOKUP(Table1[[#This Row],[Loser]],Ranking!C:D,2,FALSE)</f>
        <v>BW</v>
      </c>
      <c r="L2140" s="1">
        <v>48</v>
      </c>
      <c r="N2140" s="1">
        <f>Table1[[#This Row],[Winning Score]]-Table1[[#This Row],[Losing Score]]</f>
        <v>26</v>
      </c>
      <c r="O2140" s="1">
        <f>Table1[[#This Row],[Losing Seed]]-Table1[[#This Row],[Winning Seed]]</f>
        <v>13</v>
      </c>
      <c r="P2140" s="1" t="str">
        <f>IF(Table1[[#This Row],[SeD]]&lt;-2,Table1[[#This Row],[Winning Seed]]&amp; " over " &amp;Table1[[#This Row],[Losing Seed]],"")</f>
        <v/>
      </c>
      <c r="Q2140">
        <f>VLOOKUP(Table1[[#This Row],[Losing Seed]],'Seed History'!$N$4:$O$19,2)</f>
        <v>7.6388888888888895E-2</v>
      </c>
      <c r="R2140" s="1">
        <f>IF(Table1[[#This Row],[Round]]="PI",0,Table1[[#This Row],[Round]]-1)</f>
        <v>0</v>
      </c>
      <c r="S2140">
        <f>Table1[[#This Row],[LAW]]-Table1[[#This Row],[LEW]]</f>
        <v>-7.6388888888888895E-2</v>
      </c>
    </row>
    <row r="2141" spans="1:19" x14ac:dyDescent="0.25">
      <c r="A2141" s="66">
        <v>43175</v>
      </c>
      <c r="B2141" s="51">
        <f>YEAR(Table1[[#This Row],[Date]])</f>
        <v>2018</v>
      </c>
      <c r="C2141" s="1">
        <v>1</v>
      </c>
      <c r="D2141" t="s">
        <v>49</v>
      </c>
      <c r="E2141" s="1">
        <v>13</v>
      </c>
      <c r="F2141" t="s">
        <v>263</v>
      </c>
      <c r="G2141" t="str">
        <f>VLOOKUP(Table1[[#This Row],[Winner]],Ranking!C:D,2,FALSE)</f>
        <v>CUSA</v>
      </c>
      <c r="H2141" s="1">
        <v>81</v>
      </c>
      <c r="I2141" s="1">
        <v>4</v>
      </c>
      <c r="J2141" t="s">
        <v>417</v>
      </c>
      <c r="K2141" t="str">
        <f>VLOOKUP(Table1[[#This Row],[Loser]],Ranking!C:D,2,FALSE)</f>
        <v>Amer</v>
      </c>
      <c r="L2141" s="1">
        <v>75</v>
      </c>
      <c r="N2141" s="1">
        <f>Table1[[#This Row],[Winning Score]]-Table1[[#This Row],[Losing Score]]</f>
        <v>6</v>
      </c>
      <c r="O2141" s="1">
        <f>Table1[[#This Row],[Losing Seed]]-Table1[[#This Row],[Winning Seed]]</f>
        <v>-9</v>
      </c>
      <c r="P2141" s="1" t="str">
        <f>IF(Table1[[#This Row],[SeD]]&lt;-2,Table1[[#This Row],[Winning Seed]]&amp; " over " &amp;Table1[[#This Row],[Losing Seed]],"")</f>
        <v>13 over 4</v>
      </c>
      <c r="Q2141">
        <f>VLOOKUP(Table1[[#This Row],[Losing Seed]],'Seed History'!$N$4:$O$19,2)</f>
        <v>1.5208333333333333</v>
      </c>
      <c r="R2141" s="1">
        <f>IF(Table1[[#This Row],[Round]]="PI",0,Table1[[#This Row],[Round]]-1)</f>
        <v>0</v>
      </c>
      <c r="S2141">
        <f>Table1[[#This Row],[LAW]]-Table1[[#This Row],[LEW]]</f>
        <v>-1.5208333333333333</v>
      </c>
    </row>
    <row r="2142" spans="1:19" x14ac:dyDescent="0.25">
      <c r="A2142" s="66">
        <v>43175</v>
      </c>
      <c r="B2142" s="51">
        <f>YEAR(Table1[[#This Row],[Date]])</f>
        <v>2018</v>
      </c>
      <c r="C2142" s="1">
        <v>1</v>
      </c>
      <c r="D2142" t="s">
        <v>38</v>
      </c>
      <c r="E2142" s="1">
        <v>7</v>
      </c>
      <c r="F2142" t="s">
        <v>79</v>
      </c>
      <c r="G2142" t="str">
        <f>VLOOKUP(Table1[[#This Row],[Winner]],Ranking!C:D,2,FALSE)</f>
        <v>SEC</v>
      </c>
      <c r="H2142" s="1">
        <v>73</v>
      </c>
      <c r="I2142" s="1">
        <v>10</v>
      </c>
      <c r="J2142" t="s">
        <v>56</v>
      </c>
      <c r="K2142" t="str">
        <f>VLOOKUP(Table1[[#This Row],[Loser]],Ranking!C:D,2,FALSE)</f>
        <v>BE</v>
      </c>
      <c r="L2142" s="1">
        <v>69</v>
      </c>
      <c r="N2142" s="1">
        <f>Table1[[#This Row],[Winning Score]]-Table1[[#This Row],[Losing Score]]</f>
        <v>4</v>
      </c>
      <c r="O2142" s="1">
        <f>Table1[[#This Row],[Losing Seed]]-Table1[[#This Row],[Winning Seed]]</f>
        <v>3</v>
      </c>
      <c r="P2142" s="1" t="str">
        <f>IF(Table1[[#This Row],[SeD]]&lt;-2,Table1[[#This Row],[Winning Seed]]&amp; " over " &amp;Table1[[#This Row],[Losing Seed]],"")</f>
        <v/>
      </c>
      <c r="Q2142">
        <f>VLOOKUP(Table1[[#This Row],[Losing Seed]],'Seed History'!$N$4:$O$19,2)</f>
        <v>0.61805555555555558</v>
      </c>
      <c r="R2142" s="1">
        <f>IF(Table1[[#This Row],[Round]]="PI",0,Table1[[#This Row],[Round]]-1)</f>
        <v>0</v>
      </c>
      <c r="S2142">
        <f>Table1[[#This Row],[LAW]]-Table1[[#This Row],[LEW]]</f>
        <v>-0.61805555555555558</v>
      </c>
    </row>
    <row r="2143" spans="1:19" x14ac:dyDescent="0.25">
      <c r="A2143" s="66">
        <v>43175</v>
      </c>
      <c r="B2143" s="51">
        <f>YEAR(Table1[[#This Row],[Date]])</f>
        <v>2018</v>
      </c>
      <c r="C2143" s="1">
        <v>1</v>
      </c>
      <c r="D2143" t="s">
        <v>38</v>
      </c>
      <c r="E2143" s="1">
        <v>2</v>
      </c>
      <c r="F2143" t="s">
        <v>298</v>
      </c>
      <c r="G2143" t="str">
        <f>VLOOKUP(Table1[[#This Row],[Winner]],Ranking!C:D,2,FALSE)</f>
        <v>ACC</v>
      </c>
      <c r="H2143" s="1">
        <v>84</v>
      </c>
      <c r="I2143" s="1">
        <v>15</v>
      </c>
      <c r="J2143" t="s">
        <v>250</v>
      </c>
      <c r="K2143" t="str">
        <f>VLOOKUP(Table1[[#This Row],[Loser]],Ranking!C:D,2,FALSE)</f>
        <v>ASun</v>
      </c>
      <c r="L2143" s="1">
        <v>66</v>
      </c>
      <c r="N2143" s="1">
        <f>Table1[[#This Row],[Winning Score]]-Table1[[#This Row],[Losing Score]]</f>
        <v>18</v>
      </c>
      <c r="O2143" s="1">
        <f>Table1[[#This Row],[Losing Seed]]-Table1[[#This Row],[Winning Seed]]</f>
        <v>13</v>
      </c>
      <c r="P2143" s="1" t="str">
        <f>IF(Table1[[#This Row],[SeD]]&lt;-2,Table1[[#This Row],[Winning Seed]]&amp; " over " &amp;Table1[[#This Row],[Losing Seed]],"")</f>
        <v/>
      </c>
      <c r="Q2143">
        <f>VLOOKUP(Table1[[#This Row],[Losing Seed]],'Seed History'!$N$4:$O$19,2)</f>
        <v>7.6388888888888895E-2</v>
      </c>
      <c r="R2143" s="1">
        <f>IF(Table1[[#This Row],[Round]]="PI",0,Table1[[#This Row],[Round]]-1)</f>
        <v>0</v>
      </c>
      <c r="S2143">
        <f>Table1[[#This Row],[LAW]]-Table1[[#This Row],[LEW]]</f>
        <v>-7.6388888888888895E-2</v>
      </c>
    </row>
    <row r="2144" spans="1:19" x14ac:dyDescent="0.25">
      <c r="A2144" s="66">
        <v>43175</v>
      </c>
      <c r="B2144" s="51">
        <f>YEAR(Table1[[#This Row],[Date]])</f>
        <v>2018</v>
      </c>
      <c r="C2144" s="1">
        <v>1</v>
      </c>
      <c r="D2144" t="s">
        <v>49</v>
      </c>
      <c r="E2144" s="1">
        <v>10</v>
      </c>
      <c r="F2144" t="s">
        <v>33</v>
      </c>
      <c r="G2144" t="str">
        <f>VLOOKUP(Table1[[#This Row],[Winner]],Ranking!C:D,2,FALSE)</f>
        <v>BE</v>
      </c>
      <c r="H2144" s="1">
        <v>79</v>
      </c>
      <c r="I2144" s="1">
        <v>7</v>
      </c>
      <c r="J2144" t="s">
        <v>41</v>
      </c>
      <c r="K2144" t="str">
        <f>VLOOKUP(Table1[[#This Row],[Loser]],Ranking!C:D,2,FALSE)</f>
        <v>SEC</v>
      </c>
      <c r="L2144" s="1">
        <v>62</v>
      </c>
      <c r="N2144" s="1">
        <f>Table1[[#This Row],[Winning Score]]-Table1[[#This Row],[Losing Score]]</f>
        <v>17</v>
      </c>
      <c r="O2144" s="1">
        <f>Table1[[#This Row],[Losing Seed]]-Table1[[#This Row],[Winning Seed]]</f>
        <v>-3</v>
      </c>
      <c r="P2144" s="1" t="str">
        <f>IF(Table1[[#This Row],[SeD]]&lt;-2,Table1[[#This Row],[Winning Seed]]&amp; " over " &amp;Table1[[#This Row],[Losing Seed]],"")</f>
        <v>10 over 7</v>
      </c>
      <c r="Q2144">
        <f>VLOOKUP(Table1[[#This Row],[Losing Seed]],'Seed History'!$N$4:$O$19,2)</f>
        <v>0.90277777777777779</v>
      </c>
      <c r="R2144" s="1">
        <f>IF(Table1[[#This Row],[Round]]="PI",0,Table1[[#This Row],[Round]]-1)</f>
        <v>0</v>
      </c>
      <c r="S2144">
        <f>Table1[[#This Row],[LAW]]-Table1[[#This Row],[LEW]]</f>
        <v>-0.90277777777777779</v>
      </c>
    </row>
    <row r="2145" spans="1:19" x14ac:dyDescent="0.25">
      <c r="A2145" s="66">
        <v>43175</v>
      </c>
      <c r="B2145" s="51">
        <f>YEAR(Table1[[#This Row],[Date]])</f>
        <v>2018</v>
      </c>
      <c r="C2145" s="1">
        <v>1</v>
      </c>
      <c r="D2145" t="s">
        <v>63</v>
      </c>
      <c r="E2145" s="1">
        <v>7</v>
      </c>
      <c r="F2145" t="s">
        <v>289</v>
      </c>
      <c r="G2145" t="str">
        <f>VLOOKUP(Table1[[#This Row],[Winner]],Ranking!C:D,2,FALSE)</f>
        <v>MWC</v>
      </c>
      <c r="H2145" s="1">
        <v>87</v>
      </c>
      <c r="I2145" s="1">
        <v>10</v>
      </c>
      <c r="J2145" t="s">
        <v>34</v>
      </c>
      <c r="K2145" t="str">
        <f>VLOOKUP(Table1[[#This Row],[Loser]],Ranking!C:D,2,FALSE)</f>
        <v>B12</v>
      </c>
      <c r="L2145" s="1">
        <v>83</v>
      </c>
      <c r="M2145" s="1" t="s">
        <v>462</v>
      </c>
      <c r="N2145" s="1">
        <f>Table1[[#This Row],[Winning Score]]-Table1[[#This Row],[Losing Score]]</f>
        <v>4</v>
      </c>
      <c r="O2145" s="1">
        <f>Table1[[#This Row],[Losing Seed]]-Table1[[#This Row],[Winning Seed]]</f>
        <v>3</v>
      </c>
      <c r="P2145" s="1" t="str">
        <f>IF(Table1[[#This Row],[SeD]]&lt;-2,Table1[[#This Row],[Winning Seed]]&amp; " over " &amp;Table1[[#This Row],[Losing Seed]],"")</f>
        <v/>
      </c>
      <c r="Q2145">
        <f>VLOOKUP(Table1[[#This Row],[Losing Seed]],'Seed History'!$N$4:$O$19,2)</f>
        <v>0.61805555555555558</v>
      </c>
      <c r="R2145" s="1">
        <f>IF(Table1[[#This Row],[Round]]="PI",0,Table1[[#This Row],[Round]]-1)</f>
        <v>0</v>
      </c>
      <c r="S2145">
        <f>Table1[[#This Row],[LAW]]-Table1[[#This Row],[LEW]]</f>
        <v>-0.61805555555555558</v>
      </c>
    </row>
    <row r="2146" spans="1:19" x14ac:dyDescent="0.25">
      <c r="A2146" s="66">
        <v>43175</v>
      </c>
      <c r="B2146" s="51">
        <f>YEAR(Table1[[#This Row],[Date]])</f>
        <v>2018</v>
      </c>
      <c r="C2146" s="1">
        <v>1</v>
      </c>
      <c r="D2146" t="s">
        <v>49</v>
      </c>
      <c r="E2146" s="1">
        <v>5</v>
      </c>
      <c r="F2146" t="s">
        <v>412</v>
      </c>
      <c r="G2146" t="str">
        <f>VLOOKUP(Table1[[#This Row],[Winner]],Ranking!C:D,2,FALSE)</f>
        <v>B12</v>
      </c>
      <c r="H2146" s="1">
        <v>85</v>
      </c>
      <c r="I2146" s="1">
        <v>12</v>
      </c>
      <c r="J2146" t="s">
        <v>285</v>
      </c>
      <c r="K2146" t="str">
        <f>VLOOKUP(Table1[[#This Row],[Loser]],Ranking!C:D,2,FALSE)</f>
        <v>OVC</v>
      </c>
      <c r="L2146" s="1">
        <v>68</v>
      </c>
      <c r="N2146" s="1">
        <f>Table1[[#This Row],[Winning Score]]-Table1[[#This Row],[Losing Score]]</f>
        <v>17</v>
      </c>
      <c r="O2146" s="1">
        <f>Table1[[#This Row],[Losing Seed]]-Table1[[#This Row],[Winning Seed]]</f>
        <v>7</v>
      </c>
      <c r="P2146" s="1" t="str">
        <f>IF(Table1[[#This Row],[SeD]]&lt;-2,Table1[[#This Row],[Winning Seed]]&amp; " over " &amp;Table1[[#This Row],[Losing Seed]],"")</f>
        <v/>
      </c>
      <c r="Q2146">
        <f>VLOOKUP(Table1[[#This Row],[Losing Seed]],'Seed History'!$N$4:$O$19,2)</f>
        <v>0.52083333333333337</v>
      </c>
      <c r="R2146" s="1">
        <f>IF(Table1[[#This Row],[Round]]="PI",0,Table1[[#This Row],[Round]]-1)</f>
        <v>0</v>
      </c>
      <c r="S2146">
        <f>Table1[[#This Row],[LAW]]-Table1[[#This Row],[LEW]]</f>
        <v>-0.52083333333333337</v>
      </c>
    </row>
    <row r="2147" spans="1:19" x14ac:dyDescent="0.25">
      <c r="A2147" s="66">
        <v>43175</v>
      </c>
      <c r="B2147" s="51">
        <f>YEAR(Table1[[#This Row],[Date]])</f>
        <v>2018</v>
      </c>
      <c r="C2147" s="1">
        <v>1</v>
      </c>
      <c r="D2147" t="s">
        <v>38</v>
      </c>
      <c r="E2147" s="1">
        <v>1</v>
      </c>
      <c r="F2147" t="s">
        <v>44</v>
      </c>
      <c r="G2147" t="str">
        <f>VLOOKUP(Table1[[#This Row],[Winner]],Ranking!C:D,2,FALSE)</f>
        <v>BE</v>
      </c>
      <c r="H2147" s="1">
        <v>102</v>
      </c>
      <c r="I2147" s="1">
        <v>16</v>
      </c>
      <c r="J2147" t="s">
        <v>379</v>
      </c>
      <c r="K2147" t="str">
        <f>VLOOKUP(Table1[[#This Row],[Loser]],Ranking!C:D,2,FALSE)</f>
        <v>SWAC</v>
      </c>
      <c r="L2147" s="1">
        <v>83</v>
      </c>
      <c r="N2147" s="1">
        <f>Table1[[#This Row],[Winning Score]]-Table1[[#This Row],[Losing Score]]</f>
        <v>19</v>
      </c>
      <c r="O2147" s="1">
        <f>Table1[[#This Row],[Losing Seed]]-Table1[[#This Row],[Winning Seed]]</f>
        <v>15</v>
      </c>
      <c r="P2147" s="1" t="str">
        <f>IF(Table1[[#This Row],[SeD]]&lt;-2,Table1[[#This Row],[Winning Seed]]&amp; " over " &amp;Table1[[#This Row],[Losing Seed]],"")</f>
        <v/>
      </c>
      <c r="Q2147">
        <f>VLOOKUP(Table1[[#This Row],[Losing Seed]],'Seed History'!$N$4:$O$19,2)</f>
        <v>6.9444444444444441E-3</v>
      </c>
      <c r="R2147" s="1">
        <f>IF(Table1[[#This Row],[Round]]="PI",0,Table1[[#This Row],[Round]]-1)</f>
        <v>0</v>
      </c>
      <c r="S2147">
        <f>Table1[[#This Row],[LAW]]-Table1[[#This Row],[LEW]]</f>
        <v>-6.9444444444444441E-3</v>
      </c>
    </row>
    <row r="2148" spans="1:19" x14ac:dyDescent="0.25">
      <c r="A2148" s="66">
        <v>43175</v>
      </c>
      <c r="B2148" s="51">
        <f>YEAR(Table1[[#This Row],[Date]])</f>
        <v>2018</v>
      </c>
      <c r="C2148" s="1">
        <v>1</v>
      </c>
      <c r="D2148" t="s">
        <v>439</v>
      </c>
      <c r="E2148" s="1">
        <v>3</v>
      </c>
      <c r="F2148" t="s">
        <v>271</v>
      </c>
      <c r="G2148" t="str">
        <f>VLOOKUP(Table1[[#This Row],[Winner]],Ranking!C:D,2,FALSE)</f>
        <v>B10</v>
      </c>
      <c r="H2148" s="1">
        <v>82</v>
      </c>
      <c r="I2148" s="1">
        <v>14</v>
      </c>
      <c r="J2148" t="s">
        <v>148</v>
      </c>
      <c r="K2148" t="str">
        <f>VLOOKUP(Table1[[#This Row],[Loser]],Ranking!C:D,2,FALSE)</f>
        <v>Pat</v>
      </c>
      <c r="L2148" s="1">
        <v>78</v>
      </c>
      <c r="N2148" s="1">
        <f>Table1[[#This Row],[Winning Score]]-Table1[[#This Row],[Losing Score]]</f>
        <v>4</v>
      </c>
      <c r="O2148" s="1">
        <f>Table1[[#This Row],[Losing Seed]]-Table1[[#This Row],[Winning Seed]]</f>
        <v>11</v>
      </c>
      <c r="P2148" s="1" t="str">
        <f>IF(Table1[[#This Row],[SeD]]&lt;-2,Table1[[#This Row],[Winning Seed]]&amp; " over " &amp;Table1[[#This Row],[Losing Seed]],"")</f>
        <v/>
      </c>
      <c r="Q2148">
        <f>VLOOKUP(Table1[[#This Row],[Losing Seed]],'Seed History'!$N$4:$O$19,2)</f>
        <v>0.16666666666666666</v>
      </c>
      <c r="R2148" s="1">
        <f>IF(Table1[[#This Row],[Round]]="PI",0,Table1[[#This Row],[Round]]-1)</f>
        <v>0</v>
      </c>
      <c r="S2148">
        <f>Table1[[#This Row],[LAW]]-Table1[[#This Row],[LEW]]</f>
        <v>-0.16666666666666666</v>
      </c>
    </row>
    <row r="2149" spans="1:19" x14ac:dyDescent="0.25">
      <c r="A2149" s="66">
        <v>43175</v>
      </c>
      <c r="B2149" s="51">
        <f>YEAR(Table1[[#This Row],[Date]])</f>
        <v>2018</v>
      </c>
      <c r="C2149" s="1">
        <v>1</v>
      </c>
      <c r="D2149" t="s">
        <v>439</v>
      </c>
      <c r="E2149" s="1">
        <v>4</v>
      </c>
      <c r="F2149" t="s">
        <v>129</v>
      </c>
      <c r="G2149" t="str">
        <f>VLOOKUP(Table1[[#This Row],[Winner]],Ranking!C:D,2,FALSE)</f>
        <v>SEC</v>
      </c>
      <c r="H2149" s="1">
        <v>62</v>
      </c>
      <c r="I2149" s="1">
        <v>13</v>
      </c>
      <c r="J2149" t="s">
        <v>488</v>
      </c>
      <c r="K2149" t="str">
        <f>VLOOKUP(Table1[[#This Row],[Loser]],Ranking!C:D,2,FALSE)</f>
        <v>CAA</v>
      </c>
      <c r="L2149" s="1">
        <v>58</v>
      </c>
      <c r="N2149" s="1">
        <f>Table1[[#This Row],[Winning Score]]-Table1[[#This Row],[Losing Score]]</f>
        <v>4</v>
      </c>
      <c r="O2149" s="1">
        <f>Table1[[#This Row],[Losing Seed]]-Table1[[#This Row],[Winning Seed]]</f>
        <v>9</v>
      </c>
      <c r="P2149" s="1" t="str">
        <f>IF(Table1[[#This Row],[SeD]]&lt;-2,Table1[[#This Row],[Winning Seed]]&amp; " over " &amp;Table1[[#This Row],[Losing Seed]],"")</f>
        <v/>
      </c>
      <c r="Q2149">
        <f>VLOOKUP(Table1[[#This Row],[Losing Seed]],'Seed History'!$N$4:$O$19,2)</f>
        <v>0.25694444444444442</v>
      </c>
      <c r="R2149" s="1">
        <f>IF(Table1[[#This Row],[Round]]="PI",0,Table1[[#This Row],[Round]]-1)</f>
        <v>0</v>
      </c>
      <c r="S2149">
        <f>Table1[[#This Row],[LAW]]-Table1[[#This Row],[LEW]]</f>
        <v>-0.25694444444444442</v>
      </c>
    </row>
    <row r="2150" spans="1:19" x14ac:dyDescent="0.25">
      <c r="A2150" s="66">
        <v>43175</v>
      </c>
      <c r="B2150" s="51">
        <f>YEAR(Table1[[#This Row],[Date]])</f>
        <v>2018</v>
      </c>
      <c r="C2150" s="1">
        <v>1</v>
      </c>
      <c r="D2150" t="s">
        <v>63</v>
      </c>
      <c r="E2150" s="1">
        <v>9</v>
      </c>
      <c r="F2150" t="s">
        <v>243</v>
      </c>
      <c r="G2150" t="str">
        <f>VLOOKUP(Table1[[#This Row],[Winner]],Ranking!C:D,2,FALSE)</f>
        <v>B12</v>
      </c>
      <c r="H2150" s="1">
        <v>69</v>
      </c>
      <c r="I2150" s="1">
        <v>8</v>
      </c>
      <c r="J2150" t="s">
        <v>88</v>
      </c>
      <c r="K2150" t="str">
        <f>VLOOKUP(Table1[[#This Row],[Loser]],Ranking!C:D,2,FALSE)</f>
        <v>BE</v>
      </c>
      <c r="L2150" s="1">
        <v>59</v>
      </c>
      <c r="N2150" s="1">
        <f>Table1[[#This Row],[Winning Score]]-Table1[[#This Row],[Losing Score]]</f>
        <v>10</v>
      </c>
      <c r="O2150" s="1">
        <f>Table1[[#This Row],[Losing Seed]]-Table1[[#This Row],[Winning Seed]]</f>
        <v>-1</v>
      </c>
      <c r="P2150" s="1" t="str">
        <f>IF(Table1[[#This Row],[SeD]]&lt;-2,Table1[[#This Row],[Winning Seed]]&amp; " over " &amp;Table1[[#This Row],[Losing Seed]],"")</f>
        <v/>
      </c>
      <c r="Q2150">
        <f>VLOOKUP(Table1[[#This Row],[Losing Seed]],'Seed History'!$N$4:$O$19,2)</f>
        <v>0.70833333333333337</v>
      </c>
      <c r="R2150" s="1">
        <f>IF(Table1[[#This Row],[Round]]="PI",0,Table1[[#This Row],[Round]]-1)</f>
        <v>0</v>
      </c>
      <c r="S2150">
        <f>Table1[[#This Row],[LAW]]-Table1[[#This Row],[LEW]]</f>
        <v>-0.70833333333333337</v>
      </c>
    </row>
    <row r="2151" spans="1:19" x14ac:dyDescent="0.25">
      <c r="A2151" s="66">
        <v>43175</v>
      </c>
      <c r="B2151" s="51">
        <f>YEAR(Table1[[#This Row],[Date]])</f>
        <v>2018</v>
      </c>
      <c r="C2151" s="1">
        <v>1</v>
      </c>
      <c r="D2151" t="s">
        <v>439</v>
      </c>
      <c r="E2151" s="1">
        <v>5</v>
      </c>
      <c r="F2151" t="s">
        <v>89</v>
      </c>
      <c r="G2151" t="str">
        <f>VLOOKUP(Table1[[#This Row],[Winner]],Ranking!C:D,2,FALSE)</f>
        <v>ACC</v>
      </c>
      <c r="H2151" s="1">
        <v>79</v>
      </c>
      <c r="I2151" s="1">
        <v>12</v>
      </c>
      <c r="J2151" t="s">
        <v>292</v>
      </c>
      <c r="K2151" t="str">
        <f>VLOOKUP(Table1[[#This Row],[Loser]],Ranking!C:D,2,FALSE)</f>
        <v>WAC</v>
      </c>
      <c r="L2151" s="1">
        <v>68</v>
      </c>
      <c r="N2151" s="1">
        <f>Table1[[#This Row],[Winning Score]]-Table1[[#This Row],[Losing Score]]</f>
        <v>11</v>
      </c>
      <c r="O2151" s="1">
        <f>Table1[[#This Row],[Losing Seed]]-Table1[[#This Row],[Winning Seed]]</f>
        <v>7</v>
      </c>
      <c r="P2151" s="1" t="str">
        <f>IF(Table1[[#This Row],[SeD]]&lt;-2,Table1[[#This Row],[Winning Seed]]&amp; " over " &amp;Table1[[#This Row],[Losing Seed]],"")</f>
        <v/>
      </c>
      <c r="Q2151">
        <f>VLOOKUP(Table1[[#This Row],[Losing Seed]],'Seed History'!$N$4:$O$19,2)</f>
        <v>0.52083333333333337</v>
      </c>
      <c r="R2151" s="1">
        <f>IF(Table1[[#This Row],[Round]]="PI",0,Table1[[#This Row],[Round]]-1)</f>
        <v>0</v>
      </c>
      <c r="S2151">
        <f>Table1[[#This Row],[LAW]]-Table1[[#This Row],[LEW]]</f>
        <v>-0.52083333333333337</v>
      </c>
    </row>
    <row r="2152" spans="1:19" x14ac:dyDescent="0.25">
      <c r="A2152" s="66">
        <v>43175</v>
      </c>
      <c r="B2152" s="51">
        <f>YEAR(Table1[[#This Row],[Date]])</f>
        <v>2018</v>
      </c>
      <c r="C2152" s="1">
        <v>1</v>
      </c>
      <c r="D2152" t="s">
        <v>63</v>
      </c>
      <c r="E2152" s="1">
        <v>16</v>
      </c>
      <c r="F2152" t="s">
        <v>391</v>
      </c>
      <c r="G2152" t="str">
        <f>VLOOKUP(Table1[[#This Row],[Winner]],Ranking!C:D,2,FALSE)</f>
        <v>AE</v>
      </c>
      <c r="H2152" s="1">
        <v>74</v>
      </c>
      <c r="I2152" s="1">
        <v>1</v>
      </c>
      <c r="J2152" t="s">
        <v>61</v>
      </c>
      <c r="K2152" t="str">
        <f>VLOOKUP(Table1[[#This Row],[Loser]],Ranking!C:D,2,FALSE)</f>
        <v>ACC</v>
      </c>
      <c r="L2152" s="1">
        <v>54</v>
      </c>
      <c r="N2152" s="1">
        <f>Table1[[#This Row],[Winning Score]]-Table1[[#This Row],[Losing Score]]</f>
        <v>20</v>
      </c>
      <c r="O2152" s="1">
        <f>Table1[[#This Row],[Losing Seed]]-Table1[[#This Row],[Winning Seed]]</f>
        <v>-15</v>
      </c>
      <c r="P2152" s="1" t="str">
        <f>IF(Table1[[#This Row],[SeD]]&lt;-2,Table1[[#This Row],[Winning Seed]]&amp; " over " &amp;Table1[[#This Row],[Losing Seed]],"")</f>
        <v>16 over 1</v>
      </c>
      <c r="Q2152">
        <f>VLOOKUP(Table1[[#This Row],[Losing Seed]],'Seed History'!$N$4:$O$19,2)</f>
        <v>3.3263888888888888</v>
      </c>
      <c r="R2152" s="1">
        <f>IF(Table1[[#This Row],[Round]]="PI",0,Table1[[#This Row],[Round]]-1)</f>
        <v>0</v>
      </c>
      <c r="S2152">
        <f>Table1[[#This Row],[LAW]]-Table1[[#This Row],[LEW]]</f>
        <v>-3.3263888888888888</v>
      </c>
    </row>
    <row r="2153" spans="1:19" x14ac:dyDescent="0.25">
      <c r="A2153" s="66">
        <v>43175</v>
      </c>
      <c r="B2153" s="51">
        <f>YEAR(Table1[[#This Row],[Date]])</f>
        <v>2018</v>
      </c>
      <c r="C2153" s="1">
        <v>1</v>
      </c>
      <c r="D2153" t="s">
        <v>439</v>
      </c>
      <c r="E2153" s="1">
        <v>11</v>
      </c>
      <c r="F2153" t="s">
        <v>86</v>
      </c>
      <c r="G2153" t="str">
        <f>VLOOKUP(Table1[[#This Row],[Winner]],Ranking!C:D,2,FALSE)</f>
        <v>ACC</v>
      </c>
      <c r="H2153" s="1">
        <v>57</v>
      </c>
      <c r="I2153" s="1">
        <v>6</v>
      </c>
      <c r="J2153" t="s">
        <v>372</v>
      </c>
      <c r="K2153" t="str">
        <f>VLOOKUP(Table1[[#This Row],[Loser]],Ranking!C:D,2,FALSE)</f>
        <v>B12</v>
      </c>
      <c r="L2153" s="1">
        <v>52</v>
      </c>
      <c r="N2153" s="1">
        <f>Table1[[#This Row],[Winning Score]]-Table1[[#This Row],[Losing Score]]</f>
        <v>5</v>
      </c>
      <c r="O2153" s="1">
        <f>Table1[[#This Row],[Losing Seed]]-Table1[[#This Row],[Winning Seed]]</f>
        <v>-5</v>
      </c>
      <c r="P2153" s="1" t="str">
        <f>IF(Table1[[#This Row],[SeD]]&lt;-2,Table1[[#This Row],[Winning Seed]]&amp; " over " &amp;Table1[[#This Row],[Losing Seed]],"")</f>
        <v>11 over 6</v>
      </c>
      <c r="Q2153">
        <f>VLOOKUP(Table1[[#This Row],[Losing Seed]],'Seed History'!$N$4:$O$19,2)</f>
        <v>1.0625</v>
      </c>
      <c r="R2153" s="1">
        <f>IF(Table1[[#This Row],[Round]]="PI",0,Table1[[#This Row],[Round]]-1)</f>
        <v>0</v>
      </c>
      <c r="S2153">
        <f>Table1[[#This Row],[LAW]]-Table1[[#This Row],[LEW]]</f>
        <v>-1.0625</v>
      </c>
    </row>
    <row r="2154" spans="1:19" x14ac:dyDescent="0.25">
      <c r="A2154" s="66">
        <v>43175</v>
      </c>
      <c r="B2154" s="51">
        <f>YEAR(Table1[[#This Row],[Date]])</f>
        <v>2018</v>
      </c>
      <c r="C2154" s="1">
        <v>1</v>
      </c>
      <c r="D2154" t="s">
        <v>38</v>
      </c>
      <c r="E2154" s="1">
        <v>9</v>
      </c>
      <c r="F2154" t="s">
        <v>207</v>
      </c>
      <c r="G2154" t="str">
        <f>VLOOKUP(Table1[[#This Row],[Winner]],Ranking!C:D,2,FALSE)</f>
        <v>ACC</v>
      </c>
      <c r="H2154" s="1">
        <v>67</v>
      </c>
      <c r="I2154" s="1">
        <v>8</v>
      </c>
      <c r="J2154" t="s">
        <v>277</v>
      </c>
      <c r="K2154" t="str">
        <f>VLOOKUP(Table1[[#This Row],[Loser]],Ranking!C:D,2,FALSE)</f>
        <v>SEC</v>
      </c>
      <c r="L2154" s="1">
        <v>54</v>
      </c>
      <c r="N2154" s="1">
        <f>Table1[[#This Row],[Winning Score]]-Table1[[#This Row],[Losing Score]]</f>
        <v>13</v>
      </c>
      <c r="O2154" s="1">
        <f>Table1[[#This Row],[Losing Seed]]-Table1[[#This Row],[Winning Seed]]</f>
        <v>-1</v>
      </c>
      <c r="P2154" s="1" t="str">
        <f>IF(Table1[[#This Row],[SeD]]&lt;-2,Table1[[#This Row],[Winning Seed]]&amp; " over " &amp;Table1[[#This Row],[Losing Seed]],"")</f>
        <v/>
      </c>
      <c r="Q2154">
        <f>VLOOKUP(Table1[[#This Row],[Losing Seed]],'Seed History'!$N$4:$O$19,2)</f>
        <v>0.70833333333333337</v>
      </c>
      <c r="R2154" s="1">
        <f>IF(Table1[[#This Row],[Round]]="PI",0,Table1[[#This Row],[Round]]-1)</f>
        <v>0</v>
      </c>
      <c r="S2154">
        <f>Table1[[#This Row],[LAW]]-Table1[[#This Row],[LEW]]</f>
        <v>-0.70833333333333337</v>
      </c>
    </row>
    <row r="2155" spans="1:19" x14ac:dyDescent="0.25">
      <c r="A2155" s="66">
        <v>43176</v>
      </c>
      <c r="B2155" s="51">
        <f>YEAR(Table1[[#This Row],[Date]])</f>
        <v>2018</v>
      </c>
      <c r="C2155" s="1">
        <v>2</v>
      </c>
      <c r="D2155" t="s">
        <v>49</v>
      </c>
      <c r="E2155" s="1">
        <v>1</v>
      </c>
      <c r="F2155" t="s">
        <v>50</v>
      </c>
      <c r="G2155" t="str">
        <f>VLOOKUP(Table1[[#This Row],[Winner]],Ranking!C:D,2,FALSE)</f>
        <v>BE</v>
      </c>
      <c r="H2155" s="1">
        <v>81</v>
      </c>
      <c r="I2155" s="1">
        <v>9</v>
      </c>
      <c r="J2155" t="s">
        <v>113</v>
      </c>
      <c r="K2155" t="str">
        <f>VLOOKUP(Table1[[#This Row],[Loser]],Ranking!C:D,2,FALSE)</f>
        <v>SEC</v>
      </c>
      <c r="L2155" s="1">
        <v>58</v>
      </c>
      <c r="N2155" s="1">
        <f>Table1[[#This Row],[Winning Score]]-Table1[[#This Row],[Losing Score]]</f>
        <v>23</v>
      </c>
      <c r="O2155" s="1">
        <f>Table1[[#This Row],[Losing Seed]]-Table1[[#This Row],[Winning Seed]]</f>
        <v>8</v>
      </c>
      <c r="P2155" s="1" t="str">
        <f>IF(Table1[[#This Row],[SeD]]&lt;-2,Table1[[#This Row],[Winning Seed]]&amp; " over " &amp;Table1[[#This Row],[Losing Seed]],"")</f>
        <v/>
      </c>
      <c r="Q2155">
        <f>VLOOKUP(Table1[[#This Row],[Losing Seed]],'Seed History'!$N$4:$O$19,2)</f>
        <v>0.59027777777777779</v>
      </c>
      <c r="R2155" s="1">
        <f>IF(Table1[[#This Row],[Round]]="PI",0,Table1[[#This Row],[Round]]-1)</f>
        <v>1</v>
      </c>
      <c r="S2155">
        <f>Table1[[#This Row],[LAW]]-Table1[[#This Row],[LEW]]</f>
        <v>0.40972222222222221</v>
      </c>
    </row>
    <row r="2156" spans="1:19" x14ac:dyDescent="0.25">
      <c r="A2156" s="66">
        <v>43176</v>
      </c>
      <c r="B2156" s="51">
        <f>YEAR(Table1[[#This Row],[Date]])</f>
        <v>2018</v>
      </c>
      <c r="C2156" s="1">
        <v>2</v>
      </c>
      <c r="D2156" t="s">
        <v>439</v>
      </c>
      <c r="E2156" s="1">
        <v>2</v>
      </c>
      <c r="F2156" t="s">
        <v>64</v>
      </c>
      <c r="G2156" t="str">
        <f>VLOOKUP(Table1[[#This Row],[Winner]],Ranking!C:D,2,FALSE)</f>
        <v>ACC</v>
      </c>
      <c r="H2156" s="1">
        <v>87</v>
      </c>
      <c r="I2156" s="1">
        <v>7</v>
      </c>
      <c r="J2156" t="s">
        <v>96</v>
      </c>
      <c r="K2156" t="str">
        <f>VLOOKUP(Table1[[#This Row],[Loser]],Ranking!C:D,2,FALSE)</f>
        <v>A10</v>
      </c>
      <c r="L2156" s="1">
        <v>62</v>
      </c>
      <c r="N2156" s="1">
        <f>Table1[[#This Row],[Winning Score]]-Table1[[#This Row],[Losing Score]]</f>
        <v>25</v>
      </c>
      <c r="O2156" s="1">
        <f>Table1[[#This Row],[Losing Seed]]-Table1[[#This Row],[Winning Seed]]</f>
        <v>5</v>
      </c>
      <c r="P2156" s="1" t="str">
        <f>IF(Table1[[#This Row],[SeD]]&lt;-2,Table1[[#This Row],[Winning Seed]]&amp; " over " &amp;Table1[[#This Row],[Losing Seed]],"")</f>
        <v/>
      </c>
      <c r="Q2156">
        <f>VLOOKUP(Table1[[#This Row],[Losing Seed]],'Seed History'!$N$4:$O$19,2)</f>
        <v>0.90277777777777779</v>
      </c>
      <c r="R2156" s="1">
        <f>IF(Table1[[#This Row],[Round]]="PI",0,Table1[[#This Row],[Round]]-1)</f>
        <v>1</v>
      </c>
      <c r="S2156">
        <f>Table1[[#This Row],[LAW]]-Table1[[#This Row],[LEW]]</f>
        <v>9.722222222222221E-2</v>
      </c>
    </row>
    <row r="2157" spans="1:19" x14ac:dyDescent="0.25">
      <c r="A2157" s="66">
        <v>43176</v>
      </c>
      <c r="B2157" s="51">
        <f>YEAR(Table1[[#This Row],[Date]])</f>
        <v>2018</v>
      </c>
      <c r="C2157" s="1">
        <v>2</v>
      </c>
      <c r="D2157" t="s">
        <v>38</v>
      </c>
      <c r="E2157" s="1">
        <v>4</v>
      </c>
      <c r="F2157" t="s">
        <v>71</v>
      </c>
      <c r="G2157" t="str">
        <f>VLOOKUP(Table1[[#This Row],[Winner]],Ranking!C:D,2,FALSE)</f>
        <v>WCC</v>
      </c>
      <c r="H2157" s="1">
        <v>90</v>
      </c>
      <c r="I2157" s="1">
        <v>5</v>
      </c>
      <c r="J2157" t="s">
        <v>315</v>
      </c>
      <c r="K2157" t="str">
        <f>VLOOKUP(Table1[[#This Row],[Loser]],Ranking!C:D,2,FALSE)</f>
        <v>B10</v>
      </c>
      <c r="L2157" s="1">
        <v>84</v>
      </c>
      <c r="N2157" s="1">
        <f>Table1[[#This Row],[Winning Score]]-Table1[[#This Row],[Losing Score]]</f>
        <v>6</v>
      </c>
      <c r="O2157" s="1">
        <f>Table1[[#This Row],[Losing Seed]]-Table1[[#This Row],[Winning Seed]]</f>
        <v>1</v>
      </c>
      <c r="P2157" s="1" t="str">
        <f>IF(Table1[[#This Row],[SeD]]&lt;-2,Table1[[#This Row],[Winning Seed]]&amp; " over " &amp;Table1[[#This Row],[Losing Seed]],"")</f>
        <v/>
      </c>
      <c r="Q2157">
        <f>VLOOKUP(Table1[[#This Row],[Losing Seed]],'Seed History'!$N$4:$O$19,2)</f>
        <v>1.1180555555555556</v>
      </c>
      <c r="R2157" s="1">
        <f>IF(Table1[[#This Row],[Round]]="PI",0,Table1[[#This Row],[Round]]-1)</f>
        <v>1</v>
      </c>
      <c r="S2157">
        <f>Table1[[#This Row],[LAW]]-Table1[[#This Row],[LEW]]</f>
        <v>-0.11805555555555558</v>
      </c>
    </row>
    <row r="2158" spans="1:19" x14ac:dyDescent="0.25">
      <c r="A2158" s="66">
        <v>43176</v>
      </c>
      <c r="B2158" s="51">
        <f>YEAR(Table1[[#This Row],[Date]])</f>
        <v>2018</v>
      </c>
      <c r="C2158" s="1">
        <v>2</v>
      </c>
      <c r="D2158" t="s">
        <v>63</v>
      </c>
      <c r="E2158" s="1">
        <v>5</v>
      </c>
      <c r="F2158" t="s">
        <v>30</v>
      </c>
      <c r="G2158" t="str">
        <f>VLOOKUP(Table1[[#This Row],[Winner]],Ranking!C:D,2,FALSE)</f>
        <v>MAC</v>
      </c>
      <c r="H2158" s="1">
        <v>95</v>
      </c>
      <c r="I2158" s="1">
        <v>13</v>
      </c>
      <c r="J2158" t="s">
        <v>30</v>
      </c>
      <c r="K2158" t="str">
        <f>VLOOKUP(Table1[[#This Row],[Loser]],Ranking!C:D,2,FALSE)</f>
        <v>MAC</v>
      </c>
      <c r="L2158" s="1">
        <v>75</v>
      </c>
      <c r="N2158" s="1">
        <f>Table1[[#This Row],[Winning Score]]-Table1[[#This Row],[Losing Score]]</f>
        <v>20</v>
      </c>
      <c r="O2158" s="1">
        <f>Table1[[#This Row],[Losing Seed]]-Table1[[#This Row],[Winning Seed]]</f>
        <v>8</v>
      </c>
      <c r="P2158" s="1" t="str">
        <f>IF(Table1[[#This Row],[SeD]]&lt;-2,Table1[[#This Row],[Winning Seed]]&amp; " over " &amp;Table1[[#This Row],[Losing Seed]],"")</f>
        <v/>
      </c>
      <c r="Q2158">
        <f>VLOOKUP(Table1[[#This Row],[Losing Seed]],'Seed History'!$N$4:$O$19,2)</f>
        <v>0.25694444444444442</v>
      </c>
      <c r="R2158" s="1">
        <f>IF(Table1[[#This Row],[Round]]="PI",0,Table1[[#This Row],[Round]]-1)</f>
        <v>1</v>
      </c>
      <c r="S2158">
        <f>Table1[[#This Row],[LAW]]-Table1[[#This Row],[LEW]]</f>
        <v>0.74305555555555558</v>
      </c>
    </row>
    <row r="2159" spans="1:19" x14ac:dyDescent="0.25">
      <c r="A2159" s="66">
        <v>43176</v>
      </c>
      <c r="B2159" s="51">
        <f>YEAR(Table1[[#This Row],[Date]])</f>
        <v>2018</v>
      </c>
      <c r="C2159" s="1">
        <v>2</v>
      </c>
      <c r="D2159" t="s">
        <v>63</v>
      </c>
      <c r="E2159" s="1">
        <v>11</v>
      </c>
      <c r="F2159" t="s">
        <v>257</v>
      </c>
      <c r="G2159" t="str">
        <f>VLOOKUP(Table1[[#This Row],[Winner]],Ranking!C:D,2,FALSE)</f>
        <v>MVC</v>
      </c>
      <c r="H2159" s="1">
        <v>63</v>
      </c>
      <c r="I2159" s="1">
        <v>3</v>
      </c>
      <c r="J2159" t="s">
        <v>374</v>
      </c>
      <c r="K2159" t="str">
        <f>VLOOKUP(Table1[[#This Row],[Loser]],Ranking!C:D,2,FALSE)</f>
        <v>SEC</v>
      </c>
      <c r="L2159" s="1">
        <v>62</v>
      </c>
      <c r="N2159" s="1">
        <f>Table1[[#This Row],[Winning Score]]-Table1[[#This Row],[Losing Score]]</f>
        <v>1</v>
      </c>
      <c r="O2159" s="1">
        <f>Table1[[#This Row],[Losing Seed]]-Table1[[#This Row],[Winning Seed]]</f>
        <v>-8</v>
      </c>
      <c r="P2159" s="1" t="str">
        <f>IF(Table1[[#This Row],[SeD]]&lt;-2,Table1[[#This Row],[Winning Seed]]&amp; " over " &amp;Table1[[#This Row],[Losing Seed]],"")</f>
        <v>11 over 3</v>
      </c>
      <c r="Q2159">
        <f>VLOOKUP(Table1[[#This Row],[Losing Seed]],'Seed History'!$N$4:$O$19,2)</f>
        <v>1.8472222222222223</v>
      </c>
      <c r="R2159" s="1">
        <f>IF(Table1[[#This Row],[Round]]="PI",0,Table1[[#This Row],[Round]]-1)</f>
        <v>1</v>
      </c>
      <c r="S2159">
        <f>Table1[[#This Row],[LAW]]-Table1[[#This Row],[LEW]]</f>
        <v>-0.84722222222222232</v>
      </c>
    </row>
    <row r="2160" spans="1:19" x14ac:dyDescent="0.25">
      <c r="A2160" s="66">
        <v>43176</v>
      </c>
      <c r="B2160" s="51">
        <f>YEAR(Table1[[#This Row],[Date]])</f>
        <v>2018</v>
      </c>
      <c r="C2160" s="1">
        <v>2</v>
      </c>
      <c r="D2160" t="s">
        <v>439</v>
      </c>
      <c r="E2160" s="1">
        <v>1</v>
      </c>
      <c r="F2160" t="s">
        <v>37</v>
      </c>
      <c r="G2160" t="str">
        <f>VLOOKUP(Table1[[#This Row],[Winner]],Ranking!C:D,2,FALSE)</f>
        <v>B12</v>
      </c>
      <c r="H2160" s="1">
        <v>83</v>
      </c>
      <c r="I2160" s="1">
        <v>8</v>
      </c>
      <c r="J2160" t="s">
        <v>87</v>
      </c>
      <c r="K2160" t="str">
        <f>VLOOKUP(Table1[[#This Row],[Loser]],Ranking!C:D,2,FALSE)</f>
        <v>BE</v>
      </c>
      <c r="L2160" s="1">
        <v>79</v>
      </c>
      <c r="N2160" s="1">
        <f>Table1[[#This Row],[Winning Score]]-Table1[[#This Row],[Losing Score]]</f>
        <v>4</v>
      </c>
      <c r="O2160" s="1">
        <f>Table1[[#This Row],[Losing Seed]]-Table1[[#This Row],[Winning Seed]]</f>
        <v>7</v>
      </c>
      <c r="P2160" s="1" t="str">
        <f>IF(Table1[[#This Row],[SeD]]&lt;-2,Table1[[#This Row],[Winning Seed]]&amp; " over " &amp;Table1[[#This Row],[Losing Seed]],"")</f>
        <v/>
      </c>
      <c r="Q2160">
        <f>VLOOKUP(Table1[[#This Row],[Losing Seed]],'Seed History'!$N$4:$O$19,2)</f>
        <v>0.70833333333333337</v>
      </c>
      <c r="R2160" s="1">
        <f>IF(Table1[[#This Row],[Round]]="PI",0,Table1[[#This Row],[Round]]-1)</f>
        <v>1</v>
      </c>
      <c r="S2160">
        <f>Table1[[#This Row],[LAW]]-Table1[[#This Row],[LEW]]</f>
        <v>0.29166666666666663</v>
      </c>
    </row>
    <row r="2161" spans="1:19" x14ac:dyDescent="0.25">
      <c r="A2161" s="66">
        <v>43176</v>
      </c>
      <c r="B2161" s="51">
        <f>YEAR(Table1[[#This Row],[Date]])</f>
        <v>2018</v>
      </c>
      <c r="C2161" s="1">
        <v>2</v>
      </c>
      <c r="D2161" t="s">
        <v>49</v>
      </c>
      <c r="E2161" s="1">
        <v>3</v>
      </c>
      <c r="F2161" t="s">
        <v>92</v>
      </c>
      <c r="G2161" t="str">
        <f>VLOOKUP(Table1[[#This Row],[Winner]],Ranking!C:D,2,FALSE)</f>
        <v>B12</v>
      </c>
      <c r="H2161" s="1">
        <v>69</v>
      </c>
      <c r="I2161" s="1">
        <v>6</v>
      </c>
      <c r="J2161" t="s">
        <v>81</v>
      </c>
      <c r="K2161" t="str">
        <f>VLOOKUP(Table1[[#This Row],[Loser]],Ranking!C:D,2,FALSE)</f>
        <v>SEC</v>
      </c>
      <c r="L2161" s="1">
        <v>66</v>
      </c>
      <c r="N2161" s="1">
        <f>Table1[[#This Row],[Winning Score]]-Table1[[#This Row],[Losing Score]]</f>
        <v>3</v>
      </c>
      <c r="O2161" s="1">
        <f>Table1[[#This Row],[Losing Seed]]-Table1[[#This Row],[Winning Seed]]</f>
        <v>3</v>
      </c>
      <c r="P2161" s="1" t="str">
        <f>IF(Table1[[#This Row],[SeD]]&lt;-2,Table1[[#This Row],[Winning Seed]]&amp; " over " &amp;Table1[[#This Row],[Losing Seed]],"")</f>
        <v/>
      </c>
      <c r="Q2161">
        <f>VLOOKUP(Table1[[#This Row],[Losing Seed]],'Seed History'!$N$4:$O$19,2)</f>
        <v>1.0625</v>
      </c>
      <c r="R2161" s="1">
        <f>IF(Table1[[#This Row],[Round]]="PI",0,Table1[[#This Row],[Round]]-1)</f>
        <v>1</v>
      </c>
      <c r="S2161">
        <f>Table1[[#This Row],[LAW]]-Table1[[#This Row],[LEW]]</f>
        <v>-6.25E-2</v>
      </c>
    </row>
    <row r="2162" spans="1:19" x14ac:dyDescent="0.25">
      <c r="A2162" s="66">
        <v>43176</v>
      </c>
      <c r="B2162" s="51">
        <f>YEAR(Table1[[#This Row],[Date]])</f>
        <v>2018</v>
      </c>
      <c r="C2162" s="1">
        <v>2</v>
      </c>
      <c r="D2162" t="s">
        <v>38</v>
      </c>
      <c r="E2162" s="1">
        <v>3</v>
      </c>
      <c r="F2162" t="s">
        <v>82</v>
      </c>
      <c r="G2162" t="str">
        <f>VLOOKUP(Table1[[#This Row],[Winner]],Ranking!C:D,2,FALSE)</f>
        <v>B10</v>
      </c>
      <c r="H2162" s="1">
        <v>64</v>
      </c>
      <c r="I2162" s="1">
        <v>6</v>
      </c>
      <c r="J2162" t="s">
        <v>225</v>
      </c>
      <c r="K2162" t="str">
        <f>VLOOKUP(Table1[[#This Row],[Loser]],Ranking!C:D,2,FALSE)</f>
        <v>Amer</v>
      </c>
      <c r="L2162" s="1">
        <v>63</v>
      </c>
      <c r="N2162" s="1">
        <f>Table1[[#This Row],[Winning Score]]-Table1[[#This Row],[Losing Score]]</f>
        <v>1</v>
      </c>
      <c r="O2162" s="1">
        <f>Table1[[#This Row],[Losing Seed]]-Table1[[#This Row],[Winning Seed]]</f>
        <v>3</v>
      </c>
      <c r="P2162" s="1" t="str">
        <f>IF(Table1[[#This Row],[SeD]]&lt;-2,Table1[[#This Row],[Winning Seed]]&amp; " over " &amp;Table1[[#This Row],[Losing Seed]],"")</f>
        <v/>
      </c>
      <c r="Q2162">
        <f>VLOOKUP(Table1[[#This Row],[Losing Seed]],'Seed History'!$N$4:$O$19,2)</f>
        <v>1.0625</v>
      </c>
      <c r="R2162" s="1">
        <f>IF(Table1[[#This Row],[Round]]="PI",0,Table1[[#This Row],[Round]]-1)</f>
        <v>1</v>
      </c>
      <c r="S2162">
        <f>Table1[[#This Row],[LAW]]-Table1[[#This Row],[LEW]]</f>
        <v>-6.25E-2</v>
      </c>
    </row>
    <row r="2163" spans="1:19" x14ac:dyDescent="0.25">
      <c r="A2163" s="66">
        <v>43177</v>
      </c>
      <c r="B2163" s="51">
        <f>YEAR(Table1[[#This Row],[Date]])</f>
        <v>2018</v>
      </c>
      <c r="C2163" s="1">
        <v>2</v>
      </c>
      <c r="D2163" t="s">
        <v>439</v>
      </c>
      <c r="E2163" s="1">
        <v>5</v>
      </c>
      <c r="F2163" t="s">
        <v>89</v>
      </c>
      <c r="G2163" t="str">
        <f>VLOOKUP(Table1[[#This Row],[Winner]],Ranking!C:D,2,FALSE)</f>
        <v>ACC</v>
      </c>
      <c r="H2163" s="1">
        <v>84</v>
      </c>
      <c r="I2163" s="1">
        <v>4</v>
      </c>
      <c r="J2163" t="s">
        <v>129</v>
      </c>
      <c r="K2163" t="str">
        <f>VLOOKUP(Table1[[#This Row],[Loser]],Ranking!C:D,2,FALSE)</f>
        <v>SEC</v>
      </c>
      <c r="L2163" s="1">
        <v>53</v>
      </c>
      <c r="N2163" s="1">
        <f>Table1[[#This Row],[Winning Score]]-Table1[[#This Row],[Losing Score]]</f>
        <v>31</v>
      </c>
      <c r="O2163" s="1">
        <f>Table1[[#This Row],[Losing Seed]]-Table1[[#This Row],[Winning Seed]]</f>
        <v>-1</v>
      </c>
      <c r="P2163" s="1" t="str">
        <f>IF(Table1[[#This Row],[SeD]]&lt;-2,Table1[[#This Row],[Winning Seed]]&amp; " over " &amp;Table1[[#This Row],[Losing Seed]],"")</f>
        <v/>
      </c>
      <c r="Q2163">
        <f>VLOOKUP(Table1[[#This Row],[Losing Seed]],'Seed History'!$N$4:$O$19,2)</f>
        <v>1.5208333333333333</v>
      </c>
      <c r="R2163" s="1">
        <f>IF(Table1[[#This Row],[Round]]="PI",0,Table1[[#This Row],[Round]]-1)</f>
        <v>1</v>
      </c>
      <c r="S2163">
        <f>Table1[[#This Row],[LAW]]-Table1[[#This Row],[LEW]]</f>
        <v>-0.52083333333333326</v>
      </c>
    </row>
    <row r="2164" spans="1:19" x14ac:dyDescent="0.25">
      <c r="A2164" s="66">
        <v>43177</v>
      </c>
      <c r="B2164" s="51">
        <f>YEAR(Table1[[#This Row],[Date]])</f>
        <v>2018</v>
      </c>
      <c r="C2164" s="1">
        <v>2</v>
      </c>
      <c r="D2164" t="s">
        <v>63</v>
      </c>
      <c r="E2164" s="1">
        <v>7</v>
      </c>
      <c r="F2164" t="s">
        <v>289</v>
      </c>
      <c r="G2164" t="str">
        <f>VLOOKUP(Table1[[#This Row],[Winner]],Ranking!C:D,2,FALSE)</f>
        <v>MWC</v>
      </c>
      <c r="H2164" s="1">
        <v>75</v>
      </c>
      <c r="I2164" s="1">
        <v>2</v>
      </c>
      <c r="J2164" t="s">
        <v>28</v>
      </c>
      <c r="K2164" t="str">
        <f>VLOOKUP(Table1[[#This Row],[Loser]],Ranking!C:D,2,FALSE)</f>
        <v>Amer</v>
      </c>
      <c r="L2164" s="1">
        <v>73</v>
      </c>
      <c r="N2164" s="1">
        <f>Table1[[#This Row],[Winning Score]]-Table1[[#This Row],[Losing Score]]</f>
        <v>2</v>
      </c>
      <c r="O2164" s="1">
        <f>Table1[[#This Row],[Losing Seed]]-Table1[[#This Row],[Winning Seed]]</f>
        <v>-5</v>
      </c>
      <c r="P2164" s="1" t="str">
        <f>IF(Table1[[#This Row],[SeD]]&lt;-2,Table1[[#This Row],[Winning Seed]]&amp; " over " &amp;Table1[[#This Row],[Losing Seed]],"")</f>
        <v>7 over 2</v>
      </c>
      <c r="Q2164">
        <f>VLOOKUP(Table1[[#This Row],[Losing Seed]],'Seed History'!$N$4:$O$19,2)</f>
        <v>2.3472222222222223</v>
      </c>
      <c r="R2164" s="1">
        <f>IF(Table1[[#This Row],[Round]]="PI",0,Table1[[#This Row],[Round]]-1)</f>
        <v>1</v>
      </c>
      <c r="S2164">
        <f>Table1[[#This Row],[LAW]]-Table1[[#This Row],[LEW]]</f>
        <v>-1.3472222222222223</v>
      </c>
    </row>
    <row r="2165" spans="1:19" x14ac:dyDescent="0.25">
      <c r="A2165" s="66">
        <v>43177</v>
      </c>
      <c r="B2165" s="51">
        <f>YEAR(Table1[[#This Row],[Date]])</f>
        <v>2018</v>
      </c>
      <c r="C2165" s="1">
        <v>2</v>
      </c>
      <c r="D2165" t="s">
        <v>38</v>
      </c>
      <c r="E2165" s="1">
        <v>7</v>
      </c>
      <c r="F2165" t="s">
        <v>79</v>
      </c>
      <c r="G2165" t="str">
        <f>VLOOKUP(Table1[[#This Row],[Winner]],Ranking!C:D,2,FALSE)</f>
        <v>SEC</v>
      </c>
      <c r="H2165" s="1">
        <v>86</v>
      </c>
      <c r="I2165" s="1">
        <v>2</v>
      </c>
      <c r="J2165" t="s">
        <v>298</v>
      </c>
      <c r="K2165" t="str">
        <f>VLOOKUP(Table1[[#This Row],[Loser]],Ranking!C:D,2,FALSE)</f>
        <v>ACC</v>
      </c>
      <c r="L2165" s="1">
        <v>65</v>
      </c>
      <c r="N2165" s="1">
        <f>Table1[[#This Row],[Winning Score]]-Table1[[#This Row],[Losing Score]]</f>
        <v>21</v>
      </c>
      <c r="O2165" s="1">
        <f>Table1[[#This Row],[Losing Seed]]-Table1[[#This Row],[Winning Seed]]</f>
        <v>-5</v>
      </c>
      <c r="P2165" s="1" t="str">
        <f>IF(Table1[[#This Row],[SeD]]&lt;-2,Table1[[#This Row],[Winning Seed]]&amp; " over " &amp;Table1[[#This Row],[Losing Seed]],"")</f>
        <v>7 over 2</v>
      </c>
      <c r="Q2165">
        <f>VLOOKUP(Table1[[#This Row],[Losing Seed]],'Seed History'!$N$4:$O$19,2)</f>
        <v>2.3472222222222223</v>
      </c>
      <c r="R2165" s="1">
        <f>IF(Table1[[#This Row],[Round]]="PI",0,Table1[[#This Row],[Round]]-1)</f>
        <v>1</v>
      </c>
      <c r="S2165">
        <f>Table1[[#This Row],[LAW]]-Table1[[#This Row],[LEW]]</f>
        <v>-1.3472222222222223</v>
      </c>
    </row>
    <row r="2166" spans="1:19" x14ac:dyDescent="0.25">
      <c r="A2166" s="66">
        <v>43177</v>
      </c>
      <c r="B2166" s="51">
        <f>YEAR(Table1[[#This Row],[Date]])</f>
        <v>2018</v>
      </c>
      <c r="C2166" s="1">
        <v>2</v>
      </c>
      <c r="D2166" t="s">
        <v>49</v>
      </c>
      <c r="E2166" s="1">
        <v>2</v>
      </c>
      <c r="F2166" t="s">
        <v>29</v>
      </c>
      <c r="G2166" t="str">
        <f>VLOOKUP(Table1[[#This Row],[Winner]],Ranking!C:D,2,FALSE)</f>
        <v>B10</v>
      </c>
      <c r="H2166" s="1">
        <v>76</v>
      </c>
      <c r="I2166" s="1">
        <v>10</v>
      </c>
      <c r="J2166" t="s">
        <v>33</v>
      </c>
      <c r="K2166" t="str">
        <f>VLOOKUP(Table1[[#This Row],[Loser]],Ranking!C:D,2,FALSE)</f>
        <v>BE</v>
      </c>
      <c r="L2166" s="1">
        <v>73</v>
      </c>
      <c r="N2166" s="1">
        <f>Table1[[#This Row],[Winning Score]]-Table1[[#This Row],[Losing Score]]</f>
        <v>3</v>
      </c>
      <c r="O2166" s="1">
        <f>Table1[[#This Row],[Losing Seed]]-Table1[[#This Row],[Winning Seed]]</f>
        <v>8</v>
      </c>
      <c r="P2166" s="1" t="str">
        <f>IF(Table1[[#This Row],[SeD]]&lt;-2,Table1[[#This Row],[Winning Seed]]&amp; " over " &amp;Table1[[#This Row],[Losing Seed]],"")</f>
        <v/>
      </c>
      <c r="Q2166">
        <f>VLOOKUP(Table1[[#This Row],[Losing Seed]],'Seed History'!$N$4:$O$19,2)</f>
        <v>0.61805555555555558</v>
      </c>
      <c r="R2166" s="1">
        <f>IF(Table1[[#This Row],[Round]]="PI",0,Table1[[#This Row],[Round]]-1)</f>
        <v>1</v>
      </c>
      <c r="S2166">
        <f>Table1[[#This Row],[LAW]]-Table1[[#This Row],[LEW]]</f>
        <v>0.38194444444444442</v>
      </c>
    </row>
    <row r="2167" spans="1:19" x14ac:dyDescent="0.25">
      <c r="A2167" s="66">
        <v>43177</v>
      </c>
      <c r="B2167" s="51">
        <f>YEAR(Table1[[#This Row],[Date]])</f>
        <v>2018</v>
      </c>
      <c r="C2167" s="1">
        <v>2</v>
      </c>
      <c r="D2167" t="s">
        <v>439</v>
      </c>
      <c r="E2167" s="1">
        <v>11</v>
      </c>
      <c r="F2167" t="s">
        <v>86</v>
      </c>
      <c r="G2167" t="str">
        <f>VLOOKUP(Table1[[#This Row],[Winner]],Ranking!C:D,2,FALSE)</f>
        <v>ACC</v>
      </c>
      <c r="H2167" s="1">
        <v>55</v>
      </c>
      <c r="I2167" s="1">
        <v>3</v>
      </c>
      <c r="J2167" t="s">
        <v>271</v>
      </c>
      <c r="K2167" t="str">
        <f>VLOOKUP(Table1[[#This Row],[Loser]],Ranking!C:D,2,FALSE)</f>
        <v>B10</v>
      </c>
      <c r="L2167" s="1">
        <v>53</v>
      </c>
      <c r="N2167" s="1">
        <f>Table1[[#This Row],[Winning Score]]-Table1[[#This Row],[Losing Score]]</f>
        <v>2</v>
      </c>
      <c r="O2167" s="1">
        <f>Table1[[#This Row],[Losing Seed]]-Table1[[#This Row],[Winning Seed]]</f>
        <v>-8</v>
      </c>
      <c r="P2167" s="1" t="str">
        <f>IF(Table1[[#This Row],[SeD]]&lt;-2,Table1[[#This Row],[Winning Seed]]&amp; " over " &amp;Table1[[#This Row],[Losing Seed]],"")</f>
        <v>11 over 3</v>
      </c>
      <c r="Q2167">
        <f>VLOOKUP(Table1[[#This Row],[Losing Seed]],'Seed History'!$N$4:$O$19,2)</f>
        <v>1.8472222222222223</v>
      </c>
      <c r="R2167" s="1">
        <f>IF(Table1[[#This Row],[Round]]="PI",0,Table1[[#This Row],[Round]]-1)</f>
        <v>1</v>
      </c>
      <c r="S2167">
        <f>Table1[[#This Row],[LAW]]-Table1[[#This Row],[LEW]]</f>
        <v>-0.84722222222222232</v>
      </c>
    </row>
    <row r="2168" spans="1:19" x14ac:dyDescent="0.25">
      <c r="A2168" s="66">
        <v>43177</v>
      </c>
      <c r="B2168" s="51">
        <f>YEAR(Table1[[#This Row],[Date]])</f>
        <v>2018</v>
      </c>
      <c r="C2168" s="1">
        <v>2</v>
      </c>
      <c r="D2168" t="s">
        <v>63</v>
      </c>
      <c r="E2168" s="1">
        <v>9</v>
      </c>
      <c r="F2168" t="s">
        <v>243</v>
      </c>
      <c r="G2168" t="str">
        <f>VLOOKUP(Table1[[#This Row],[Winner]],Ranking!C:D,2,FALSE)</f>
        <v>B12</v>
      </c>
      <c r="H2168" s="1">
        <v>50</v>
      </c>
      <c r="I2168" s="1">
        <v>16</v>
      </c>
      <c r="J2168" t="s">
        <v>391</v>
      </c>
      <c r="K2168" t="str">
        <f>VLOOKUP(Table1[[#This Row],[Loser]],Ranking!C:D,2,FALSE)</f>
        <v>AE</v>
      </c>
      <c r="L2168" s="1">
        <v>43</v>
      </c>
      <c r="N2168" s="1">
        <f>Table1[[#This Row],[Winning Score]]-Table1[[#This Row],[Losing Score]]</f>
        <v>7</v>
      </c>
      <c r="O2168" s="1">
        <f>Table1[[#This Row],[Losing Seed]]-Table1[[#This Row],[Winning Seed]]</f>
        <v>7</v>
      </c>
      <c r="P2168" s="1" t="str">
        <f>IF(Table1[[#This Row],[SeD]]&lt;-2,Table1[[#This Row],[Winning Seed]]&amp; " over " &amp;Table1[[#This Row],[Losing Seed]],"")</f>
        <v/>
      </c>
      <c r="Q2168">
        <f>VLOOKUP(Table1[[#This Row],[Losing Seed]],'Seed History'!$N$4:$O$19,2)</f>
        <v>6.9444444444444441E-3</v>
      </c>
      <c r="R2168" s="1">
        <f>IF(Table1[[#This Row],[Round]]="PI",0,Table1[[#This Row],[Round]]-1)</f>
        <v>1</v>
      </c>
      <c r="S2168">
        <f>Table1[[#This Row],[LAW]]-Table1[[#This Row],[LEW]]</f>
        <v>0.99305555555555558</v>
      </c>
    </row>
    <row r="2169" spans="1:19" x14ac:dyDescent="0.25">
      <c r="A2169" s="66">
        <v>43177</v>
      </c>
      <c r="B2169" s="51">
        <f>YEAR(Table1[[#This Row],[Date]])</f>
        <v>2018</v>
      </c>
      <c r="C2169" s="1">
        <v>2</v>
      </c>
      <c r="D2169" t="s">
        <v>38</v>
      </c>
      <c r="E2169" s="1">
        <v>9</v>
      </c>
      <c r="F2169" t="s">
        <v>207</v>
      </c>
      <c r="G2169" t="str">
        <f>VLOOKUP(Table1[[#This Row],[Winner]],Ranking!C:D,2,FALSE)</f>
        <v>ACC</v>
      </c>
      <c r="H2169" s="1">
        <v>75</v>
      </c>
      <c r="I2169" s="1">
        <v>1</v>
      </c>
      <c r="J2169" t="s">
        <v>44</v>
      </c>
      <c r="K2169" t="str">
        <f>VLOOKUP(Table1[[#This Row],[Loser]],Ranking!C:D,2,FALSE)</f>
        <v>BE</v>
      </c>
      <c r="L2169" s="1">
        <v>70</v>
      </c>
      <c r="N2169" s="1">
        <f>Table1[[#This Row],[Winning Score]]-Table1[[#This Row],[Losing Score]]</f>
        <v>5</v>
      </c>
      <c r="O2169" s="1">
        <f>Table1[[#This Row],[Losing Seed]]-Table1[[#This Row],[Winning Seed]]</f>
        <v>-8</v>
      </c>
      <c r="P2169" s="1" t="str">
        <f>IF(Table1[[#This Row],[SeD]]&lt;-2,Table1[[#This Row],[Winning Seed]]&amp; " over " &amp;Table1[[#This Row],[Losing Seed]],"")</f>
        <v>9 over 1</v>
      </c>
      <c r="Q2169">
        <f>VLOOKUP(Table1[[#This Row],[Losing Seed]],'Seed History'!$N$4:$O$19,2)</f>
        <v>3.3263888888888888</v>
      </c>
      <c r="R2169" s="1">
        <f>IF(Table1[[#This Row],[Round]]="PI",0,Table1[[#This Row],[Round]]-1)</f>
        <v>1</v>
      </c>
      <c r="S2169">
        <f>Table1[[#This Row],[LAW]]-Table1[[#This Row],[LEW]]</f>
        <v>-2.3263888888888888</v>
      </c>
    </row>
    <row r="2170" spans="1:19" x14ac:dyDescent="0.25">
      <c r="A2170" s="66">
        <v>43177</v>
      </c>
      <c r="B2170" s="51">
        <f>YEAR(Table1[[#This Row],[Date]])</f>
        <v>2018</v>
      </c>
      <c r="C2170" s="1">
        <v>2</v>
      </c>
      <c r="D2170" t="s">
        <v>49</v>
      </c>
      <c r="E2170" s="1">
        <v>5</v>
      </c>
      <c r="F2170" t="s">
        <v>412</v>
      </c>
      <c r="G2170" t="str">
        <f>VLOOKUP(Table1[[#This Row],[Winner]],Ranking!C:D,2,FALSE)</f>
        <v>B12</v>
      </c>
      <c r="H2170" s="1">
        <v>89</v>
      </c>
      <c r="I2170" s="1">
        <v>13</v>
      </c>
      <c r="J2170" t="s">
        <v>263</v>
      </c>
      <c r="K2170" t="str">
        <f>VLOOKUP(Table1[[#This Row],[Loser]],Ranking!C:D,2,FALSE)</f>
        <v>CUSA</v>
      </c>
      <c r="L2170" s="1">
        <v>62</v>
      </c>
      <c r="N2170" s="1">
        <f>Table1[[#This Row],[Winning Score]]-Table1[[#This Row],[Losing Score]]</f>
        <v>27</v>
      </c>
      <c r="O2170" s="1">
        <f>Table1[[#This Row],[Losing Seed]]-Table1[[#This Row],[Winning Seed]]</f>
        <v>8</v>
      </c>
      <c r="P2170" s="1" t="str">
        <f>IF(Table1[[#This Row],[SeD]]&lt;-2,Table1[[#This Row],[Winning Seed]]&amp; " over " &amp;Table1[[#This Row],[Losing Seed]],"")</f>
        <v/>
      </c>
      <c r="Q2170">
        <f>VLOOKUP(Table1[[#This Row],[Losing Seed]],'Seed History'!$N$4:$O$19,2)</f>
        <v>0.25694444444444442</v>
      </c>
      <c r="R2170" s="1">
        <f>IF(Table1[[#This Row],[Round]]="PI",0,Table1[[#This Row],[Round]]-1)</f>
        <v>1</v>
      </c>
      <c r="S2170">
        <f>Table1[[#This Row],[LAW]]-Table1[[#This Row],[LEW]]</f>
        <v>0.74305555555555558</v>
      </c>
    </row>
    <row r="2171" spans="1:19" x14ac:dyDescent="0.25">
      <c r="A2171" s="66">
        <v>43181</v>
      </c>
      <c r="B2171" s="51">
        <f>YEAR(Table1[[#This Row],[Date]])</f>
        <v>2018</v>
      </c>
      <c r="C2171" s="1">
        <v>3</v>
      </c>
      <c r="D2171" t="s">
        <v>38</v>
      </c>
      <c r="E2171" s="1">
        <v>3</v>
      </c>
      <c r="F2171" t="s">
        <v>82</v>
      </c>
      <c r="G2171" t="str">
        <f>VLOOKUP(Table1[[#This Row],[Winner]],Ranking!C:D,2,FALSE)</f>
        <v>B10</v>
      </c>
      <c r="H2171" s="1">
        <v>99</v>
      </c>
      <c r="I2171" s="1">
        <v>7</v>
      </c>
      <c r="J2171" t="s">
        <v>79</v>
      </c>
      <c r="K2171" t="str">
        <f>VLOOKUP(Table1[[#This Row],[Loser]],Ranking!C:D,2,FALSE)</f>
        <v>SEC</v>
      </c>
      <c r="L2171" s="1">
        <v>72</v>
      </c>
      <c r="N2171" s="1">
        <f>Table1[[#This Row],[Winning Score]]-Table1[[#This Row],[Losing Score]]</f>
        <v>27</v>
      </c>
      <c r="O2171" s="1">
        <f>Table1[[#This Row],[Losing Seed]]-Table1[[#This Row],[Winning Seed]]</f>
        <v>4</v>
      </c>
      <c r="P2171" s="1" t="str">
        <f>IF(Table1[[#This Row],[SeD]]&lt;-2,Table1[[#This Row],[Winning Seed]]&amp; " over " &amp;Table1[[#This Row],[Losing Seed]],"")</f>
        <v/>
      </c>
      <c r="Q2171">
        <f>VLOOKUP(Table1[[#This Row],[Losing Seed]],'Seed History'!$N$4:$O$19,2)</f>
        <v>0.90277777777777779</v>
      </c>
      <c r="R2171" s="1">
        <f>IF(Table1[[#This Row],[Round]]="PI",0,Table1[[#This Row],[Round]]-1)</f>
        <v>2</v>
      </c>
      <c r="S2171">
        <f>Table1[[#This Row],[LAW]]-Table1[[#This Row],[LEW]]</f>
        <v>1.0972222222222223</v>
      </c>
    </row>
    <row r="2172" spans="1:19" x14ac:dyDescent="0.25">
      <c r="A2172" s="66">
        <v>43181</v>
      </c>
      <c r="B2172" s="51">
        <f>YEAR(Table1[[#This Row],[Date]])</f>
        <v>2018</v>
      </c>
      <c r="C2172" s="1">
        <v>3</v>
      </c>
      <c r="D2172" t="s">
        <v>63</v>
      </c>
      <c r="E2172" s="1">
        <v>11</v>
      </c>
      <c r="F2172" t="s">
        <v>257</v>
      </c>
      <c r="G2172" t="str">
        <f>VLOOKUP(Table1[[#This Row],[Winner]],Ranking!C:D,2,FALSE)</f>
        <v>MVC</v>
      </c>
      <c r="H2172" s="1">
        <v>69</v>
      </c>
      <c r="I2172" s="1">
        <v>7</v>
      </c>
      <c r="J2172" t="s">
        <v>289</v>
      </c>
      <c r="K2172" t="str">
        <f>VLOOKUP(Table1[[#This Row],[Loser]],Ranking!C:D,2,FALSE)</f>
        <v>MWC</v>
      </c>
      <c r="L2172" s="1">
        <v>68</v>
      </c>
      <c r="N2172" s="1">
        <f>Table1[[#This Row],[Winning Score]]-Table1[[#This Row],[Losing Score]]</f>
        <v>1</v>
      </c>
      <c r="O2172" s="1">
        <f>Table1[[#This Row],[Losing Seed]]-Table1[[#This Row],[Winning Seed]]</f>
        <v>-4</v>
      </c>
      <c r="P2172" s="1" t="str">
        <f>IF(Table1[[#This Row],[SeD]]&lt;-2,Table1[[#This Row],[Winning Seed]]&amp; " over " &amp;Table1[[#This Row],[Losing Seed]],"")</f>
        <v>11 over 7</v>
      </c>
      <c r="Q2172">
        <f>VLOOKUP(Table1[[#This Row],[Losing Seed]],'Seed History'!$N$4:$O$19,2)</f>
        <v>0.90277777777777779</v>
      </c>
      <c r="R2172" s="1">
        <f>IF(Table1[[#This Row],[Round]]="PI",0,Table1[[#This Row],[Round]]-1)</f>
        <v>2</v>
      </c>
      <c r="S2172">
        <f>Table1[[#This Row],[LAW]]-Table1[[#This Row],[LEW]]</f>
        <v>1.0972222222222223</v>
      </c>
    </row>
    <row r="2173" spans="1:19" x14ac:dyDescent="0.25">
      <c r="A2173" s="66">
        <v>43181</v>
      </c>
      <c r="B2173" s="51">
        <f>YEAR(Table1[[#This Row],[Date]])</f>
        <v>2018</v>
      </c>
      <c r="C2173" s="1">
        <v>3</v>
      </c>
      <c r="D2173" t="s">
        <v>63</v>
      </c>
      <c r="E2173" s="1">
        <v>9</v>
      </c>
      <c r="F2173" t="s">
        <v>37</v>
      </c>
      <c r="G2173" t="str">
        <f>VLOOKUP(Table1[[#This Row],[Winner]],Ranking!C:D,2,FALSE)</f>
        <v>B12</v>
      </c>
      <c r="H2173" s="1">
        <v>61</v>
      </c>
      <c r="I2173" s="1">
        <v>5</v>
      </c>
      <c r="J2173" t="s">
        <v>26</v>
      </c>
      <c r="K2173" t="str">
        <f>VLOOKUP(Table1[[#This Row],[Loser]],Ranking!C:D,2,FALSE)</f>
        <v>SEC</v>
      </c>
      <c r="L2173" s="1">
        <v>58</v>
      </c>
      <c r="N2173" s="1">
        <f>Table1[[#This Row],[Winning Score]]-Table1[[#This Row],[Losing Score]]</f>
        <v>3</v>
      </c>
      <c r="O2173" s="1">
        <f>Table1[[#This Row],[Losing Seed]]-Table1[[#This Row],[Winning Seed]]</f>
        <v>-4</v>
      </c>
      <c r="P2173" s="1" t="str">
        <f>IF(Table1[[#This Row],[SeD]]&lt;-2,Table1[[#This Row],[Winning Seed]]&amp; " over " &amp;Table1[[#This Row],[Losing Seed]],"")</f>
        <v>9 over 5</v>
      </c>
      <c r="Q2173">
        <f>VLOOKUP(Table1[[#This Row],[Losing Seed]],'Seed History'!$N$4:$O$19,2)</f>
        <v>1.1180555555555556</v>
      </c>
      <c r="R2173" s="1">
        <f>IF(Table1[[#This Row],[Round]]="PI",0,Table1[[#This Row],[Round]]-1)</f>
        <v>2</v>
      </c>
      <c r="S2173">
        <f>Table1[[#This Row],[LAW]]-Table1[[#This Row],[LEW]]</f>
        <v>0.88194444444444442</v>
      </c>
    </row>
    <row r="2174" spans="1:19" x14ac:dyDescent="0.25">
      <c r="A2174" s="66">
        <v>43181</v>
      </c>
      <c r="B2174" s="51">
        <f>YEAR(Table1[[#This Row],[Date]])</f>
        <v>2018</v>
      </c>
      <c r="C2174" s="1">
        <v>3</v>
      </c>
      <c r="D2174" t="s">
        <v>38</v>
      </c>
      <c r="E2174" s="1">
        <v>9</v>
      </c>
      <c r="F2174" t="s">
        <v>207</v>
      </c>
      <c r="G2174" t="str">
        <f>VLOOKUP(Table1[[#This Row],[Winner]],Ranking!C:D,2,FALSE)</f>
        <v>ACC</v>
      </c>
      <c r="H2174" s="1">
        <v>75</v>
      </c>
      <c r="I2174" s="1">
        <v>4</v>
      </c>
      <c r="J2174" t="s">
        <v>71</v>
      </c>
      <c r="K2174" t="str">
        <f>VLOOKUP(Table1[[#This Row],[Loser]],Ranking!C:D,2,FALSE)</f>
        <v>WCC</v>
      </c>
      <c r="L2174" s="1">
        <v>60</v>
      </c>
      <c r="N2174" s="1">
        <f>Table1[[#This Row],[Winning Score]]-Table1[[#This Row],[Losing Score]]</f>
        <v>15</v>
      </c>
      <c r="O2174" s="1">
        <f>Table1[[#This Row],[Losing Seed]]-Table1[[#This Row],[Winning Seed]]</f>
        <v>-5</v>
      </c>
      <c r="P2174" s="1" t="str">
        <f>IF(Table1[[#This Row],[SeD]]&lt;-2,Table1[[#This Row],[Winning Seed]]&amp; " over " &amp;Table1[[#This Row],[Losing Seed]],"")</f>
        <v>9 over 4</v>
      </c>
      <c r="Q2174">
        <f>VLOOKUP(Table1[[#This Row],[Losing Seed]],'Seed History'!$N$4:$O$19,2)</f>
        <v>1.5208333333333333</v>
      </c>
      <c r="R2174" s="1">
        <f>IF(Table1[[#This Row],[Round]]="PI",0,Table1[[#This Row],[Round]]-1)</f>
        <v>2</v>
      </c>
      <c r="S2174">
        <f>Table1[[#This Row],[LAW]]-Table1[[#This Row],[LEW]]</f>
        <v>0.47916666666666674</v>
      </c>
    </row>
    <row r="2175" spans="1:19" x14ac:dyDescent="0.25">
      <c r="A2175" s="66">
        <v>43182</v>
      </c>
      <c r="B2175" s="51">
        <f>YEAR(Table1[[#This Row],[Date]])</f>
        <v>2018</v>
      </c>
      <c r="C2175" s="1">
        <v>3</v>
      </c>
      <c r="D2175" t="s">
        <v>49</v>
      </c>
      <c r="E2175" s="1">
        <v>1</v>
      </c>
      <c r="F2175" t="s">
        <v>50</v>
      </c>
      <c r="G2175" t="str">
        <f>VLOOKUP(Table1[[#This Row],[Winner]],Ranking!C:D,2,FALSE)</f>
        <v>BE</v>
      </c>
      <c r="H2175" s="1">
        <v>90</v>
      </c>
      <c r="I2175" s="1">
        <v>5</v>
      </c>
      <c r="J2175" t="s">
        <v>412</v>
      </c>
      <c r="K2175" t="str">
        <f>VLOOKUP(Table1[[#This Row],[Loser]],Ranking!C:D,2,FALSE)</f>
        <v>B12</v>
      </c>
      <c r="L2175" s="1">
        <v>78</v>
      </c>
      <c r="N2175" s="1">
        <f>Table1[[#This Row],[Winning Score]]-Table1[[#This Row],[Losing Score]]</f>
        <v>12</v>
      </c>
      <c r="O2175" s="1">
        <f>Table1[[#This Row],[Losing Seed]]-Table1[[#This Row],[Winning Seed]]</f>
        <v>4</v>
      </c>
      <c r="P2175" s="1" t="str">
        <f>IF(Table1[[#This Row],[SeD]]&lt;-2,Table1[[#This Row],[Winning Seed]]&amp; " over " &amp;Table1[[#This Row],[Losing Seed]],"")</f>
        <v/>
      </c>
      <c r="Q2175">
        <f>VLOOKUP(Table1[[#This Row],[Losing Seed]],'Seed History'!$N$4:$O$19,2)</f>
        <v>1.1180555555555556</v>
      </c>
      <c r="R2175" s="1">
        <f>IF(Table1[[#This Row],[Round]]="PI",0,Table1[[#This Row],[Round]]-1)</f>
        <v>2</v>
      </c>
      <c r="S2175">
        <f>Table1[[#This Row],[LAW]]-Table1[[#This Row],[LEW]]</f>
        <v>0.88194444444444442</v>
      </c>
    </row>
    <row r="2176" spans="1:19" x14ac:dyDescent="0.25">
      <c r="A2176" s="66">
        <v>43182</v>
      </c>
      <c r="B2176" s="51">
        <f>YEAR(Table1[[#This Row],[Date]])</f>
        <v>2018</v>
      </c>
      <c r="C2176" s="1">
        <v>3</v>
      </c>
      <c r="D2176" t="s">
        <v>439</v>
      </c>
      <c r="E2176" s="1">
        <v>1</v>
      </c>
      <c r="F2176" t="s">
        <v>37</v>
      </c>
      <c r="G2176" t="str">
        <f>VLOOKUP(Table1[[#This Row],[Winner]],Ranking!C:D,2,FALSE)</f>
        <v>B12</v>
      </c>
      <c r="H2176" s="1">
        <v>80</v>
      </c>
      <c r="I2176" s="1">
        <v>5</v>
      </c>
      <c r="J2176" t="s">
        <v>89</v>
      </c>
      <c r="K2176" t="str">
        <f>VLOOKUP(Table1[[#This Row],[Loser]],Ranking!C:D,2,FALSE)</f>
        <v>ACC</v>
      </c>
      <c r="L2176" s="1">
        <v>76</v>
      </c>
      <c r="N2176" s="1">
        <f>Table1[[#This Row],[Winning Score]]-Table1[[#This Row],[Losing Score]]</f>
        <v>4</v>
      </c>
      <c r="O2176" s="1">
        <f>Table1[[#This Row],[Losing Seed]]-Table1[[#This Row],[Winning Seed]]</f>
        <v>4</v>
      </c>
      <c r="P2176" s="1" t="str">
        <f>IF(Table1[[#This Row],[SeD]]&lt;-2,Table1[[#This Row],[Winning Seed]]&amp; " over " &amp;Table1[[#This Row],[Losing Seed]],"")</f>
        <v/>
      </c>
      <c r="Q2176">
        <f>VLOOKUP(Table1[[#This Row],[Losing Seed]],'Seed History'!$N$4:$O$19,2)</f>
        <v>1.1180555555555556</v>
      </c>
      <c r="R2176" s="1">
        <f>IF(Table1[[#This Row],[Round]]="PI",0,Table1[[#This Row],[Round]]-1)</f>
        <v>2</v>
      </c>
      <c r="S2176">
        <f>Table1[[#This Row],[LAW]]-Table1[[#This Row],[LEW]]</f>
        <v>0.88194444444444442</v>
      </c>
    </row>
    <row r="2177" spans="1:19" x14ac:dyDescent="0.25">
      <c r="A2177" s="66">
        <v>43182</v>
      </c>
      <c r="B2177" s="51">
        <f>YEAR(Table1[[#This Row],[Date]])</f>
        <v>2018</v>
      </c>
      <c r="C2177" s="1">
        <v>3</v>
      </c>
      <c r="D2177" t="s">
        <v>439</v>
      </c>
      <c r="E2177" s="1">
        <v>2</v>
      </c>
      <c r="F2177" t="s">
        <v>64</v>
      </c>
      <c r="G2177" t="str">
        <f>VLOOKUP(Table1[[#This Row],[Winner]],Ranking!C:D,2,FALSE)</f>
        <v>ACC</v>
      </c>
      <c r="H2177" s="1">
        <v>69</v>
      </c>
      <c r="I2177" s="1">
        <v>11</v>
      </c>
      <c r="J2177" t="s">
        <v>86</v>
      </c>
      <c r="K2177" t="str">
        <f>VLOOKUP(Table1[[#This Row],[Loser]],Ranking!C:D,2,FALSE)</f>
        <v>ACC</v>
      </c>
      <c r="L2177" s="1">
        <v>65</v>
      </c>
      <c r="N2177" s="1">
        <f>Table1[[#This Row],[Winning Score]]-Table1[[#This Row],[Losing Score]]</f>
        <v>4</v>
      </c>
      <c r="O2177" s="1">
        <f>Table1[[#This Row],[Losing Seed]]-Table1[[#This Row],[Winning Seed]]</f>
        <v>9</v>
      </c>
      <c r="P2177" s="1" t="str">
        <f>IF(Table1[[#This Row],[SeD]]&lt;-2,Table1[[#This Row],[Winning Seed]]&amp; " over " &amp;Table1[[#This Row],[Losing Seed]],"")</f>
        <v/>
      </c>
      <c r="Q2177">
        <f>VLOOKUP(Table1[[#This Row],[Losing Seed]],'Seed History'!$N$4:$O$19,2)</f>
        <v>0.63194444444444442</v>
      </c>
      <c r="R2177" s="1">
        <f>IF(Table1[[#This Row],[Round]]="PI",0,Table1[[#This Row],[Round]]-1)</f>
        <v>2</v>
      </c>
      <c r="S2177">
        <f>Table1[[#This Row],[LAW]]-Table1[[#This Row],[LEW]]</f>
        <v>1.3680555555555556</v>
      </c>
    </row>
    <row r="2178" spans="1:19" x14ac:dyDescent="0.25">
      <c r="A2178" s="66">
        <v>43182</v>
      </c>
      <c r="B2178" s="51">
        <f>YEAR(Table1[[#This Row],[Date]])</f>
        <v>2018</v>
      </c>
      <c r="C2178" s="1">
        <v>3</v>
      </c>
      <c r="D2178" t="s">
        <v>49</v>
      </c>
      <c r="E2178" s="1">
        <v>3</v>
      </c>
      <c r="F2178" t="s">
        <v>92</v>
      </c>
      <c r="G2178" t="str">
        <f>VLOOKUP(Table1[[#This Row],[Winner]],Ranking!C:D,2,FALSE)</f>
        <v>B12</v>
      </c>
      <c r="H2178" s="1">
        <v>78</v>
      </c>
      <c r="I2178" s="1">
        <v>2</v>
      </c>
      <c r="J2178" t="s">
        <v>29</v>
      </c>
      <c r="K2178" t="str">
        <f>VLOOKUP(Table1[[#This Row],[Loser]],Ranking!C:D,2,FALSE)</f>
        <v>B10</v>
      </c>
      <c r="L2178" s="1">
        <v>65</v>
      </c>
      <c r="N2178" s="1">
        <f>Table1[[#This Row],[Winning Score]]-Table1[[#This Row],[Losing Score]]</f>
        <v>13</v>
      </c>
      <c r="O2178" s="1">
        <f>Table1[[#This Row],[Losing Seed]]-Table1[[#This Row],[Winning Seed]]</f>
        <v>-1</v>
      </c>
      <c r="P2178" s="1" t="str">
        <f>IF(Table1[[#This Row],[SeD]]&lt;-2,Table1[[#This Row],[Winning Seed]]&amp; " over " &amp;Table1[[#This Row],[Losing Seed]],"")</f>
        <v/>
      </c>
      <c r="Q2178">
        <f>VLOOKUP(Table1[[#This Row],[Losing Seed]],'Seed History'!$N$4:$O$19,2)</f>
        <v>2.3472222222222223</v>
      </c>
      <c r="R2178" s="1">
        <f>IF(Table1[[#This Row],[Round]]="PI",0,Table1[[#This Row],[Round]]-1)</f>
        <v>2</v>
      </c>
      <c r="S2178">
        <f>Table1[[#This Row],[LAW]]-Table1[[#This Row],[LEW]]</f>
        <v>-0.34722222222222232</v>
      </c>
    </row>
    <row r="2179" spans="1:19" x14ac:dyDescent="0.25">
      <c r="A2179" s="66">
        <v>43183</v>
      </c>
      <c r="B2179" s="51">
        <f>YEAR(Table1[[#This Row],[Date]])</f>
        <v>2018</v>
      </c>
      <c r="C2179" s="1">
        <v>4</v>
      </c>
      <c r="D2179" t="s">
        <v>63</v>
      </c>
      <c r="E2179" s="1">
        <v>11</v>
      </c>
      <c r="F2179" t="s">
        <v>257</v>
      </c>
      <c r="G2179" t="str">
        <f>VLOOKUP(Table1[[#This Row],[Winner]],Ranking!C:D,2,FALSE)</f>
        <v>MVC</v>
      </c>
      <c r="H2179" s="1">
        <v>78</v>
      </c>
      <c r="I2179" s="1">
        <v>9</v>
      </c>
      <c r="J2179" t="s">
        <v>243</v>
      </c>
      <c r="K2179" t="str">
        <f>VLOOKUP(Table1[[#This Row],[Loser]],Ranking!C:D,2,FALSE)</f>
        <v>B12</v>
      </c>
      <c r="L2179" s="1">
        <v>62</v>
      </c>
      <c r="N2179" s="1">
        <f>Table1[[#This Row],[Winning Score]]-Table1[[#This Row],[Losing Score]]</f>
        <v>16</v>
      </c>
      <c r="O2179" s="1">
        <f>Table1[[#This Row],[Losing Seed]]-Table1[[#This Row],[Winning Seed]]</f>
        <v>-2</v>
      </c>
      <c r="P2179" s="1" t="str">
        <f>IF(Table1[[#This Row],[SeD]]&lt;-2,Table1[[#This Row],[Winning Seed]]&amp; " over " &amp;Table1[[#This Row],[Losing Seed]],"")</f>
        <v/>
      </c>
      <c r="Q2179">
        <f>VLOOKUP(Table1[[#This Row],[Losing Seed]],'Seed History'!$N$4:$O$19,2)</f>
        <v>0.59027777777777779</v>
      </c>
      <c r="R2179" s="1">
        <f>IF(Table1[[#This Row],[Round]]="PI",0,Table1[[#This Row],[Round]]-1)</f>
        <v>3</v>
      </c>
      <c r="S2179">
        <f>Table1[[#This Row],[LAW]]-Table1[[#This Row],[LEW]]</f>
        <v>2.4097222222222223</v>
      </c>
    </row>
    <row r="2180" spans="1:19" x14ac:dyDescent="0.25">
      <c r="A2180" s="66">
        <v>43183</v>
      </c>
      <c r="B2180" s="51">
        <f>YEAR(Table1[[#This Row],[Date]])</f>
        <v>2018</v>
      </c>
      <c r="C2180" s="1">
        <v>4</v>
      </c>
      <c r="D2180" t="s">
        <v>38</v>
      </c>
      <c r="E2180" s="1">
        <v>3</v>
      </c>
      <c r="F2180" t="s">
        <v>82</v>
      </c>
      <c r="G2180" t="str">
        <f>VLOOKUP(Table1[[#This Row],[Winner]],Ranking!C:D,2,FALSE)</f>
        <v>B10</v>
      </c>
      <c r="H2180" s="1">
        <v>58</v>
      </c>
      <c r="I2180" s="1">
        <v>9</v>
      </c>
      <c r="J2180" t="s">
        <v>207</v>
      </c>
      <c r="K2180" t="str">
        <f>VLOOKUP(Table1[[#This Row],[Loser]],Ranking!C:D,2,FALSE)</f>
        <v>ACC</v>
      </c>
      <c r="L2180" s="1">
        <v>54</v>
      </c>
      <c r="N2180" s="1">
        <f>Table1[[#This Row],[Winning Score]]-Table1[[#This Row],[Losing Score]]</f>
        <v>4</v>
      </c>
      <c r="O2180" s="1">
        <f>Table1[[#This Row],[Losing Seed]]-Table1[[#This Row],[Winning Seed]]</f>
        <v>6</v>
      </c>
      <c r="P2180" s="1" t="str">
        <f>IF(Table1[[#This Row],[SeD]]&lt;-2,Table1[[#This Row],[Winning Seed]]&amp; " over " &amp;Table1[[#This Row],[Losing Seed]],"")</f>
        <v/>
      </c>
      <c r="Q2180">
        <f>VLOOKUP(Table1[[#This Row],[Losing Seed]],'Seed History'!$N$4:$O$19,2)</f>
        <v>0.59027777777777779</v>
      </c>
      <c r="R2180" s="1">
        <f>IF(Table1[[#This Row],[Round]]="PI",0,Table1[[#This Row],[Round]]-1)</f>
        <v>3</v>
      </c>
      <c r="S2180">
        <f>Table1[[#This Row],[LAW]]-Table1[[#This Row],[LEW]]</f>
        <v>2.4097222222222223</v>
      </c>
    </row>
    <row r="2181" spans="1:19" x14ac:dyDescent="0.25">
      <c r="A2181" s="66">
        <v>43184</v>
      </c>
      <c r="B2181" s="51">
        <f>YEAR(Table1[[#This Row],[Date]])</f>
        <v>2018</v>
      </c>
      <c r="C2181" s="1">
        <v>4</v>
      </c>
      <c r="D2181" t="s">
        <v>49</v>
      </c>
      <c r="E2181" s="1">
        <v>1</v>
      </c>
      <c r="F2181" t="s">
        <v>50</v>
      </c>
      <c r="G2181" t="str">
        <f>VLOOKUP(Table1[[#This Row],[Winner]],Ranking!C:D,2,FALSE)</f>
        <v>BE</v>
      </c>
      <c r="H2181" s="1">
        <v>71</v>
      </c>
      <c r="I2181" s="1">
        <v>3</v>
      </c>
      <c r="J2181" t="s">
        <v>92</v>
      </c>
      <c r="K2181" t="str">
        <f>VLOOKUP(Table1[[#This Row],[Loser]],Ranking!C:D,2,FALSE)</f>
        <v>B12</v>
      </c>
      <c r="L2181" s="1">
        <v>59</v>
      </c>
      <c r="N2181" s="1">
        <f>Table1[[#This Row],[Winning Score]]-Table1[[#This Row],[Losing Score]]</f>
        <v>12</v>
      </c>
      <c r="O2181" s="1">
        <f>Table1[[#This Row],[Losing Seed]]-Table1[[#This Row],[Winning Seed]]</f>
        <v>2</v>
      </c>
      <c r="P2181" s="1" t="str">
        <f>IF(Table1[[#This Row],[SeD]]&lt;-2,Table1[[#This Row],[Winning Seed]]&amp; " over " &amp;Table1[[#This Row],[Losing Seed]],"")</f>
        <v/>
      </c>
      <c r="Q2181">
        <f>VLOOKUP(Table1[[#This Row],[Losing Seed]],'Seed History'!$N$4:$O$19,2)</f>
        <v>1.8472222222222223</v>
      </c>
      <c r="R2181" s="1">
        <f>IF(Table1[[#This Row],[Round]]="PI",0,Table1[[#This Row],[Round]]-1)</f>
        <v>3</v>
      </c>
      <c r="S2181">
        <f>Table1[[#This Row],[LAW]]-Table1[[#This Row],[LEW]]</f>
        <v>1.1527777777777777</v>
      </c>
    </row>
    <row r="2182" spans="1:19" x14ac:dyDescent="0.25">
      <c r="A2182" s="66">
        <v>43184</v>
      </c>
      <c r="B2182" s="51">
        <f>YEAR(Table1[[#This Row],[Date]])</f>
        <v>2018</v>
      </c>
      <c r="C2182" s="1">
        <v>4</v>
      </c>
      <c r="D2182" t="s">
        <v>439</v>
      </c>
      <c r="E2182" s="1">
        <v>1</v>
      </c>
      <c r="F2182" t="s">
        <v>37</v>
      </c>
      <c r="G2182" t="str">
        <f>VLOOKUP(Table1[[#This Row],[Winner]],Ranking!C:D,2,FALSE)</f>
        <v>B12</v>
      </c>
      <c r="H2182" s="1">
        <v>85</v>
      </c>
      <c r="I2182" s="1">
        <v>2</v>
      </c>
      <c r="J2182" t="s">
        <v>64</v>
      </c>
      <c r="K2182" t="str">
        <f>VLOOKUP(Table1[[#This Row],[Loser]],Ranking!C:D,2,FALSE)</f>
        <v>ACC</v>
      </c>
      <c r="L2182" s="1">
        <v>81</v>
      </c>
      <c r="M2182" s="1" t="s">
        <v>462</v>
      </c>
      <c r="N2182" s="1">
        <f>Table1[[#This Row],[Winning Score]]-Table1[[#This Row],[Losing Score]]</f>
        <v>4</v>
      </c>
      <c r="O2182" s="1">
        <f>Table1[[#This Row],[Losing Seed]]-Table1[[#This Row],[Winning Seed]]</f>
        <v>1</v>
      </c>
      <c r="P2182" s="1" t="str">
        <f>IF(Table1[[#This Row],[SeD]]&lt;-2,Table1[[#This Row],[Winning Seed]]&amp; " over " &amp;Table1[[#This Row],[Losing Seed]],"")</f>
        <v/>
      </c>
      <c r="Q2182">
        <f>VLOOKUP(Table1[[#This Row],[Losing Seed]],'Seed History'!$N$4:$O$19,2)</f>
        <v>2.3472222222222223</v>
      </c>
      <c r="R2182" s="1">
        <f>IF(Table1[[#This Row],[Round]]="PI",0,Table1[[#This Row],[Round]]-1)</f>
        <v>3</v>
      </c>
      <c r="S2182">
        <f>Table1[[#This Row],[LAW]]-Table1[[#This Row],[LEW]]</f>
        <v>0.65277777777777768</v>
      </c>
    </row>
    <row r="2183" spans="1:19" x14ac:dyDescent="0.25">
      <c r="A2183" s="66">
        <v>43190</v>
      </c>
      <c r="B2183" s="51">
        <f>YEAR(Table1[[#This Row],[Date]])</f>
        <v>2018</v>
      </c>
      <c r="C2183" s="1">
        <v>5</v>
      </c>
      <c r="D2183" t="s">
        <v>467</v>
      </c>
      <c r="E2183" s="1">
        <v>3</v>
      </c>
      <c r="F2183" t="s">
        <v>82</v>
      </c>
      <c r="G2183" t="str">
        <f>VLOOKUP(Table1[[#This Row],[Winner]],Ranking!C:D,2,FALSE)</f>
        <v>B10</v>
      </c>
      <c r="H2183" s="1">
        <v>69</v>
      </c>
      <c r="I2183" s="1">
        <v>11</v>
      </c>
      <c r="J2183" t="s">
        <v>257</v>
      </c>
      <c r="K2183" t="str">
        <f>VLOOKUP(Table1[[#This Row],[Loser]],Ranking!C:D,2,FALSE)</f>
        <v>MVC</v>
      </c>
      <c r="L2183" s="1">
        <v>57</v>
      </c>
      <c r="N2183" s="1">
        <f>Table1[[#This Row],[Winning Score]]-Table1[[#This Row],[Losing Score]]</f>
        <v>12</v>
      </c>
      <c r="O2183" s="1">
        <f>Table1[[#This Row],[Losing Seed]]-Table1[[#This Row],[Winning Seed]]</f>
        <v>8</v>
      </c>
      <c r="P2183" s="1" t="str">
        <f>IF(Table1[[#This Row],[SeD]]&lt;-2,Table1[[#This Row],[Winning Seed]]&amp; " over " &amp;Table1[[#This Row],[Losing Seed]],"")</f>
        <v/>
      </c>
      <c r="Q2183">
        <f>VLOOKUP(Table1[[#This Row],[Losing Seed]],'Seed History'!$N$4:$O$19,2)</f>
        <v>0.63194444444444442</v>
      </c>
      <c r="R2183" s="1">
        <f>IF(Table1[[#This Row],[Round]]="PI",0,Table1[[#This Row],[Round]]-1)</f>
        <v>4</v>
      </c>
      <c r="S2183">
        <f>Table1[[#This Row],[LAW]]-Table1[[#This Row],[LEW]]</f>
        <v>3.3680555555555554</v>
      </c>
    </row>
    <row r="2184" spans="1:19" x14ac:dyDescent="0.25">
      <c r="A2184" s="66">
        <v>43190</v>
      </c>
      <c r="B2184" s="51">
        <f>YEAR(Table1[[#This Row],[Date]])</f>
        <v>2018</v>
      </c>
      <c r="C2184" s="1">
        <v>5</v>
      </c>
      <c r="D2184" t="s">
        <v>467</v>
      </c>
      <c r="E2184" s="1">
        <v>1</v>
      </c>
      <c r="F2184" t="s">
        <v>50</v>
      </c>
      <c r="G2184" t="str">
        <f>VLOOKUP(Table1[[#This Row],[Winner]],Ranking!C:D,2,FALSE)</f>
        <v>BE</v>
      </c>
      <c r="H2184" s="1">
        <v>95</v>
      </c>
      <c r="I2184" s="1">
        <v>1</v>
      </c>
      <c r="J2184" t="s">
        <v>37</v>
      </c>
      <c r="K2184" t="str">
        <f>VLOOKUP(Table1[[#This Row],[Loser]],Ranking!C:D,2,FALSE)</f>
        <v>B12</v>
      </c>
      <c r="L2184" s="1">
        <v>79</v>
      </c>
      <c r="N2184" s="1">
        <f>Table1[[#This Row],[Winning Score]]-Table1[[#This Row],[Losing Score]]</f>
        <v>16</v>
      </c>
      <c r="O2184" s="1">
        <f>Table1[[#This Row],[Losing Seed]]-Table1[[#This Row],[Winning Seed]]</f>
        <v>0</v>
      </c>
      <c r="P2184" s="1" t="str">
        <f>IF(Table1[[#This Row],[SeD]]&lt;-2,Table1[[#This Row],[Winning Seed]]&amp; " over " &amp;Table1[[#This Row],[Losing Seed]],"")</f>
        <v/>
      </c>
      <c r="Q2184">
        <f>VLOOKUP(Table1[[#This Row],[Losing Seed]],'Seed History'!$N$4:$O$19,2)</f>
        <v>3.3263888888888888</v>
      </c>
      <c r="R2184" s="1">
        <f>IF(Table1[[#This Row],[Round]]="PI",0,Table1[[#This Row],[Round]]-1)</f>
        <v>4</v>
      </c>
      <c r="S2184">
        <f>Table1[[#This Row],[LAW]]-Table1[[#This Row],[LEW]]</f>
        <v>0.67361111111111116</v>
      </c>
    </row>
    <row r="2185" spans="1:19" x14ac:dyDescent="0.25">
      <c r="A2185" s="66">
        <v>43192</v>
      </c>
      <c r="B2185" s="51">
        <f>YEAR(Table1[[#This Row],[Date]])</f>
        <v>2018</v>
      </c>
      <c r="C2185" s="1">
        <v>6</v>
      </c>
      <c r="D2185" t="s">
        <v>468</v>
      </c>
      <c r="E2185" s="1">
        <v>1</v>
      </c>
      <c r="F2185" t="s">
        <v>50</v>
      </c>
      <c r="G2185" t="str">
        <f>VLOOKUP(Table1[[#This Row],[Winner]],Ranking!C:D,2,FALSE)</f>
        <v>BE</v>
      </c>
      <c r="H2185" s="1">
        <v>79</v>
      </c>
      <c r="I2185" s="1">
        <v>3</v>
      </c>
      <c r="J2185" t="s">
        <v>82</v>
      </c>
      <c r="K2185" t="str">
        <f>VLOOKUP(Table1[[#This Row],[Loser]],Ranking!C:D,2,FALSE)</f>
        <v>B10</v>
      </c>
      <c r="L2185" s="1">
        <v>62</v>
      </c>
      <c r="N2185" s="1">
        <f>Table1[[#This Row],[Winning Score]]-Table1[[#This Row],[Losing Score]]</f>
        <v>17</v>
      </c>
      <c r="O2185" s="1">
        <f>Table1[[#This Row],[Losing Seed]]-Table1[[#This Row],[Winning Seed]]</f>
        <v>2</v>
      </c>
      <c r="P2185" s="1" t="str">
        <f>IF(Table1[[#This Row],[SeD]]&lt;-2,Table1[[#This Row],[Winning Seed]]&amp; " over " &amp;Table1[[#This Row],[Losing Seed]],"")</f>
        <v/>
      </c>
      <c r="Q2185">
        <f>VLOOKUP(Table1[[#This Row],[Losing Seed]],'Seed History'!$N$4:$O$19,2)</f>
        <v>1.8472222222222223</v>
      </c>
      <c r="R2185" s="1">
        <f>IF(Table1[[#This Row],[Round]]="PI",0,Table1[[#This Row],[Round]]-1)</f>
        <v>5</v>
      </c>
      <c r="S2185">
        <f>Table1[[#This Row],[LAW]]-Table1[[#This Row],[LEW]]</f>
        <v>3.1527777777777777</v>
      </c>
    </row>
    <row r="2186" spans="1:19" x14ac:dyDescent="0.25">
      <c r="A2186" s="66">
        <v>43543</v>
      </c>
      <c r="B2186" s="51">
        <f>YEAR(Table1[[#This Row],[Date]])</f>
        <v>2019</v>
      </c>
      <c r="C2186" s="1" t="s">
        <v>476</v>
      </c>
      <c r="D2186" t="s">
        <v>38</v>
      </c>
      <c r="E2186" s="1">
        <v>16</v>
      </c>
      <c r="F2186" t="s">
        <v>201</v>
      </c>
      <c r="G2186" t="str">
        <f>VLOOKUP(Table1[[#This Row],[Winner]],Ranking!C:D,2,FALSE)</f>
        <v>NEC</v>
      </c>
      <c r="H2186" s="1">
        <v>82</v>
      </c>
      <c r="I2186" s="1">
        <v>16</v>
      </c>
      <c r="J2186" t="s">
        <v>326</v>
      </c>
      <c r="K2186" t="str">
        <f>VLOOKUP(Table1[[#This Row],[Loser]],Ranking!C:D,2,FALSE)</f>
        <v>SWAC</v>
      </c>
      <c r="L2186" s="1">
        <v>76</v>
      </c>
      <c r="N2186" s="1">
        <f>Table1[[#This Row],[Winning Score]]-Table1[[#This Row],[Losing Score]]</f>
        <v>6</v>
      </c>
      <c r="O2186" s="1">
        <f>Table1[[#This Row],[Losing Seed]]-Table1[[#This Row],[Winning Seed]]</f>
        <v>0</v>
      </c>
      <c r="P2186" s="1" t="str">
        <f>IF(Table1[[#This Row],[SeD]]&lt;-2,Table1[[#This Row],[Winning Seed]]&amp; " over " &amp;Table1[[#This Row],[Losing Seed]],"")</f>
        <v/>
      </c>
      <c r="Q2186">
        <f>VLOOKUP(Table1[[#This Row],[Losing Seed]],'Seed History'!$N$4:$O$19,2)</f>
        <v>6.9444444444444441E-3</v>
      </c>
      <c r="R2186" s="1">
        <f>IF(Table1[[#This Row],[Round]]="PI",0,Table1[[#This Row],[Round]]-1)</f>
        <v>0</v>
      </c>
      <c r="S2186">
        <f>Table1[[#This Row],[LAW]]-Table1[[#This Row],[LEW]]</f>
        <v>-6.9444444444444441E-3</v>
      </c>
    </row>
    <row r="2187" spans="1:19" x14ac:dyDescent="0.25">
      <c r="A2187" s="66">
        <v>43543</v>
      </c>
      <c r="B2187" s="51">
        <f>YEAR(Table1[[#This Row],[Date]])</f>
        <v>2019</v>
      </c>
      <c r="C2187" s="1" t="s">
        <v>476</v>
      </c>
      <c r="D2187" t="s">
        <v>49</v>
      </c>
      <c r="E2187" s="1">
        <v>11</v>
      </c>
      <c r="F2187" t="s">
        <v>62</v>
      </c>
      <c r="G2187" t="str">
        <f>VLOOKUP(Table1[[#This Row],[Winner]],Ranking!C:D,2,FALSE)</f>
        <v>OVC</v>
      </c>
      <c r="H2187" s="1">
        <v>81</v>
      </c>
      <c r="I2187" s="1">
        <v>11</v>
      </c>
      <c r="J2187" t="s">
        <v>373</v>
      </c>
      <c r="K2187" t="str">
        <f>VLOOKUP(Table1[[#This Row],[Loser]],Ranking!C:D,2,FALSE)</f>
        <v>Amer</v>
      </c>
      <c r="L2187" s="1">
        <v>70</v>
      </c>
      <c r="N2187" s="1">
        <f>Table1[[#This Row],[Winning Score]]-Table1[[#This Row],[Losing Score]]</f>
        <v>11</v>
      </c>
      <c r="O2187" s="1">
        <f>Table1[[#This Row],[Losing Seed]]-Table1[[#This Row],[Winning Seed]]</f>
        <v>0</v>
      </c>
      <c r="P2187" s="1" t="str">
        <f>IF(Table1[[#This Row],[SeD]]&lt;-2,Table1[[#This Row],[Winning Seed]]&amp; " over " &amp;Table1[[#This Row],[Losing Seed]],"")</f>
        <v/>
      </c>
      <c r="Q2187">
        <f>VLOOKUP(Table1[[#This Row],[Losing Seed]],'Seed History'!$N$4:$O$19,2)</f>
        <v>0.63194444444444442</v>
      </c>
      <c r="R2187" s="1">
        <f>IF(Table1[[#This Row],[Round]]="PI",0,Table1[[#This Row],[Round]]-1)</f>
        <v>0</v>
      </c>
      <c r="S2187">
        <f>Table1[[#This Row],[LAW]]-Table1[[#This Row],[LEW]]</f>
        <v>-0.63194444444444442</v>
      </c>
    </row>
    <row r="2188" spans="1:19" x14ac:dyDescent="0.25">
      <c r="A2188" s="66">
        <v>43544</v>
      </c>
      <c r="B2188" s="51">
        <f>YEAR(Table1[[#This Row],[Date]])</f>
        <v>2019</v>
      </c>
      <c r="C2188" s="1" t="s">
        <v>476</v>
      </c>
      <c r="D2188" t="s">
        <v>38</v>
      </c>
      <c r="E2188" s="1">
        <v>11</v>
      </c>
      <c r="F2188" t="s">
        <v>125</v>
      </c>
      <c r="G2188" t="str">
        <f>VLOOKUP(Table1[[#This Row],[Winner]],Ranking!C:D,2,FALSE)</f>
        <v>P12</v>
      </c>
      <c r="H2188" s="1">
        <v>74</v>
      </c>
      <c r="I2188" s="1">
        <v>11</v>
      </c>
      <c r="J2188" t="s">
        <v>368</v>
      </c>
      <c r="K2188" t="str">
        <f>VLOOKUP(Table1[[#This Row],[Loser]],Ranking!C:D,2,FALSE)</f>
        <v>BE</v>
      </c>
      <c r="L2188" s="1">
        <v>65</v>
      </c>
      <c r="N2188" s="1">
        <f>Table1[[#This Row],[Winning Score]]-Table1[[#This Row],[Losing Score]]</f>
        <v>9</v>
      </c>
      <c r="O2188" s="1">
        <f>Table1[[#This Row],[Losing Seed]]-Table1[[#This Row],[Winning Seed]]</f>
        <v>0</v>
      </c>
      <c r="P2188" s="1" t="str">
        <f>IF(Table1[[#This Row],[SeD]]&lt;-2,Table1[[#This Row],[Winning Seed]]&amp; " over " &amp;Table1[[#This Row],[Losing Seed]],"")</f>
        <v/>
      </c>
      <c r="Q2188">
        <f>VLOOKUP(Table1[[#This Row],[Losing Seed]],'Seed History'!$N$4:$O$19,2)</f>
        <v>0.63194444444444442</v>
      </c>
      <c r="R2188" s="1">
        <f>IF(Table1[[#This Row],[Round]]="PI",0,Table1[[#This Row],[Round]]-1)</f>
        <v>0</v>
      </c>
      <c r="S2188">
        <f>Table1[[#This Row],[LAW]]-Table1[[#This Row],[LEW]]</f>
        <v>-0.63194444444444442</v>
      </c>
    </row>
    <row r="2189" spans="1:19" x14ac:dyDescent="0.25">
      <c r="A2189" s="66">
        <v>43544</v>
      </c>
      <c r="B2189" s="51">
        <f>YEAR(Table1[[#This Row],[Date]])</f>
        <v>2019</v>
      </c>
      <c r="C2189" s="1" t="s">
        <v>476</v>
      </c>
      <c r="D2189" t="s">
        <v>38</v>
      </c>
      <c r="E2189" s="1">
        <v>16</v>
      </c>
      <c r="F2189" t="s">
        <v>201</v>
      </c>
      <c r="G2189" t="str">
        <f>VLOOKUP(Table1[[#This Row],[Winner]],Ranking!C:D,2,FALSE)</f>
        <v>NEC</v>
      </c>
      <c r="H2189" s="1">
        <v>82</v>
      </c>
      <c r="I2189" s="1">
        <v>16</v>
      </c>
      <c r="J2189" t="s">
        <v>326</v>
      </c>
      <c r="K2189" t="str">
        <f>VLOOKUP(Table1[[#This Row],[Loser]],Ranking!C:D,2,FALSE)</f>
        <v>SWAC</v>
      </c>
      <c r="L2189" s="1">
        <v>76</v>
      </c>
      <c r="N2189" s="1">
        <f>Table1[[#This Row],[Winning Score]]-Table1[[#This Row],[Losing Score]]</f>
        <v>6</v>
      </c>
      <c r="O2189" s="1">
        <f>Table1[[#This Row],[Losing Seed]]-Table1[[#This Row],[Winning Seed]]</f>
        <v>0</v>
      </c>
      <c r="P2189" s="1" t="str">
        <f>IF(Table1[[#This Row],[SeD]]&lt;-2,Table1[[#This Row],[Winning Seed]]&amp; " over " &amp;Table1[[#This Row],[Losing Seed]],"")</f>
        <v/>
      </c>
      <c r="Q2189">
        <f>VLOOKUP(Table1[[#This Row],[Losing Seed]],'Seed History'!$N$4:$O$19,2)</f>
        <v>6.9444444444444441E-3</v>
      </c>
      <c r="R2189" s="1">
        <f>IF(Table1[[#This Row],[Round]]="PI",0,Table1[[#This Row],[Round]]-1)</f>
        <v>0</v>
      </c>
      <c r="S2189">
        <f>Table1[[#This Row],[LAW]]-Table1[[#This Row],[LEW]]</f>
        <v>-6.9444444444444441E-3</v>
      </c>
    </row>
    <row r="2190" spans="1:19" x14ac:dyDescent="0.25">
      <c r="A2190" s="66">
        <v>43545</v>
      </c>
      <c r="B2190" s="51">
        <f>YEAR(Table1[[#This Row],[Date]])</f>
        <v>2019</v>
      </c>
      <c r="C2190" s="1">
        <v>1</v>
      </c>
      <c r="D2190" t="s">
        <v>512</v>
      </c>
      <c r="E2190" s="1">
        <v>1</v>
      </c>
      <c r="F2190" t="s">
        <v>71</v>
      </c>
      <c r="G2190" t="str">
        <f>VLOOKUP(Table1[[#This Row],[Winner]],Ranking!C:D,2,FALSE)</f>
        <v>WCC</v>
      </c>
      <c r="H2190" s="1">
        <v>87</v>
      </c>
      <c r="I2190" s="1">
        <v>13</v>
      </c>
      <c r="J2190" t="s">
        <v>201</v>
      </c>
      <c r="K2190" t="str">
        <f>VLOOKUP(Table1[[#This Row],[Loser]],Ranking!C:D,2,FALSE)</f>
        <v>NEC</v>
      </c>
      <c r="L2190" s="1">
        <v>49</v>
      </c>
      <c r="N2190" s="1">
        <f>Table1[[#This Row],[Winning Score]]-Table1[[#This Row],[Losing Score]]</f>
        <v>38</v>
      </c>
      <c r="O2190" s="1">
        <f>Table1[[#This Row],[Losing Seed]]-Table1[[#This Row],[Winning Seed]]</f>
        <v>12</v>
      </c>
      <c r="P2190" s="1" t="str">
        <f>IF(Table1[[#This Row],[SeD]]&lt;-2,Table1[[#This Row],[Winning Seed]]&amp; " over " &amp;Table1[[#This Row],[Losing Seed]],"")</f>
        <v/>
      </c>
      <c r="Q2190">
        <f>VLOOKUP(Table1[[#This Row],[Losing Seed]],'Seed History'!$N$4:$O$19,2)</f>
        <v>0.25694444444444442</v>
      </c>
      <c r="R2190" s="1">
        <f>IF(Table1[[#This Row],[Round]]="PI",0,Table1[[#This Row],[Round]]-1)</f>
        <v>0</v>
      </c>
      <c r="S2190">
        <f>Table1[[#This Row],[LAW]]-Table1[[#This Row],[LEW]]</f>
        <v>-0.25694444444444442</v>
      </c>
    </row>
    <row r="2191" spans="1:19" x14ac:dyDescent="0.25">
      <c r="A2191" s="66">
        <v>43545</v>
      </c>
      <c r="B2191" s="51">
        <f>YEAR(Table1[[#This Row],[Date]])</f>
        <v>2019</v>
      </c>
      <c r="C2191" s="1">
        <v>1</v>
      </c>
      <c r="D2191" t="s">
        <v>512</v>
      </c>
      <c r="E2191" s="1">
        <v>9</v>
      </c>
      <c r="F2191" t="s">
        <v>46</v>
      </c>
      <c r="G2191" t="str">
        <f>VLOOKUP(Table1[[#This Row],[Winner]],Ranking!C:D,2,FALSE)</f>
        <v>B12</v>
      </c>
      <c r="H2191" s="1">
        <v>78</v>
      </c>
      <c r="I2191" s="1">
        <v>8</v>
      </c>
      <c r="J2191" t="s">
        <v>86</v>
      </c>
      <c r="K2191" t="str">
        <f>VLOOKUP(Table1[[#This Row],[Loser]],Ranking!C:D,2,FALSE)</f>
        <v>ACC</v>
      </c>
      <c r="L2191" s="1">
        <v>69</v>
      </c>
      <c r="N2191" s="1">
        <f>Table1[[#This Row],[Winning Score]]-Table1[[#This Row],[Losing Score]]</f>
        <v>9</v>
      </c>
      <c r="O2191" s="1">
        <f>Table1[[#This Row],[Losing Seed]]-Table1[[#This Row],[Winning Seed]]</f>
        <v>-1</v>
      </c>
      <c r="P2191" s="1" t="str">
        <f>IF(Table1[[#This Row],[SeD]]&lt;-2,Table1[[#This Row],[Winning Seed]]&amp; " over " &amp;Table1[[#This Row],[Losing Seed]],"")</f>
        <v/>
      </c>
      <c r="Q2191">
        <f>VLOOKUP(Table1[[#This Row],[Losing Seed]],'Seed History'!$N$4:$O$19,2)</f>
        <v>0.70833333333333337</v>
      </c>
      <c r="R2191" s="1">
        <f>IF(Table1[[#This Row],[Round]]="PI",0,Table1[[#This Row],[Round]]-1)</f>
        <v>0</v>
      </c>
      <c r="S2191">
        <f>Table1[[#This Row],[LAW]]-Table1[[#This Row],[LEW]]</f>
        <v>-0.70833333333333337</v>
      </c>
    </row>
    <row r="2192" spans="1:19" x14ac:dyDescent="0.25">
      <c r="A2192" s="66">
        <v>43545</v>
      </c>
      <c r="B2192" s="51">
        <f>YEAR(Table1[[#This Row],[Date]])</f>
        <v>2019</v>
      </c>
      <c r="C2192" s="1">
        <v>1</v>
      </c>
      <c r="D2192" t="s">
        <v>512</v>
      </c>
      <c r="E2192" s="1">
        <v>4</v>
      </c>
      <c r="F2192" t="s">
        <v>207</v>
      </c>
      <c r="G2192" t="str">
        <f>VLOOKUP(Table1[[#This Row],[Winner]],Ranking!C:D,2,FALSE)</f>
        <v>ACC</v>
      </c>
      <c r="H2192" s="1">
        <v>76</v>
      </c>
      <c r="I2192" s="1">
        <v>13</v>
      </c>
      <c r="J2192" t="s">
        <v>404</v>
      </c>
      <c r="K2192" t="str">
        <f>VLOOKUP(Table1[[#This Row],[Loser]],Ranking!C:D,2,FALSE)</f>
        <v>AE</v>
      </c>
      <c r="L2192" s="1">
        <v>69</v>
      </c>
      <c r="N2192" s="1">
        <f>Table1[[#This Row],[Winning Score]]-Table1[[#This Row],[Losing Score]]</f>
        <v>7</v>
      </c>
      <c r="O2192" s="1">
        <f>Table1[[#This Row],[Losing Seed]]-Table1[[#This Row],[Winning Seed]]</f>
        <v>9</v>
      </c>
      <c r="P2192" s="1" t="str">
        <f>IF(Table1[[#This Row],[SeD]]&lt;-2,Table1[[#This Row],[Winning Seed]]&amp; " over " &amp;Table1[[#This Row],[Losing Seed]],"")</f>
        <v/>
      </c>
      <c r="Q2192">
        <f>VLOOKUP(Table1[[#This Row],[Losing Seed]],'Seed History'!$N$4:$O$19,2)</f>
        <v>0.25694444444444442</v>
      </c>
      <c r="R2192" s="1">
        <f>IF(Table1[[#This Row],[Round]]="PI",0,Table1[[#This Row],[Round]]-1)</f>
        <v>0</v>
      </c>
      <c r="S2192">
        <f>Table1[[#This Row],[LAW]]-Table1[[#This Row],[LEW]]</f>
        <v>-0.25694444444444442</v>
      </c>
    </row>
    <row r="2193" spans="1:19" x14ac:dyDescent="0.25">
      <c r="A2193" s="66">
        <v>43545</v>
      </c>
      <c r="B2193" s="51">
        <f>YEAR(Table1[[#This Row],[Date]])</f>
        <v>2019</v>
      </c>
      <c r="C2193" s="1">
        <v>1</v>
      </c>
      <c r="D2193" t="s">
        <v>512</v>
      </c>
      <c r="E2193" s="1">
        <v>12</v>
      </c>
      <c r="F2193" t="s">
        <v>285</v>
      </c>
      <c r="G2193" t="str">
        <f>VLOOKUP(Table1[[#This Row],[Winner]],Ranking!C:D,2,FALSE)</f>
        <v>OVC</v>
      </c>
      <c r="H2193" s="1">
        <v>83</v>
      </c>
      <c r="I2193" s="1">
        <v>5</v>
      </c>
      <c r="J2193" t="s">
        <v>262</v>
      </c>
      <c r="K2193" t="str">
        <f>VLOOKUP(Table1[[#This Row],[Loser]],Ranking!C:D,2,FALSE)</f>
        <v>BE</v>
      </c>
      <c r="L2193" s="1">
        <v>64</v>
      </c>
      <c r="N2193" s="1">
        <f>Table1[[#This Row],[Winning Score]]-Table1[[#This Row],[Losing Score]]</f>
        <v>19</v>
      </c>
      <c r="O2193" s="1">
        <f>Table1[[#This Row],[Losing Seed]]-Table1[[#This Row],[Winning Seed]]</f>
        <v>-7</v>
      </c>
      <c r="P2193" s="1" t="str">
        <f>IF(Table1[[#This Row],[SeD]]&lt;-2,Table1[[#This Row],[Winning Seed]]&amp; " over " &amp;Table1[[#This Row],[Losing Seed]],"")</f>
        <v>12 over 5</v>
      </c>
      <c r="Q2193">
        <f>VLOOKUP(Table1[[#This Row],[Losing Seed]],'Seed History'!$N$4:$O$19,2)</f>
        <v>1.1180555555555556</v>
      </c>
      <c r="R2193" s="1">
        <f>IF(Table1[[#This Row],[Round]]="PI",0,Table1[[#This Row],[Round]]-1)</f>
        <v>0</v>
      </c>
      <c r="S2193">
        <f>Table1[[#This Row],[LAW]]-Table1[[#This Row],[LEW]]</f>
        <v>-1.1180555555555556</v>
      </c>
    </row>
    <row r="2194" spans="1:19" x14ac:dyDescent="0.25">
      <c r="A2194" s="66">
        <v>43545</v>
      </c>
      <c r="B2194" s="51">
        <f>YEAR(Table1[[#This Row],[Date]])</f>
        <v>2019</v>
      </c>
      <c r="C2194" s="1">
        <v>1</v>
      </c>
      <c r="D2194" t="s">
        <v>512</v>
      </c>
      <c r="E2194" s="1">
        <v>6</v>
      </c>
      <c r="F2194" t="s">
        <v>30</v>
      </c>
      <c r="G2194" t="str">
        <f>VLOOKUP(Table1[[#This Row],[Winner]],Ranking!C:D,2,FALSE)</f>
        <v>MAC</v>
      </c>
      <c r="H2194" s="1">
        <v>91</v>
      </c>
      <c r="I2194" s="1">
        <v>11</v>
      </c>
      <c r="J2194" t="s">
        <v>125</v>
      </c>
      <c r="K2194" t="str">
        <f>VLOOKUP(Table1[[#This Row],[Loser]],Ranking!C:D,2,FALSE)</f>
        <v>P12</v>
      </c>
      <c r="L2194" s="1">
        <v>74</v>
      </c>
      <c r="N2194" s="1">
        <f>Table1[[#This Row],[Winning Score]]-Table1[[#This Row],[Losing Score]]</f>
        <v>17</v>
      </c>
      <c r="O2194" s="1">
        <f>Table1[[#This Row],[Losing Seed]]-Table1[[#This Row],[Winning Seed]]</f>
        <v>5</v>
      </c>
      <c r="P2194" s="1" t="str">
        <f>IF(Table1[[#This Row],[SeD]]&lt;-2,Table1[[#This Row],[Winning Seed]]&amp; " over " &amp;Table1[[#This Row],[Losing Seed]],"")</f>
        <v/>
      </c>
      <c r="Q2194">
        <f>VLOOKUP(Table1[[#This Row],[Losing Seed]],'Seed History'!$N$4:$O$19,2)</f>
        <v>0.63194444444444442</v>
      </c>
      <c r="R2194" s="1">
        <f>IF(Table1[[#This Row],[Round]]="PI",0,Table1[[#This Row],[Round]]-1)</f>
        <v>0</v>
      </c>
      <c r="S2194">
        <f>Table1[[#This Row],[LAW]]-Table1[[#This Row],[LEW]]</f>
        <v>-0.63194444444444442</v>
      </c>
    </row>
    <row r="2195" spans="1:19" x14ac:dyDescent="0.25">
      <c r="A2195" s="66">
        <v>43545</v>
      </c>
      <c r="B2195" s="51">
        <f>YEAR(Table1[[#This Row],[Date]])</f>
        <v>2019</v>
      </c>
      <c r="C2195" s="1">
        <v>1</v>
      </c>
      <c r="D2195" t="s">
        <v>512</v>
      </c>
      <c r="E2195" s="1">
        <v>3</v>
      </c>
      <c r="F2195" t="s">
        <v>92</v>
      </c>
      <c r="G2195" t="str">
        <f>VLOOKUP(Table1[[#This Row],[Winner]],Ranking!C:D,2,FALSE)</f>
        <v>B12</v>
      </c>
      <c r="H2195" s="1">
        <v>72</v>
      </c>
      <c r="I2195" s="1">
        <v>14</v>
      </c>
      <c r="J2195" t="s">
        <v>311</v>
      </c>
      <c r="K2195" t="str">
        <f>VLOOKUP(Table1[[#This Row],[Loser]],Ranking!C:D,2,FALSE)</f>
        <v>Horz</v>
      </c>
      <c r="L2195" s="1">
        <v>57</v>
      </c>
      <c r="N2195" s="1">
        <f>Table1[[#This Row],[Winning Score]]-Table1[[#This Row],[Losing Score]]</f>
        <v>15</v>
      </c>
      <c r="O2195" s="1">
        <f>Table1[[#This Row],[Losing Seed]]-Table1[[#This Row],[Winning Seed]]</f>
        <v>11</v>
      </c>
      <c r="P2195" s="1" t="str">
        <f>IF(Table1[[#This Row],[SeD]]&lt;-2,Table1[[#This Row],[Winning Seed]]&amp; " over " &amp;Table1[[#This Row],[Losing Seed]],"")</f>
        <v/>
      </c>
      <c r="Q2195">
        <f>VLOOKUP(Table1[[#This Row],[Losing Seed]],'Seed History'!$N$4:$O$19,2)</f>
        <v>0.16666666666666666</v>
      </c>
      <c r="R2195" s="1">
        <f>IF(Table1[[#This Row],[Round]]="PI",0,Table1[[#This Row],[Round]]-1)</f>
        <v>0</v>
      </c>
      <c r="S2195">
        <f>Table1[[#This Row],[LAW]]-Table1[[#This Row],[LEW]]</f>
        <v>-0.16666666666666666</v>
      </c>
    </row>
    <row r="2196" spans="1:19" x14ac:dyDescent="0.25">
      <c r="A2196" s="66">
        <v>43545</v>
      </c>
      <c r="B2196" s="51">
        <f>YEAR(Table1[[#This Row],[Date]])</f>
        <v>2019</v>
      </c>
      <c r="C2196" s="1">
        <v>1</v>
      </c>
      <c r="D2196" t="s">
        <v>512</v>
      </c>
      <c r="E2196" s="1">
        <v>10</v>
      </c>
      <c r="F2196" t="s">
        <v>81</v>
      </c>
      <c r="G2196" t="str">
        <f>VLOOKUP(Table1[[#This Row],[Winner]],Ranking!C:D,2,FALSE)</f>
        <v>SEC</v>
      </c>
      <c r="H2196" s="1">
        <v>70</v>
      </c>
      <c r="I2196" s="1">
        <v>7</v>
      </c>
      <c r="J2196" t="s">
        <v>289</v>
      </c>
      <c r="K2196" t="str">
        <f>VLOOKUP(Table1[[#This Row],[Loser]],Ranking!C:D,2,FALSE)</f>
        <v>MWC</v>
      </c>
      <c r="L2196" s="1">
        <v>61</v>
      </c>
      <c r="N2196" s="1">
        <f>Table1[[#This Row],[Winning Score]]-Table1[[#This Row],[Losing Score]]</f>
        <v>9</v>
      </c>
      <c r="O2196" s="1">
        <f>Table1[[#This Row],[Losing Seed]]-Table1[[#This Row],[Winning Seed]]</f>
        <v>-3</v>
      </c>
      <c r="P2196" s="1" t="str">
        <f>IF(Table1[[#This Row],[SeD]]&lt;-2,Table1[[#This Row],[Winning Seed]]&amp; " over " &amp;Table1[[#This Row],[Losing Seed]],"")</f>
        <v>10 over 7</v>
      </c>
      <c r="Q2196">
        <f>VLOOKUP(Table1[[#This Row],[Losing Seed]],'Seed History'!$N$4:$O$19,2)</f>
        <v>0.90277777777777779</v>
      </c>
      <c r="R2196" s="1">
        <f>IF(Table1[[#This Row],[Round]]="PI",0,Table1[[#This Row],[Round]]-1)</f>
        <v>0</v>
      </c>
      <c r="S2196">
        <f>Table1[[#This Row],[LAW]]-Table1[[#This Row],[LEW]]</f>
        <v>-0.90277777777777779</v>
      </c>
    </row>
    <row r="2197" spans="1:19" x14ac:dyDescent="0.25">
      <c r="A2197" s="66">
        <v>43545</v>
      </c>
      <c r="B2197" s="51">
        <f>YEAR(Table1[[#This Row],[Date]])</f>
        <v>2019</v>
      </c>
      <c r="C2197" s="1">
        <v>1</v>
      </c>
      <c r="D2197" t="s">
        <v>512</v>
      </c>
      <c r="E2197" s="1">
        <v>2</v>
      </c>
      <c r="F2197" t="s">
        <v>82</v>
      </c>
      <c r="G2197" t="str">
        <f>VLOOKUP(Table1[[#This Row],[Winner]],Ranking!C:D,2,FALSE)</f>
        <v>B10</v>
      </c>
      <c r="H2197" s="1">
        <v>74</v>
      </c>
      <c r="I2197" s="1">
        <v>15</v>
      </c>
      <c r="J2197" t="s">
        <v>280</v>
      </c>
      <c r="K2197" t="str">
        <f>VLOOKUP(Table1[[#This Row],[Loser]],Ranking!C:D,2,FALSE)</f>
        <v>BSky</v>
      </c>
      <c r="L2197" s="1">
        <v>55</v>
      </c>
      <c r="N2197" s="1">
        <f>Table1[[#This Row],[Winning Score]]-Table1[[#This Row],[Losing Score]]</f>
        <v>19</v>
      </c>
      <c r="O2197" s="1">
        <f>Table1[[#This Row],[Losing Seed]]-Table1[[#This Row],[Winning Seed]]</f>
        <v>13</v>
      </c>
      <c r="P2197" s="1" t="str">
        <f>IF(Table1[[#This Row],[SeD]]&lt;-2,Table1[[#This Row],[Winning Seed]]&amp; " over " &amp;Table1[[#This Row],[Losing Seed]],"")</f>
        <v/>
      </c>
      <c r="Q2197">
        <f>VLOOKUP(Table1[[#This Row],[Losing Seed]],'Seed History'!$N$4:$O$19,2)</f>
        <v>7.6388888888888895E-2</v>
      </c>
      <c r="R2197" s="1">
        <f>IF(Table1[[#This Row],[Round]]="PI",0,Table1[[#This Row],[Round]]-1)</f>
        <v>0</v>
      </c>
      <c r="S2197">
        <f>Table1[[#This Row],[LAW]]-Table1[[#This Row],[LEW]]</f>
        <v>-7.6388888888888895E-2</v>
      </c>
    </row>
    <row r="2198" spans="1:19" x14ac:dyDescent="0.25">
      <c r="A2198" s="66">
        <v>43546</v>
      </c>
      <c r="B2198" s="51">
        <f>YEAR(Table1[[#This Row],[Date]])</f>
        <v>2019</v>
      </c>
      <c r="C2198" s="1">
        <v>1</v>
      </c>
      <c r="D2198" t="s">
        <v>510</v>
      </c>
      <c r="E2198" s="1">
        <v>1</v>
      </c>
      <c r="F2198" t="s">
        <v>64</v>
      </c>
      <c r="G2198" t="str">
        <f>VLOOKUP(Table1[[#This Row],[Winner]],Ranking!C:D,2,FALSE)</f>
        <v>ACC</v>
      </c>
      <c r="H2198" s="1">
        <v>85</v>
      </c>
      <c r="I2198" s="1">
        <v>16</v>
      </c>
      <c r="J2198" t="s">
        <v>303</v>
      </c>
      <c r="K2198" t="str">
        <f>VLOOKUP(Table1[[#This Row],[Loser]],Ranking!C:D,2,FALSE)</f>
        <v>Sum</v>
      </c>
      <c r="L2198" s="1">
        <v>62</v>
      </c>
      <c r="N2198" s="1">
        <f>Table1[[#This Row],[Winning Score]]-Table1[[#This Row],[Losing Score]]</f>
        <v>23</v>
      </c>
      <c r="O2198" s="1">
        <f>Table1[[#This Row],[Losing Seed]]-Table1[[#This Row],[Winning Seed]]</f>
        <v>15</v>
      </c>
      <c r="P2198" s="1" t="str">
        <f>IF(Table1[[#This Row],[SeD]]&lt;-2,Table1[[#This Row],[Winning Seed]]&amp; " over " &amp;Table1[[#This Row],[Losing Seed]],"")</f>
        <v/>
      </c>
      <c r="Q2198">
        <f>VLOOKUP(Table1[[#This Row],[Losing Seed]],'Seed History'!$N$4:$O$19,2)</f>
        <v>6.9444444444444441E-3</v>
      </c>
      <c r="R2198" s="1">
        <f>IF(Table1[[#This Row],[Round]]="PI",0,Table1[[#This Row],[Round]]-1)</f>
        <v>0</v>
      </c>
      <c r="S2198">
        <f>Table1[[#This Row],[LAW]]-Table1[[#This Row],[LEW]]</f>
        <v>-6.9444444444444441E-3</v>
      </c>
    </row>
    <row r="2199" spans="1:19" x14ac:dyDescent="0.25">
      <c r="A2199" s="66">
        <v>43545</v>
      </c>
      <c r="B2199" s="51">
        <f>YEAR(Table1[[#This Row],[Date]])</f>
        <v>2019</v>
      </c>
      <c r="C2199" s="1">
        <v>1</v>
      </c>
      <c r="D2199" t="s">
        <v>510</v>
      </c>
      <c r="E2199" s="1">
        <v>9</v>
      </c>
      <c r="F2199" t="s">
        <v>389</v>
      </c>
      <c r="G2199" t="str">
        <f>VLOOKUP(Table1[[#This Row],[Winner]],Ranking!C:D,2,FALSE)</f>
        <v>Amer</v>
      </c>
      <c r="H2199" s="1">
        <v>73</v>
      </c>
      <c r="I2199" s="1">
        <v>8</v>
      </c>
      <c r="J2199" t="s">
        <v>47</v>
      </c>
      <c r="K2199" t="str">
        <f>VLOOKUP(Table1[[#This Row],[Loser]],Ranking!C:D,2,FALSE)</f>
        <v>A10</v>
      </c>
      <c r="L2199" s="1">
        <v>58</v>
      </c>
      <c r="N2199" s="1">
        <f>Table1[[#This Row],[Winning Score]]-Table1[[#This Row],[Losing Score]]</f>
        <v>15</v>
      </c>
      <c r="O2199" s="1">
        <f>Table1[[#This Row],[Losing Seed]]-Table1[[#This Row],[Winning Seed]]</f>
        <v>-1</v>
      </c>
      <c r="P2199" s="1" t="str">
        <f>IF(Table1[[#This Row],[SeD]]&lt;-2,Table1[[#This Row],[Winning Seed]]&amp; " over " &amp;Table1[[#This Row],[Losing Seed]],"")</f>
        <v/>
      </c>
      <c r="Q2199">
        <f>VLOOKUP(Table1[[#This Row],[Losing Seed]],'Seed History'!$N$4:$O$19,2)</f>
        <v>0.70833333333333337</v>
      </c>
      <c r="R2199" s="1">
        <f>IF(Table1[[#This Row],[Round]]="PI",0,Table1[[#This Row],[Round]]-1)</f>
        <v>0</v>
      </c>
      <c r="S2199">
        <f>Table1[[#This Row],[LAW]]-Table1[[#This Row],[LEW]]</f>
        <v>-0.70833333333333337</v>
      </c>
    </row>
    <row r="2200" spans="1:19" x14ac:dyDescent="0.25">
      <c r="A2200" s="66">
        <v>43545</v>
      </c>
      <c r="B2200" s="51">
        <f>YEAR(Table1[[#This Row],[Date]])</f>
        <v>2019</v>
      </c>
      <c r="C2200" s="1">
        <v>1</v>
      </c>
      <c r="D2200" t="s">
        <v>510</v>
      </c>
      <c r="E2200" s="1">
        <v>12</v>
      </c>
      <c r="F2200" t="s">
        <v>249</v>
      </c>
      <c r="G2200" t="str">
        <f>VLOOKUP(Table1[[#This Row],[Winner]],Ranking!C:D,2,FALSE)</f>
        <v>ASun</v>
      </c>
      <c r="H2200" s="1">
        <v>80</v>
      </c>
      <c r="I2200" s="1">
        <v>5</v>
      </c>
      <c r="J2200" t="s">
        <v>275</v>
      </c>
      <c r="K2200" t="str">
        <f>VLOOKUP(Table1[[#This Row],[Loser]],Ranking!C:D,2,FALSE)</f>
        <v>SEC</v>
      </c>
      <c r="L2200" s="1">
        <v>76</v>
      </c>
      <c r="N2200" s="1">
        <f>Table1[[#This Row],[Winning Score]]-Table1[[#This Row],[Losing Score]]</f>
        <v>4</v>
      </c>
      <c r="O2200" s="1">
        <f>Table1[[#This Row],[Losing Seed]]-Table1[[#This Row],[Winning Seed]]</f>
        <v>-7</v>
      </c>
      <c r="P2200" s="1" t="str">
        <f>IF(Table1[[#This Row],[SeD]]&lt;-2,Table1[[#This Row],[Winning Seed]]&amp; " over " &amp;Table1[[#This Row],[Losing Seed]],"")</f>
        <v>12 over 5</v>
      </c>
      <c r="Q2200">
        <f>VLOOKUP(Table1[[#This Row],[Losing Seed]],'Seed History'!$N$4:$O$19,2)</f>
        <v>1.1180555555555556</v>
      </c>
      <c r="R2200" s="1">
        <f>IF(Table1[[#This Row],[Round]]="PI",0,Table1[[#This Row],[Round]]-1)</f>
        <v>0</v>
      </c>
      <c r="S2200">
        <f>Table1[[#This Row],[LAW]]-Table1[[#This Row],[LEW]]</f>
        <v>-1.1180555555555556</v>
      </c>
    </row>
    <row r="2201" spans="1:19" x14ac:dyDescent="0.25">
      <c r="A2201" s="66">
        <v>43545</v>
      </c>
      <c r="B2201" s="51">
        <f>YEAR(Table1[[#This Row],[Date]])</f>
        <v>2019</v>
      </c>
      <c r="C2201" s="1">
        <v>1</v>
      </c>
      <c r="D2201" t="s">
        <v>510</v>
      </c>
      <c r="E2201" s="1">
        <v>4</v>
      </c>
      <c r="F2201" t="s">
        <v>405</v>
      </c>
      <c r="G2201" t="str">
        <f>VLOOKUP(Table1[[#This Row],[Winner]],Ranking!C:D,2,FALSE)</f>
        <v>ACC</v>
      </c>
      <c r="H2201" s="1">
        <v>66</v>
      </c>
      <c r="I2201" s="1">
        <v>13</v>
      </c>
      <c r="J2201" t="s">
        <v>338</v>
      </c>
      <c r="K2201" t="str">
        <f>VLOOKUP(Table1[[#This Row],[Loser]],Ranking!C:D,2,FALSE)</f>
        <v>A10</v>
      </c>
      <c r="L2201" s="1">
        <v>52</v>
      </c>
      <c r="N2201" s="1">
        <f>Table1[[#This Row],[Winning Score]]-Table1[[#This Row],[Losing Score]]</f>
        <v>14</v>
      </c>
      <c r="O2201" s="1">
        <f>Table1[[#This Row],[Losing Seed]]-Table1[[#This Row],[Winning Seed]]</f>
        <v>9</v>
      </c>
      <c r="P2201" s="1" t="str">
        <f>IF(Table1[[#This Row],[SeD]]&lt;-2,Table1[[#This Row],[Winning Seed]]&amp; " over " &amp;Table1[[#This Row],[Losing Seed]],"")</f>
        <v/>
      </c>
      <c r="Q2201">
        <f>VLOOKUP(Table1[[#This Row],[Losing Seed]],'Seed History'!$N$4:$O$19,2)</f>
        <v>0.25694444444444442</v>
      </c>
      <c r="R2201" s="1">
        <f>IF(Table1[[#This Row],[Round]]="PI",0,Table1[[#This Row],[Round]]-1)</f>
        <v>0</v>
      </c>
      <c r="S2201">
        <f>Table1[[#This Row],[LAW]]-Table1[[#This Row],[LEW]]</f>
        <v>-0.25694444444444442</v>
      </c>
    </row>
    <row r="2202" spans="1:19" x14ac:dyDescent="0.25">
      <c r="A2202" s="66">
        <v>43545</v>
      </c>
      <c r="B2202" s="51">
        <f>YEAR(Table1[[#This Row],[Date]])</f>
        <v>2019</v>
      </c>
      <c r="C2202" s="1">
        <v>1</v>
      </c>
      <c r="D2202" t="s">
        <v>510</v>
      </c>
      <c r="E2202" s="1">
        <v>6</v>
      </c>
      <c r="F2202" t="s">
        <v>31</v>
      </c>
      <c r="G2202" t="str">
        <f>VLOOKUP(Table1[[#This Row],[Winner]],Ranking!C:D,2,FALSE)</f>
        <v>B10</v>
      </c>
      <c r="H2202" s="1">
        <v>79</v>
      </c>
      <c r="I2202" s="1">
        <v>11</v>
      </c>
      <c r="J2202" t="s">
        <v>62</v>
      </c>
      <c r="K2202" t="str">
        <f>VLOOKUP(Table1[[#This Row],[Loser]],Ranking!C:D,2,FALSE)</f>
        <v>OVC</v>
      </c>
      <c r="L2202" s="1">
        <v>77</v>
      </c>
      <c r="N2202" s="1">
        <f>Table1[[#This Row],[Winning Score]]-Table1[[#This Row],[Losing Score]]</f>
        <v>2</v>
      </c>
      <c r="O2202" s="1">
        <f>Table1[[#This Row],[Losing Seed]]-Table1[[#This Row],[Winning Seed]]</f>
        <v>5</v>
      </c>
      <c r="P2202" s="1" t="str">
        <f>IF(Table1[[#This Row],[SeD]]&lt;-2,Table1[[#This Row],[Winning Seed]]&amp; " over " &amp;Table1[[#This Row],[Losing Seed]],"")</f>
        <v/>
      </c>
      <c r="Q2202">
        <f>VLOOKUP(Table1[[#This Row],[Losing Seed]],'Seed History'!$N$4:$O$19,2)</f>
        <v>0.63194444444444442</v>
      </c>
      <c r="R2202" s="1">
        <f>IF(Table1[[#This Row],[Round]]="PI",0,Table1[[#This Row],[Round]]-1)</f>
        <v>0</v>
      </c>
      <c r="S2202">
        <f>Table1[[#This Row],[LAW]]-Table1[[#This Row],[LEW]]</f>
        <v>-0.63194444444444442</v>
      </c>
    </row>
    <row r="2203" spans="1:19" x14ac:dyDescent="0.25">
      <c r="A2203" s="66">
        <v>43545</v>
      </c>
      <c r="B2203" s="51">
        <f>YEAR(Table1[[#This Row],[Date]])</f>
        <v>2019</v>
      </c>
      <c r="C2203" s="1">
        <v>1</v>
      </c>
      <c r="D2203" t="s">
        <v>510</v>
      </c>
      <c r="E2203" s="1">
        <v>3</v>
      </c>
      <c r="F2203" t="s">
        <v>52</v>
      </c>
      <c r="G2203" t="str">
        <f>VLOOKUP(Table1[[#This Row],[Winner]],Ranking!C:D,2,FALSE)</f>
        <v>SEC</v>
      </c>
      <c r="H2203" s="1">
        <v>79</v>
      </c>
      <c r="I2203" s="1">
        <v>14</v>
      </c>
      <c r="J2203" t="s">
        <v>93</v>
      </c>
      <c r="K2203" t="str">
        <f>VLOOKUP(Table1[[#This Row],[Loser]],Ranking!C:D,2,FALSE)</f>
        <v>Ivy</v>
      </c>
      <c r="L2203" s="1">
        <v>74</v>
      </c>
      <c r="N2203" s="1">
        <f>Table1[[#This Row],[Winning Score]]-Table1[[#This Row],[Losing Score]]</f>
        <v>5</v>
      </c>
      <c r="O2203" s="1">
        <f>Table1[[#This Row],[Losing Seed]]-Table1[[#This Row],[Winning Seed]]</f>
        <v>11</v>
      </c>
      <c r="P2203" s="1" t="str">
        <f>IF(Table1[[#This Row],[SeD]]&lt;-2,Table1[[#This Row],[Winning Seed]]&amp; " over " &amp;Table1[[#This Row],[Losing Seed]],"")</f>
        <v/>
      </c>
      <c r="Q2203">
        <f>VLOOKUP(Table1[[#This Row],[Losing Seed]],'Seed History'!$N$4:$O$19,2)</f>
        <v>0.16666666666666666</v>
      </c>
      <c r="R2203" s="1">
        <f>IF(Table1[[#This Row],[Round]]="PI",0,Table1[[#This Row],[Round]]-1)</f>
        <v>0</v>
      </c>
      <c r="S2203">
        <f>Table1[[#This Row],[LAW]]-Table1[[#This Row],[LEW]]</f>
        <v>-0.16666666666666666</v>
      </c>
    </row>
    <row r="2204" spans="1:19" x14ac:dyDescent="0.25">
      <c r="A2204" s="66">
        <v>43545</v>
      </c>
      <c r="B2204" s="51">
        <f>YEAR(Table1[[#This Row],[Date]])</f>
        <v>2019</v>
      </c>
      <c r="C2204" s="1">
        <v>1</v>
      </c>
      <c r="D2204" t="s">
        <v>510</v>
      </c>
      <c r="E2204" s="1">
        <v>10</v>
      </c>
      <c r="F2204" t="s">
        <v>274</v>
      </c>
      <c r="G2204" t="str">
        <f>VLOOKUP(Table1[[#This Row],[Winner]],Ranking!C:D,2,FALSE)</f>
        <v>B10</v>
      </c>
      <c r="H2204" s="1">
        <v>86</v>
      </c>
      <c r="I2204" s="1">
        <v>7</v>
      </c>
      <c r="J2204" t="s">
        <v>54</v>
      </c>
      <c r="K2204" t="str">
        <f>VLOOKUP(Table1[[#This Row],[Loser]],Ranking!C:D,2,FALSE)</f>
        <v>ACC</v>
      </c>
      <c r="L2204" s="1">
        <v>76</v>
      </c>
      <c r="N2204" s="1">
        <f>Table1[[#This Row],[Winning Score]]-Table1[[#This Row],[Losing Score]]</f>
        <v>10</v>
      </c>
      <c r="O2204" s="1">
        <f>Table1[[#This Row],[Losing Seed]]-Table1[[#This Row],[Winning Seed]]</f>
        <v>-3</v>
      </c>
      <c r="P2204" s="1" t="str">
        <f>IF(Table1[[#This Row],[SeD]]&lt;-2,Table1[[#This Row],[Winning Seed]]&amp; " over " &amp;Table1[[#This Row],[Losing Seed]],"")</f>
        <v>10 over 7</v>
      </c>
      <c r="Q2204">
        <f>VLOOKUP(Table1[[#This Row],[Losing Seed]],'Seed History'!$N$4:$O$19,2)</f>
        <v>0.90277777777777779</v>
      </c>
      <c r="R2204" s="1">
        <f>IF(Table1[[#This Row],[Round]]="PI",0,Table1[[#This Row],[Round]]-1)</f>
        <v>0</v>
      </c>
      <c r="S2204">
        <f>Table1[[#This Row],[LAW]]-Table1[[#This Row],[LEW]]</f>
        <v>-0.90277777777777779</v>
      </c>
    </row>
    <row r="2205" spans="1:19" x14ac:dyDescent="0.25">
      <c r="A2205" s="66">
        <v>43545</v>
      </c>
      <c r="B2205" s="51">
        <f>YEAR(Table1[[#This Row],[Date]])</f>
        <v>2019</v>
      </c>
      <c r="C2205" s="1">
        <v>1</v>
      </c>
      <c r="D2205" t="s">
        <v>510</v>
      </c>
      <c r="E2205" s="1">
        <v>2</v>
      </c>
      <c r="F2205" t="s">
        <v>271</v>
      </c>
      <c r="G2205" t="str">
        <f>VLOOKUP(Table1[[#This Row],[Winner]],Ranking!C:D,2,FALSE)</f>
        <v>B10</v>
      </c>
      <c r="H2205" s="1">
        <v>76</v>
      </c>
      <c r="I2205" s="1">
        <v>15</v>
      </c>
      <c r="J2205" t="s">
        <v>142</v>
      </c>
      <c r="K2205" t="str">
        <f>VLOOKUP(Table1[[#This Row],[Loser]],Ranking!C:D,2,FALSE)</f>
        <v>MVC</v>
      </c>
      <c r="L2205" s="1">
        <v>65</v>
      </c>
      <c r="N2205" s="1">
        <f>Table1[[#This Row],[Winning Score]]-Table1[[#This Row],[Losing Score]]</f>
        <v>11</v>
      </c>
      <c r="O2205" s="1">
        <f>Table1[[#This Row],[Losing Seed]]-Table1[[#This Row],[Winning Seed]]</f>
        <v>13</v>
      </c>
      <c r="P2205" s="1" t="str">
        <f>IF(Table1[[#This Row],[SeD]]&lt;-2,Table1[[#This Row],[Winning Seed]]&amp; " over " &amp;Table1[[#This Row],[Losing Seed]],"")</f>
        <v/>
      </c>
      <c r="Q2205">
        <f>VLOOKUP(Table1[[#This Row],[Losing Seed]],'Seed History'!$N$4:$O$19,2)</f>
        <v>7.6388888888888895E-2</v>
      </c>
      <c r="R2205" s="1">
        <f>IF(Table1[[#This Row],[Round]]="PI",0,Table1[[#This Row],[Round]]-1)</f>
        <v>0</v>
      </c>
      <c r="S2205">
        <f>Table1[[#This Row],[LAW]]-Table1[[#This Row],[LEW]]</f>
        <v>-7.6388888888888895E-2</v>
      </c>
    </row>
    <row r="2206" spans="1:19" x14ac:dyDescent="0.25">
      <c r="A2206" s="66">
        <v>43545</v>
      </c>
      <c r="B2206" s="51">
        <f>YEAR(Table1[[#This Row],[Date]])</f>
        <v>2019</v>
      </c>
      <c r="C2206" s="87">
        <v>1</v>
      </c>
      <c r="D2206" t="s">
        <v>511</v>
      </c>
      <c r="E2206" s="87">
        <v>1</v>
      </c>
      <c r="F2206" t="s">
        <v>61</v>
      </c>
      <c r="G2206" s="88" t="str">
        <f>VLOOKUP(Table1[[#This Row],[Winner]],Ranking!C:D,2,FALSE)</f>
        <v>ACC</v>
      </c>
      <c r="H2206" s="87">
        <v>71</v>
      </c>
      <c r="I2206" s="87">
        <v>16</v>
      </c>
      <c r="J2206" t="s">
        <v>211</v>
      </c>
      <c r="K2206" s="88" t="str">
        <f>VLOOKUP(Table1[[#This Row],[Loser]],Ranking!C:D,2,FALSE)</f>
        <v>BSth</v>
      </c>
      <c r="L2206" s="87">
        <v>56</v>
      </c>
      <c r="M2206" s="87"/>
      <c r="N2206" s="89">
        <f>Table1[[#This Row],[Winning Score]]-Table1[[#This Row],[Losing Score]]</f>
        <v>15</v>
      </c>
      <c r="O2206" s="89">
        <f>Table1[[#This Row],[Losing Seed]]-Table1[[#This Row],[Winning Seed]]</f>
        <v>15</v>
      </c>
      <c r="P2206" s="89" t="str">
        <f>IF(Table1[[#This Row],[SeD]]&lt;-2,Table1[[#This Row],[Winning Seed]]&amp; " over " &amp;Table1[[#This Row],[Losing Seed]],"")</f>
        <v/>
      </c>
      <c r="Q2206" s="88">
        <f>VLOOKUP(Table1[[#This Row],[Losing Seed]],'Seed History'!$N$4:$O$19,2)</f>
        <v>6.9444444444444441E-3</v>
      </c>
      <c r="R2206" s="89">
        <f>IF(Table1[[#This Row],[Round]]="PI",0,Table1[[#This Row],[Round]]-1)</f>
        <v>0</v>
      </c>
      <c r="S2206" s="88">
        <f>Table1[[#This Row],[LAW]]-Table1[[#This Row],[LEW]]</f>
        <v>-6.9444444444444441E-3</v>
      </c>
    </row>
    <row r="2207" spans="1:19" x14ac:dyDescent="0.25">
      <c r="A2207" s="66">
        <v>43545</v>
      </c>
      <c r="B2207" s="51">
        <f>YEAR(Table1[[#This Row],[Date]])</f>
        <v>2019</v>
      </c>
      <c r="C2207" s="87">
        <v>1</v>
      </c>
      <c r="D2207" t="s">
        <v>511</v>
      </c>
      <c r="E2207" s="87">
        <v>9</v>
      </c>
      <c r="F2207" t="s">
        <v>58</v>
      </c>
      <c r="G2207" s="88" t="str">
        <f>VLOOKUP(Table1[[#This Row],[Winner]],Ranking!C:D,2,FALSE)</f>
        <v>B12</v>
      </c>
      <c r="H2207" s="87">
        <v>95</v>
      </c>
      <c r="I2207" s="87">
        <v>8</v>
      </c>
      <c r="J2207" t="s">
        <v>45</v>
      </c>
      <c r="K2207" s="88" t="str">
        <f>VLOOKUP(Table1[[#This Row],[Loser]],Ranking!C:D,2,FALSE)</f>
        <v>SEC</v>
      </c>
      <c r="L2207" s="87">
        <v>72</v>
      </c>
      <c r="M2207" s="87"/>
      <c r="N2207" s="89">
        <f>Table1[[#This Row],[Winning Score]]-Table1[[#This Row],[Losing Score]]</f>
        <v>23</v>
      </c>
      <c r="O2207" s="89">
        <f>Table1[[#This Row],[Losing Seed]]-Table1[[#This Row],[Winning Seed]]</f>
        <v>-1</v>
      </c>
      <c r="P2207" s="89" t="str">
        <f>IF(Table1[[#This Row],[SeD]]&lt;-2,Table1[[#This Row],[Winning Seed]]&amp; " over " &amp;Table1[[#This Row],[Losing Seed]],"")</f>
        <v/>
      </c>
      <c r="Q2207" s="88">
        <f>VLOOKUP(Table1[[#This Row],[Losing Seed]],'Seed History'!$N$4:$O$19,2)</f>
        <v>0.70833333333333337</v>
      </c>
      <c r="R2207" s="89">
        <f>IF(Table1[[#This Row],[Round]]="PI",0,Table1[[#This Row],[Round]]-1)</f>
        <v>0</v>
      </c>
      <c r="S2207" s="88">
        <f>Table1[[#This Row],[LAW]]-Table1[[#This Row],[LEW]]</f>
        <v>-0.70833333333333337</v>
      </c>
    </row>
    <row r="2208" spans="1:19" x14ac:dyDescent="0.25">
      <c r="A2208" s="66">
        <v>43545</v>
      </c>
      <c r="B2208" s="51">
        <f>YEAR(Table1[[#This Row],[Date]])</f>
        <v>2019</v>
      </c>
      <c r="C2208" s="87">
        <v>1</v>
      </c>
      <c r="D2208" t="s">
        <v>511</v>
      </c>
      <c r="E2208" s="87">
        <v>12</v>
      </c>
      <c r="F2208" t="s">
        <v>40</v>
      </c>
      <c r="G2208" s="88" t="str">
        <f>VLOOKUP(Table1[[#This Row],[Winner]],Ranking!C:D,2,FALSE)</f>
        <v>P12</v>
      </c>
      <c r="H2208" s="87">
        <v>72</v>
      </c>
      <c r="I2208" s="87">
        <v>5</v>
      </c>
      <c r="J2208" t="s">
        <v>39</v>
      </c>
      <c r="K2208" s="88" t="str">
        <f>VLOOKUP(Table1[[#This Row],[Loser]],Ranking!C:D,2,FALSE)</f>
        <v>B10</v>
      </c>
      <c r="L2208" s="87">
        <v>54</v>
      </c>
      <c r="M2208" s="87"/>
      <c r="N2208" s="89">
        <f>Table1[[#This Row],[Winning Score]]-Table1[[#This Row],[Losing Score]]</f>
        <v>18</v>
      </c>
      <c r="O2208" s="89">
        <f>Table1[[#This Row],[Losing Seed]]-Table1[[#This Row],[Winning Seed]]</f>
        <v>-7</v>
      </c>
      <c r="P2208" s="89" t="str">
        <f>IF(Table1[[#This Row],[SeD]]&lt;-2,Table1[[#This Row],[Winning Seed]]&amp; " over " &amp;Table1[[#This Row],[Losing Seed]],"")</f>
        <v>12 over 5</v>
      </c>
      <c r="Q2208" s="88">
        <f>VLOOKUP(Table1[[#This Row],[Losing Seed]],'Seed History'!$N$4:$O$19,2)</f>
        <v>1.1180555555555556</v>
      </c>
      <c r="R2208" s="89">
        <f>IF(Table1[[#This Row],[Round]]="PI",0,Table1[[#This Row],[Round]]-1)</f>
        <v>0</v>
      </c>
      <c r="S2208" s="88">
        <f>Table1[[#This Row],[LAW]]-Table1[[#This Row],[LEW]]</f>
        <v>-1.1180555555555556</v>
      </c>
    </row>
    <row r="2209" spans="1:19" x14ac:dyDescent="0.25">
      <c r="A2209" s="66">
        <v>43545</v>
      </c>
      <c r="B2209" s="51">
        <f>YEAR(Table1[[#This Row],[Date]])</f>
        <v>2019</v>
      </c>
      <c r="C2209" s="87">
        <v>1</v>
      </c>
      <c r="D2209" t="s">
        <v>511</v>
      </c>
      <c r="E2209" s="87">
        <v>13</v>
      </c>
      <c r="F2209" t="s">
        <v>55</v>
      </c>
      <c r="G2209" s="88" t="str">
        <f>VLOOKUP(Table1[[#This Row],[Winner]],Ranking!C:D,2,FALSE)</f>
        <v>BW</v>
      </c>
      <c r="H2209" s="87">
        <v>70</v>
      </c>
      <c r="I2209" s="87">
        <v>4</v>
      </c>
      <c r="J2209" t="s">
        <v>243</v>
      </c>
      <c r="K2209" s="88" t="str">
        <f>VLOOKUP(Table1[[#This Row],[Loser]],Ranking!C:D,2,FALSE)</f>
        <v>B12</v>
      </c>
      <c r="L2209" s="87">
        <v>64</v>
      </c>
      <c r="M2209" s="87"/>
      <c r="N2209" s="89">
        <f>Table1[[#This Row],[Winning Score]]-Table1[[#This Row],[Losing Score]]</f>
        <v>6</v>
      </c>
      <c r="O2209" s="89">
        <f>Table1[[#This Row],[Losing Seed]]-Table1[[#This Row],[Winning Seed]]</f>
        <v>-9</v>
      </c>
      <c r="P2209" s="89" t="str">
        <f>IF(Table1[[#This Row],[SeD]]&lt;-2,Table1[[#This Row],[Winning Seed]]&amp; " over " &amp;Table1[[#This Row],[Losing Seed]],"")</f>
        <v>13 over 4</v>
      </c>
      <c r="Q2209" s="88">
        <f>VLOOKUP(Table1[[#This Row],[Losing Seed]],'Seed History'!$N$4:$O$19,2)</f>
        <v>1.5208333333333333</v>
      </c>
      <c r="R2209" s="89">
        <f>IF(Table1[[#This Row],[Round]]="PI",0,Table1[[#This Row],[Round]]-1)</f>
        <v>0</v>
      </c>
      <c r="S2209" s="88">
        <f>Table1[[#This Row],[LAW]]-Table1[[#This Row],[LEW]]</f>
        <v>-1.5208333333333333</v>
      </c>
    </row>
    <row r="2210" spans="1:19" x14ac:dyDescent="0.25">
      <c r="A2210" s="66">
        <v>43545</v>
      </c>
      <c r="B2210" s="51">
        <f>YEAR(Table1[[#This Row],[Date]])</f>
        <v>2019</v>
      </c>
      <c r="C2210" s="87">
        <v>1</v>
      </c>
      <c r="D2210" t="s">
        <v>511</v>
      </c>
      <c r="E2210" s="87">
        <v>6</v>
      </c>
      <c r="F2210" t="s">
        <v>50</v>
      </c>
      <c r="G2210" s="88" t="str">
        <f>VLOOKUP(Table1[[#This Row],[Winner]],Ranking!C:D,2,FALSE)</f>
        <v>BE</v>
      </c>
      <c r="H2210" s="87">
        <v>61</v>
      </c>
      <c r="I2210" s="87">
        <v>11</v>
      </c>
      <c r="J2210" t="s">
        <v>339</v>
      </c>
      <c r="K2210" s="88" t="str">
        <f>VLOOKUP(Table1[[#This Row],[Loser]],Ranking!C:D,2,FALSE)</f>
        <v>WCC</v>
      </c>
      <c r="L2210" s="87">
        <v>57</v>
      </c>
      <c r="M2210" s="87"/>
      <c r="N2210" s="89">
        <f>Table1[[#This Row],[Winning Score]]-Table1[[#This Row],[Losing Score]]</f>
        <v>4</v>
      </c>
      <c r="O2210" s="89">
        <f>Table1[[#This Row],[Losing Seed]]-Table1[[#This Row],[Winning Seed]]</f>
        <v>5</v>
      </c>
      <c r="P2210" s="89" t="str">
        <f>IF(Table1[[#This Row],[SeD]]&lt;-2,Table1[[#This Row],[Winning Seed]]&amp; " over " &amp;Table1[[#This Row],[Losing Seed]],"")</f>
        <v/>
      </c>
      <c r="Q2210" s="88">
        <f>VLOOKUP(Table1[[#This Row],[Losing Seed]],'Seed History'!$N$4:$O$19,2)</f>
        <v>0.63194444444444442</v>
      </c>
      <c r="R2210" s="89">
        <f>IF(Table1[[#This Row],[Round]]="PI",0,Table1[[#This Row],[Round]]-1)</f>
        <v>0</v>
      </c>
      <c r="S2210" s="88">
        <f>Table1[[#This Row],[LAW]]-Table1[[#This Row],[LEW]]</f>
        <v>-0.63194444444444442</v>
      </c>
    </row>
    <row r="2211" spans="1:19" x14ac:dyDescent="0.25">
      <c r="A2211" s="66">
        <v>43545</v>
      </c>
      <c r="B2211" s="51">
        <f>YEAR(Table1[[#This Row],[Date]])</f>
        <v>2019</v>
      </c>
      <c r="C2211" s="87">
        <v>1</v>
      </c>
      <c r="D2211" t="s">
        <v>511</v>
      </c>
      <c r="E2211" s="87">
        <v>3</v>
      </c>
      <c r="F2211" t="s">
        <v>29</v>
      </c>
      <c r="G2211" s="88" t="str">
        <f>VLOOKUP(Table1[[#This Row],[Winner]],Ranking!C:D,2,FALSE)</f>
        <v>B10</v>
      </c>
      <c r="H2211" s="87">
        <v>61</v>
      </c>
      <c r="I2211" s="87">
        <v>14</v>
      </c>
      <c r="J2211" t="s">
        <v>317</v>
      </c>
      <c r="K2211" s="88" t="str">
        <f>VLOOKUP(Table1[[#This Row],[Loser]],Ranking!C:D,2,FALSE)</f>
        <v>CUSA</v>
      </c>
      <c r="L2211" s="87">
        <v>46</v>
      </c>
      <c r="M2211" s="87"/>
      <c r="N2211" s="89">
        <f>Table1[[#This Row],[Winning Score]]-Table1[[#This Row],[Losing Score]]</f>
        <v>15</v>
      </c>
      <c r="O2211" s="89">
        <f>Table1[[#This Row],[Losing Seed]]-Table1[[#This Row],[Winning Seed]]</f>
        <v>11</v>
      </c>
      <c r="P2211" s="89" t="str">
        <f>IF(Table1[[#This Row],[SeD]]&lt;-2,Table1[[#This Row],[Winning Seed]]&amp; " over " &amp;Table1[[#This Row],[Losing Seed]],"")</f>
        <v/>
      </c>
      <c r="Q2211" s="88">
        <f>VLOOKUP(Table1[[#This Row],[Losing Seed]],'Seed History'!$N$4:$O$19,2)</f>
        <v>0.16666666666666666</v>
      </c>
      <c r="R2211" s="89">
        <f>IF(Table1[[#This Row],[Round]]="PI",0,Table1[[#This Row],[Round]]-1)</f>
        <v>0</v>
      </c>
      <c r="S2211" s="88">
        <f>Table1[[#This Row],[LAW]]-Table1[[#This Row],[LEW]]</f>
        <v>-0.16666666666666666</v>
      </c>
    </row>
    <row r="2212" spans="1:19" x14ac:dyDescent="0.25">
      <c r="A2212" s="66">
        <v>43545</v>
      </c>
      <c r="B2212" s="51">
        <f>YEAR(Table1[[#This Row],[Date]])</f>
        <v>2019</v>
      </c>
      <c r="C2212" s="87">
        <v>1</v>
      </c>
      <c r="D2212" t="s">
        <v>511</v>
      </c>
      <c r="E2212" s="87">
        <v>10</v>
      </c>
      <c r="F2212" t="s">
        <v>69</v>
      </c>
      <c r="G2212" s="88" t="str">
        <f>VLOOKUP(Table1[[#This Row],[Winner]],Ranking!C:D,2,FALSE)</f>
        <v>B10</v>
      </c>
      <c r="H2212" s="87">
        <v>79</v>
      </c>
      <c r="I2212" s="87">
        <v>7</v>
      </c>
      <c r="J2212" t="s">
        <v>28</v>
      </c>
      <c r="K2212" s="88" t="str">
        <f>VLOOKUP(Table1[[#This Row],[Loser]],Ranking!C:D,2,FALSE)</f>
        <v>Amer</v>
      </c>
      <c r="L2212" s="87">
        <v>72</v>
      </c>
      <c r="M2212" s="87"/>
      <c r="N2212" s="89">
        <f>Table1[[#This Row],[Winning Score]]-Table1[[#This Row],[Losing Score]]</f>
        <v>7</v>
      </c>
      <c r="O2212" s="89">
        <f>Table1[[#This Row],[Losing Seed]]-Table1[[#This Row],[Winning Seed]]</f>
        <v>-3</v>
      </c>
      <c r="P2212" s="89" t="str">
        <f>IF(Table1[[#This Row],[SeD]]&lt;-2,Table1[[#This Row],[Winning Seed]]&amp; " over " &amp;Table1[[#This Row],[Losing Seed]],"")</f>
        <v>10 over 7</v>
      </c>
      <c r="Q2212" s="88">
        <f>VLOOKUP(Table1[[#This Row],[Losing Seed]],'Seed History'!$N$4:$O$19,2)</f>
        <v>0.90277777777777779</v>
      </c>
      <c r="R2212" s="89">
        <f>IF(Table1[[#This Row],[Round]]="PI",0,Table1[[#This Row],[Round]]-1)</f>
        <v>0</v>
      </c>
      <c r="S2212" s="88">
        <f>Table1[[#This Row],[LAW]]-Table1[[#This Row],[LEW]]</f>
        <v>-0.90277777777777779</v>
      </c>
    </row>
    <row r="2213" spans="1:19" x14ac:dyDescent="0.25">
      <c r="A2213" s="66">
        <v>43545</v>
      </c>
      <c r="B2213" s="51">
        <f>YEAR(Table1[[#This Row],[Date]])</f>
        <v>2019</v>
      </c>
      <c r="C2213" s="87">
        <v>1</v>
      </c>
      <c r="D2213" t="s">
        <v>511</v>
      </c>
      <c r="E2213" s="87">
        <v>2</v>
      </c>
      <c r="F2213" t="s">
        <v>374</v>
      </c>
      <c r="G2213" s="88" t="str">
        <f>VLOOKUP(Table1[[#This Row],[Winner]],Ranking!C:D,2,FALSE)</f>
        <v>SEC</v>
      </c>
      <c r="H2213" s="87">
        <v>77</v>
      </c>
      <c r="I2213" s="87">
        <v>15</v>
      </c>
      <c r="J2213" t="s">
        <v>174</v>
      </c>
      <c r="K2213" s="88" t="str">
        <f>VLOOKUP(Table1[[#This Row],[Loser]],Ranking!C:D,2,FALSE)</f>
        <v>Pat</v>
      </c>
      <c r="L2213" s="87">
        <v>70</v>
      </c>
      <c r="M2213" s="87"/>
      <c r="N2213" s="89">
        <f>Table1[[#This Row],[Winning Score]]-Table1[[#This Row],[Losing Score]]</f>
        <v>7</v>
      </c>
      <c r="O2213" s="89">
        <f>Table1[[#This Row],[Losing Seed]]-Table1[[#This Row],[Winning Seed]]</f>
        <v>13</v>
      </c>
      <c r="P2213" s="89" t="str">
        <f>IF(Table1[[#This Row],[SeD]]&lt;-2,Table1[[#This Row],[Winning Seed]]&amp; " over " &amp;Table1[[#This Row],[Losing Seed]],"")</f>
        <v/>
      </c>
      <c r="Q2213" s="88">
        <f>VLOOKUP(Table1[[#This Row],[Losing Seed]],'Seed History'!$N$4:$O$19,2)</f>
        <v>7.6388888888888895E-2</v>
      </c>
      <c r="R2213" s="89">
        <f>IF(Table1[[#This Row],[Round]]="PI",0,Table1[[#This Row],[Round]]-1)</f>
        <v>0</v>
      </c>
      <c r="S2213" s="88">
        <f>Table1[[#This Row],[LAW]]-Table1[[#This Row],[LEW]]</f>
        <v>-7.6388888888888895E-2</v>
      </c>
    </row>
    <row r="2214" spans="1:19" x14ac:dyDescent="0.25">
      <c r="A2214" s="66">
        <v>43545</v>
      </c>
      <c r="B2214" s="51">
        <f>YEAR(Table1[[#This Row],[Date]])</f>
        <v>2019</v>
      </c>
      <c r="C2214" s="87">
        <v>1</v>
      </c>
      <c r="D2214" t="s">
        <v>513</v>
      </c>
      <c r="E2214" s="87">
        <v>1</v>
      </c>
      <c r="F2214" t="s">
        <v>298</v>
      </c>
      <c r="G2214" s="88" t="str">
        <f>VLOOKUP(Table1[[#This Row],[Winner]],Ranking!C:D,2,FALSE)</f>
        <v>ACC</v>
      </c>
      <c r="H2214" s="87">
        <v>88</v>
      </c>
      <c r="I2214" s="87">
        <v>16</v>
      </c>
      <c r="J2214" t="s">
        <v>236</v>
      </c>
      <c r="K2214" s="88" t="str">
        <f>VLOOKUP(Table1[[#This Row],[Loser]],Ranking!C:D,2,FALSE)</f>
        <v>MAAC</v>
      </c>
      <c r="L2214" s="87">
        <v>73</v>
      </c>
      <c r="M2214" s="87"/>
      <c r="N2214" s="89">
        <f>Table1[[#This Row],[Winning Score]]-Table1[[#This Row],[Losing Score]]</f>
        <v>15</v>
      </c>
      <c r="O2214" s="89">
        <f>Table1[[#This Row],[Losing Seed]]-Table1[[#This Row],[Winning Seed]]</f>
        <v>15</v>
      </c>
      <c r="P2214" s="89" t="str">
        <f>IF(Table1[[#This Row],[SeD]]&lt;-2,Table1[[#This Row],[Winning Seed]]&amp; " over " &amp;Table1[[#This Row],[Losing Seed]],"")</f>
        <v/>
      </c>
      <c r="Q2214" s="88">
        <f>VLOOKUP(Table1[[#This Row],[Losing Seed]],'Seed History'!$N$4:$O$19,2)</f>
        <v>6.9444444444444441E-3</v>
      </c>
      <c r="R2214" s="89">
        <f>IF(Table1[[#This Row],[Round]]="PI",0,Table1[[#This Row],[Round]]-1)</f>
        <v>0</v>
      </c>
      <c r="S2214" s="88">
        <f>Table1[[#This Row],[LAW]]-Table1[[#This Row],[LEW]]</f>
        <v>-6.9444444444444441E-3</v>
      </c>
    </row>
    <row r="2215" spans="1:19" x14ac:dyDescent="0.25">
      <c r="A2215" s="66">
        <v>43545</v>
      </c>
      <c r="B2215" s="51">
        <f>YEAR(Table1[[#This Row],[Date]])</f>
        <v>2019</v>
      </c>
      <c r="C2215" s="87">
        <v>1</v>
      </c>
      <c r="D2215" t="s">
        <v>513</v>
      </c>
      <c r="E2215" s="87">
        <v>9</v>
      </c>
      <c r="F2215" t="s">
        <v>409</v>
      </c>
      <c r="G2215" s="88" t="str">
        <f>VLOOKUP(Table1[[#This Row],[Winner]],Ranking!C:D,2,FALSE)</f>
        <v>P12</v>
      </c>
      <c r="H2215" s="87">
        <v>78</v>
      </c>
      <c r="I2215" s="87">
        <v>8</v>
      </c>
      <c r="J2215" t="s">
        <v>400</v>
      </c>
      <c r="K2215" s="88" t="str">
        <f>VLOOKUP(Table1[[#This Row],[Loser]],Ranking!C:D,2,FALSE)</f>
        <v>MWC</v>
      </c>
      <c r="L2215" s="87">
        <v>61</v>
      </c>
      <c r="M2215" s="87"/>
      <c r="N2215" s="89">
        <f>Table1[[#This Row],[Winning Score]]-Table1[[#This Row],[Losing Score]]</f>
        <v>17</v>
      </c>
      <c r="O2215" s="89">
        <f>Table1[[#This Row],[Losing Seed]]-Table1[[#This Row],[Winning Seed]]</f>
        <v>-1</v>
      </c>
      <c r="P2215" s="89" t="str">
        <f>IF(Table1[[#This Row],[SeD]]&lt;-2,Table1[[#This Row],[Winning Seed]]&amp; " over " &amp;Table1[[#This Row],[Losing Seed]],"")</f>
        <v/>
      </c>
      <c r="Q2215" s="88">
        <f>VLOOKUP(Table1[[#This Row],[Losing Seed]],'Seed History'!$N$4:$O$19,2)</f>
        <v>0.70833333333333337</v>
      </c>
      <c r="R2215" s="89">
        <f>IF(Table1[[#This Row],[Round]]="PI",0,Table1[[#This Row],[Round]]-1)</f>
        <v>0</v>
      </c>
      <c r="S2215" s="88">
        <f>Table1[[#This Row],[LAW]]-Table1[[#This Row],[LEW]]</f>
        <v>-0.70833333333333337</v>
      </c>
    </row>
    <row r="2216" spans="1:19" x14ac:dyDescent="0.25">
      <c r="A2216" s="66">
        <v>43545</v>
      </c>
      <c r="B2216" s="51">
        <f>YEAR(Table1[[#This Row],[Date]])</f>
        <v>2019</v>
      </c>
      <c r="C2216" s="87">
        <v>1</v>
      </c>
      <c r="D2216" t="s">
        <v>513</v>
      </c>
      <c r="E2216" s="87">
        <v>5</v>
      </c>
      <c r="F2216" t="s">
        <v>129</v>
      </c>
      <c r="G2216" s="88" t="str">
        <f>VLOOKUP(Table1[[#This Row],[Winner]],Ranking!C:D,2,FALSE)</f>
        <v>SEC</v>
      </c>
      <c r="H2216" s="87">
        <v>78</v>
      </c>
      <c r="I2216" s="87">
        <v>12</v>
      </c>
      <c r="J2216" t="s">
        <v>292</v>
      </c>
      <c r="K2216" s="88" t="str">
        <f>VLOOKUP(Table1[[#This Row],[Loser]],Ranking!C:D,2,FALSE)</f>
        <v>WAC</v>
      </c>
      <c r="L2216" s="87">
        <v>77</v>
      </c>
      <c r="M2216" s="87"/>
      <c r="N2216" s="89">
        <f>Table1[[#This Row],[Winning Score]]-Table1[[#This Row],[Losing Score]]</f>
        <v>1</v>
      </c>
      <c r="O2216" s="89">
        <f>Table1[[#This Row],[Losing Seed]]-Table1[[#This Row],[Winning Seed]]</f>
        <v>7</v>
      </c>
      <c r="P2216" s="89" t="str">
        <f>IF(Table1[[#This Row],[SeD]]&lt;-2,Table1[[#This Row],[Winning Seed]]&amp; " over " &amp;Table1[[#This Row],[Losing Seed]],"")</f>
        <v/>
      </c>
      <c r="Q2216" s="88">
        <f>VLOOKUP(Table1[[#This Row],[Losing Seed]],'Seed History'!$N$4:$O$19,2)</f>
        <v>0.52083333333333337</v>
      </c>
      <c r="R2216" s="89">
        <f>IF(Table1[[#This Row],[Round]]="PI",0,Table1[[#This Row],[Round]]-1)</f>
        <v>0</v>
      </c>
      <c r="S2216" s="88">
        <f>Table1[[#This Row],[LAW]]-Table1[[#This Row],[LEW]]</f>
        <v>-0.52083333333333337</v>
      </c>
    </row>
    <row r="2217" spans="1:19" x14ac:dyDescent="0.25">
      <c r="A2217" s="66">
        <v>43545</v>
      </c>
      <c r="B2217" s="51">
        <f>YEAR(Table1[[#This Row],[Date]])</f>
        <v>2019</v>
      </c>
      <c r="C2217" s="87">
        <v>1</v>
      </c>
      <c r="D2217" t="s">
        <v>513</v>
      </c>
      <c r="E2217" s="87">
        <v>4</v>
      </c>
      <c r="F2217" t="s">
        <v>37</v>
      </c>
      <c r="G2217" s="88" t="str">
        <f>VLOOKUP(Table1[[#This Row],[Winner]],Ranking!C:D,2,FALSE)</f>
        <v>B12</v>
      </c>
      <c r="H2217" s="87">
        <v>87</v>
      </c>
      <c r="I2217" s="87">
        <v>13</v>
      </c>
      <c r="J2217" t="s">
        <v>306</v>
      </c>
      <c r="K2217" s="88" t="str">
        <f>VLOOKUP(Table1[[#This Row],[Loser]],Ranking!C:D,2,FALSE)</f>
        <v>CAA</v>
      </c>
      <c r="L2217" s="87">
        <v>53</v>
      </c>
      <c r="M2217" s="87"/>
      <c r="N2217" s="89">
        <f>Table1[[#This Row],[Winning Score]]-Table1[[#This Row],[Losing Score]]</f>
        <v>34</v>
      </c>
      <c r="O2217" s="89">
        <f>Table1[[#This Row],[Losing Seed]]-Table1[[#This Row],[Winning Seed]]</f>
        <v>9</v>
      </c>
      <c r="P2217" s="89" t="str">
        <f>IF(Table1[[#This Row],[SeD]]&lt;-2,Table1[[#This Row],[Winning Seed]]&amp; " over " &amp;Table1[[#This Row],[Losing Seed]],"")</f>
        <v/>
      </c>
      <c r="Q2217" s="88">
        <f>VLOOKUP(Table1[[#This Row],[Losing Seed]],'Seed History'!$N$4:$O$19,2)</f>
        <v>0.25694444444444442</v>
      </c>
      <c r="R2217" s="89">
        <f>IF(Table1[[#This Row],[Round]]="PI",0,Table1[[#This Row],[Round]]-1)</f>
        <v>0</v>
      </c>
      <c r="S2217" s="88">
        <f>Table1[[#This Row],[LAW]]-Table1[[#This Row],[LEW]]</f>
        <v>-0.25694444444444442</v>
      </c>
    </row>
    <row r="2218" spans="1:19" x14ac:dyDescent="0.25">
      <c r="A2218" s="66">
        <v>43545</v>
      </c>
      <c r="B2218" s="51">
        <f>YEAR(Table1[[#This Row],[Date]])</f>
        <v>2019</v>
      </c>
      <c r="C2218" s="87">
        <v>1</v>
      </c>
      <c r="D2218" t="s">
        <v>513</v>
      </c>
      <c r="E2218" s="87">
        <v>11</v>
      </c>
      <c r="F2218" t="s">
        <v>315</v>
      </c>
      <c r="G2218" s="88" t="str">
        <f>VLOOKUP(Table1[[#This Row],[Winner]],Ranking!C:D,2,FALSE)</f>
        <v>B10</v>
      </c>
      <c r="H2218" s="87">
        <v>62</v>
      </c>
      <c r="I2218" s="87">
        <v>6</v>
      </c>
      <c r="J2218" t="s">
        <v>237</v>
      </c>
      <c r="K2218" s="88" t="str">
        <f>VLOOKUP(Table1[[#This Row],[Loser]],Ranking!C:D,2,FALSE)</f>
        <v>B12</v>
      </c>
      <c r="L2218" s="87">
        <v>59</v>
      </c>
      <c r="M2218" s="87"/>
      <c r="N2218" s="89">
        <f>Table1[[#This Row],[Winning Score]]-Table1[[#This Row],[Losing Score]]</f>
        <v>3</v>
      </c>
      <c r="O2218" s="89">
        <f>Table1[[#This Row],[Losing Seed]]-Table1[[#This Row],[Winning Seed]]</f>
        <v>-5</v>
      </c>
      <c r="P2218" s="89" t="str">
        <f>IF(Table1[[#This Row],[SeD]]&lt;-2,Table1[[#This Row],[Winning Seed]]&amp; " over " &amp;Table1[[#This Row],[Losing Seed]],"")</f>
        <v>11 over 6</v>
      </c>
      <c r="Q2218" s="88">
        <f>VLOOKUP(Table1[[#This Row],[Losing Seed]],'Seed History'!$N$4:$O$19,2)</f>
        <v>1.0625</v>
      </c>
      <c r="R2218" s="89">
        <f>IF(Table1[[#This Row],[Round]]="PI",0,Table1[[#This Row],[Round]]-1)</f>
        <v>0</v>
      </c>
      <c r="S2218" s="88">
        <f>Table1[[#This Row],[LAW]]-Table1[[#This Row],[LEW]]</f>
        <v>-1.0625</v>
      </c>
    </row>
    <row r="2219" spans="1:19" x14ac:dyDescent="0.25">
      <c r="A2219" s="66">
        <v>43545</v>
      </c>
      <c r="B2219" s="51">
        <f>YEAR(Table1[[#This Row],[Date]])</f>
        <v>2019</v>
      </c>
      <c r="C2219" s="87">
        <v>1</v>
      </c>
      <c r="D2219" t="s">
        <v>513</v>
      </c>
      <c r="E2219" s="87">
        <v>3</v>
      </c>
      <c r="F2219" t="s">
        <v>225</v>
      </c>
      <c r="G2219" s="88" t="str">
        <f>VLOOKUP(Table1[[#This Row],[Winner]],Ranking!C:D,2,FALSE)</f>
        <v>Amer</v>
      </c>
      <c r="H2219" s="87">
        <v>84</v>
      </c>
      <c r="I2219" s="87">
        <v>14</v>
      </c>
      <c r="J2219" t="s">
        <v>215</v>
      </c>
      <c r="K2219" s="88" t="str">
        <f>VLOOKUP(Table1[[#This Row],[Loser]],Ranking!C:D,2,FALSE)</f>
        <v>SB</v>
      </c>
      <c r="L2219" s="87">
        <v>55</v>
      </c>
      <c r="M2219" s="87"/>
      <c r="N2219" s="89">
        <f>Table1[[#This Row],[Winning Score]]-Table1[[#This Row],[Losing Score]]</f>
        <v>29</v>
      </c>
      <c r="O2219" s="89">
        <f>Table1[[#This Row],[Losing Seed]]-Table1[[#This Row],[Winning Seed]]</f>
        <v>11</v>
      </c>
      <c r="P2219" s="89" t="str">
        <f>IF(Table1[[#This Row],[SeD]]&lt;-2,Table1[[#This Row],[Winning Seed]]&amp; " over " &amp;Table1[[#This Row],[Losing Seed]],"")</f>
        <v/>
      </c>
      <c r="Q2219" s="88">
        <f>VLOOKUP(Table1[[#This Row],[Losing Seed]],'Seed History'!$N$4:$O$19,2)</f>
        <v>0.16666666666666666</v>
      </c>
      <c r="R2219" s="89">
        <f>IF(Table1[[#This Row],[Round]]="PI",0,Table1[[#This Row],[Round]]-1)</f>
        <v>0</v>
      </c>
      <c r="S2219" s="88">
        <f>Table1[[#This Row],[LAW]]-Table1[[#This Row],[LEW]]</f>
        <v>-0.16666666666666666</v>
      </c>
    </row>
    <row r="2220" spans="1:19" x14ac:dyDescent="0.25">
      <c r="A2220" s="66">
        <v>43545</v>
      </c>
      <c r="B2220" s="51">
        <f>YEAR(Table1[[#This Row],[Date]])</f>
        <v>2019</v>
      </c>
      <c r="C2220" s="87">
        <v>1</v>
      </c>
      <c r="D2220" t="s">
        <v>513</v>
      </c>
      <c r="E2220" s="87">
        <v>7</v>
      </c>
      <c r="F2220" t="s">
        <v>42</v>
      </c>
      <c r="G2220" s="88" t="str">
        <f>VLOOKUP(Table1[[#This Row],[Winner]],Ranking!C:D,2,FALSE)</f>
        <v>SC</v>
      </c>
      <c r="H2220" s="87">
        <v>84</v>
      </c>
      <c r="I2220" s="87">
        <v>10</v>
      </c>
      <c r="J2220" t="s">
        <v>87</v>
      </c>
      <c r="K2220" s="88" t="str">
        <f>VLOOKUP(Table1[[#This Row],[Loser]],Ranking!C:D,2,FALSE)</f>
        <v>BE</v>
      </c>
      <c r="L2220" s="87">
        <v>68</v>
      </c>
      <c r="M2220" s="87"/>
      <c r="N2220" s="89">
        <f>Table1[[#This Row],[Winning Score]]-Table1[[#This Row],[Losing Score]]</f>
        <v>16</v>
      </c>
      <c r="O2220" s="89">
        <f>Table1[[#This Row],[Losing Seed]]-Table1[[#This Row],[Winning Seed]]</f>
        <v>3</v>
      </c>
      <c r="P2220" s="89" t="str">
        <f>IF(Table1[[#This Row],[SeD]]&lt;-2,Table1[[#This Row],[Winning Seed]]&amp; " over " &amp;Table1[[#This Row],[Losing Seed]],"")</f>
        <v/>
      </c>
      <c r="Q2220" s="88">
        <f>VLOOKUP(Table1[[#This Row],[Losing Seed]],'Seed History'!$N$4:$O$19,2)</f>
        <v>0.61805555555555558</v>
      </c>
      <c r="R2220" s="89">
        <f>IF(Table1[[#This Row],[Round]]="PI",0,Table1[[#This Row],[Round]]-1)</f>
        <v>0</v>
      </c>
      <c r="S2220" s="88">
        <f>Table1[[#This Row],[LAW]]-Table1[[#This Row],[LEW]]</f>
        <v>-0.61805555555555558</v>
      </c>
    </row>
    <row r="2221" spans="1:19" x14ac:dyDescent="0.25">
      <c r="A2221" s="66">
        <v>43545</v>
      </c>
      <c r="B2221" s="51">
        <f>YEAR(Table1[[#This Row],[Date]])</f>
        <v>2019</v>
      </c>
      <c r="C2221" s="87">
        <v>1</v>
      </c>
      <c r="D2221" t="s">
        <v>513</v>
      </c>
      <c r="E2221" s="87">
        <v>2</v>
      </c>
      <c r="F2221" t="s">
        <v>26</v>
      </c>
      <c r="G2221" s="88" t="str">
        <f>VLOOKUP(Table1[[#This Row],[Winner]],Ranking!C:D,2,FALSE)</f>
        <v>SEC</v>
      </c>
      <c r="H2221" s="87">
        <v>79</v>
      </c>
      <c r="I2221" s="87">
        <v>15</v>
      </c>
      <c r="J2221" t="s">
        <v>107</v>
      </c>
      <c r="K2221" s="88" t="str">
        <f>VLOOKUP(Table1[[#This Row],[Loser]],Ranking!C:D,2,FALSE)</f>
        <v>Slnd</v>
      </c>
      <c r="L2221" s="87">
        <v>44</v>
      </c>
      <c r="M2221" s="87"/>
      <c r="N2221" s="89">
        <f>Table1[[#This Row],[Winning Score]]-Table1[[#This Row],[Losing Score]]</f>
        <v>35</v>
      </c>
      <c r="O2221" s="89">
        <f>Table1[[#This Row],[Losing Seed]]-Table1[[#This Row],[Winning Seed]]</f>
        <v>13</v>
      </c>
      <c r="P2221" s="89" t="str">
        <f>IF(Table1[[#This Row],[SeD]]&lt;-2,Table1[[#This Row],[Winning Seed]]&amp; " over " &amp;Table1[[#This Row],[Losing Seed]],"")</f>
        <v/>
      </c>
      <c r="Q2221" s="88">
        <f>VLOOKUP(Table1[[#This Row],[Losing Seed]],'Seed History'!$N$4:$O$19,2)</f>
        <v>7.6388888888888895E-2</v>
      </c>
      <c r="R2221" s="89">
        <f>IF(Table1[[#This Row],[Round]]="PI",0,Table1[[#This Row],[Round]]-1)</f>
        <v>0</v>
      </c>
      <c r="S2221" s="88">
        <f>Table1[[#This Row],[LAW]]-Table1[[#This Row],[LEW]]</f>
        <v>-7.6388888888888895E-2</v>
      </c>
    </row>
    <row r="2222" spans="1:19" x14ac:dyDescent="0.25">
      <c r="A2222" s="66">
        <v>43547</v>
      </c>
      <c r="B2222" s="51">
        <f>YEAR(Table1[[#This Row],[Date]])</f>
        <v>2019</v>
      </c>
      <c r="C2222" s="87">
        <v>2</v>
      </c>
      <c r="D2222" t="s">
        <v>510</v>
      </c>
      <c r="E2222" s="87">
        <v>1</v>
      </c>
      <c r="F2222" t="s">
        <v>64</v>
      </c>
      <c r="G2222" s="88" t="str">
        <f>VLOOKUP(Table1[[#This Row],[Winner]],Ranking!C:D,2,FALSE)</f>
        <v>ACC</v>
      </c>
      <c r="H2222" s="87">
        <v>77</v>
      </c>
      <c r="I2222" s="87">
        <v>9</v>
      </c>
      <c r="J2222" t="s">
        <v>389</v>
      </c>
      <c r="K2222" s="88" t="str">
        <f>VLOOKUP(Table1[[#This Row],[Loser]],Ranking!C:D,2,FALSE)</f>
        <v>Amer</v>
      </c>
      <c r="L2222" s="87">
        <v>76</v>
      </c>
      <c r="M2222" s="87"/>
      <c r="N2222" s="89">
        <f>Table1[[#This Row],[Winning Score]]-Table1[[#This Row],[Losing Score]]</f>
        <v>1</v>
      </c>
      <c r="O2222" s="89">
        <f>Table1[[#This Row],[Losing Seed]]-Table1[[#This Row],[Winning Seed]]</f>
        <v>8</v>
      </c>
      <c r="P2222" s="89" t="str">
        <f>IF(Table1[[#This Row],[SeD]]&lt;-2,Table1[[#This Row],[Winning Seed]]&amp; " over " &amp;Table1[[#This Row],[Losing Seed]],"")</f>
        <v/>
      </c>
      <c r="Q2222" s="88">
        <f>VLOOKUP(Table1[[#This Row],[Losing Seed]],'Seed History'!$N$4:$O$19,2)</f>
        <v>0.59027777777777779</v>
      </c>
      <c r="R2222" s="89">
        <f>IF(Table1[[#This Row],[Round]]="PI",0,Table1[[#This Row],[Round]]-1)</f>
        <v>1</v>
      </c>
      <c r="S2222" s="88">
        <f>Table1[[#This Row],[LAW]]-Table1[[#This Row],[LEW]]</f>
        <v>0.40972222222222221</v>
      </c>
    </row>
    <row r="2223" spans="1:19" x14ac:dyDescent="0.25">
      <c r="A2223" s="66">
        <v>43547</v>
      </c>
      <c r="B2223" s="51">
        <f>YEAR(Table1[[#This Row],[Date]])</f>
        <v>2019</v>
      </c>
      <c r="C2223" s="87">
        <v>2</v>
      </c>
      <c r="D2223" t="s">
        <v>510</v>
      </c>
      <c r="E2223" s="87">
        <v>4</v>
      </c>
      <c r="F2223" t="s">
        <v>405</v>
      </c>
      <c r="G2223" s="88" t="str">
        <f>VLOOKUP(Table1[[#This Row],[Winner]],Ranking!C:D,2,FALSE)</f>
        <v>ACC</v>
      </c>
      <c r="H2223" s="87">
        <v>67</v>
      </c>
      <c r="I2223" s="87">
        <v>15</v>
      </c>
      <c r="J2223" t="s">
        <v>249</v>
      </c>
      <c r="K2223" s="88" t="str">
        <f>VLOOKUP(Table1[[#This Row],[Loser]],Ranking!C:D,2,FALSE)</f>
        <v>ASun</v>
      </c>
      <c r="L2223" s="87">
        <v>58</v>
      </c>
      <c r="M2223" s="87"/>
      <c r="N2223" s="89">
        <f>Table1[[#This Row],[Winning Score]]-Table1[[#This Row],[Losing Score]]</f>
        <v>9</v>
      </c>
      <c r="O2223" s="89">
        <f>Table1[[#This Row],[Losing Seed]]-Table1[[#This Row],[Winning Seed]]</f>
        <v>11</v>
      </c>
      <c r="P2223" s="89" t="str">
        <f>IF(Table1[[#This Row],[SeD]]&lt;-2,Table1[[#This Row],[Winning Seed]]&amp; " over " &amp;Table1[[#This Row],[Losing Seed]],"")</f>
        <v/>
      </c>
      <c r="Q2223" s="88">
        <f>VLOOKUP(Table1[[#This Row],[Losing Seed]],'Seed History'!$N$4:$O$19,2)</f>
        <v>7.6388888888888895E-2</v>
      </c>
      <c r="R2223" s="89">
        <f>IF(Table1[[#This Row],[Round]]="PI",0,Table1[[#This Row],[Round]]-1)</f>
        <v>1</v>
      </c>
      <c r="S2223" s="88">
        <f>Table1[[#This Row],[LAW]]-Table1[[#This Row],[LEW]]</f>
        <v>0.92361111111111116</v>
      </c>
    </row>
    <row r="2224" spans="1:19" x14ac:dyDescent="0.25">
      <c r="A2224" s="66">
        <v>43547</v>
      </c>
      <c r="B2224" s="51">
        <f>YEAR(Table1[[#This Row],[Date]])</f>
        <v>2019</v>
      </c>
      <c r="C2224" s="87">
        <v>2</v>
      </c>
      <c r="D2224" t="s">
        <v>510</v>
      </c>
      <c r="E2224" s="87">
        <v>3</v>
      </c>
      <c r="F2224" t="s">
        <v>52</v>
      </c>
      <c r="G2224" s="88" t="str">
        <f>VLOOKUP(Table1[[#This Row],[Winner]],Ranking!C:D,2,FALSE)</f>
        <v>SEC</v>
      </c>
      <c r="H2224" s="87">
        <v>69</v>
      </c>
      <c r="I2224" s="87">
        <v>6</v>
      </c>
      <c r="J2224" t="s">
        <v>31</v>
      </c>
      <c r="K2224" s="88" t="str">
        <f>VLOOKUP(Table1[[#This Row],[Loser]],Ranking!C:D,2,FALSE)</f>
        <v>B10</v>
      </c>
      <c r="L2224" s="87">
        <v>67</v>
      </c>
      <c r="M2224" s="87"/>
      <c r="N2224" s="89">
        <f>Table1[[#This Row],[Winning Score]]-Table1[[#This Row],[Losing Score]]</f>
        <v>2</v>
      </c>
      <c r="O2224" s="89">
        <f>Table1[[#This Row],[Losing Seed]]-Table1[[#This Row],[Winning Seed]]</f>
        <v>3</v>
      </c>
      <c r="P2224" s="89" t="str">
        <f>IF(Table1[[#This Row],[SeD]]&lt;-2,Table1[[#This Row],[Winning Seed]]&amp; " over " &amp;Table1[[#This Row],[Losing Seed]],"")</f>
        <v/>
      </c>
      <c r="Q2224" s="88">
        <f>VLOOKUP(Table1[[#This Row],[Losing Seed]],'Seed History'!$N$4:$O$19,2)</f>
        <v>1.0625</v>
      </c>
      <c r="R2224" s="89">
        <f>IF(Table1[[#This Row],[Round]]="PI",0,Table1[[#This Row],[Round]]-1)</f>
        <v>1</v>
      </c>
      <c r="S2224" s="88">
        <f>Table1[[#This Row],[LAW]]-Table1[[#This Row],[LEW]]</f>
        <v>-6.25E-2</v>
      </c>
    </row>
    <row r="2225" spans="1:19" x14ac:dyDescent="0.25">
      <c r="A2225" s="66">
        <v>43547</v>
      </c>
      <c r="B2225" s="51">
        <f>YEAR(Table1[[#This Row],[Date]])</f>
        <v>2019</v>
      </c>
      <c r="C2225" s="87">
        <v>2</v>
      </c>
      <c r="D2225" t="s">
        <v>510</v>
      </c>
      <c r="E2225" s="87">
        <v>2</v>
      </c>
      <c r="F2225" t="s">
        <v>271</v>
      </c>
      <c r="G2225" s="88" t="str">
        <f>VLOOKUP(Table1[[#This Row],[Winner]],Ranking!C:D,2,FALSE)</f>
        <v>B10</v>
      </c>
      <c r="H2225" s="87">
        <v>70</v>
      </c>
      <c r="I2225" s="87">
        <v>10</v>
      </c>
      <c r="J2225" t="s">
        <v>274</v>
      </c>
      <c r="K2225" s="88" t="str">
        <f>VLOOKUP(Table1[[#This Row],[Loser]],Ranking!C:D,2,FALSE)</f>
        <v>B10</v>
      </c>
      <c r="L2225" s="87">
        <v>50</v>
      </c>
      <c r="M2225" s="87"/>
      <c r="N2225" s="89">
        <f>Table1[[#This Row],[Winning Score]]-Table1[[#This Row],[Losing Score]]</f>
        <v>20</v>
      </c>
      <c r="O2225" s="89">
        <f>Table1[[#This Row],[Losing Seed]]-Table1[[#This Row],[Winning Seed]]</f>
        <v>8</v>
      </c>
      <c r="P2225" s="89" t="str">
        <f>IF(Table1[[#This Row],[SeD]]&lt;-2,Table1[[#This Row],[Winning Seed]]&amp; " over " &amp;Table1[[#This Row],[Losing Seed]],"")</f>
        <v/>
      </c>
      <c r="Q2225" s="88">
        <f>VLOOKUP(Table1[[#This Row],[Losing Seed]],'Seed History'!$N$4:$O$19,2)</f>
        <v>0.61805555555555558</v>
      </c>
      <c r="R2225" s="89">
        <f>IF(Table1[[#This Row],[Round]]="PI",0,Table1[[#This Row],[Round]]-1)</f>
        <v>1</v>
      </c>
      <c r="S2225" s="88">
        <f>Table1[[#This Row],[LAW]]-Table1[[#This Row],[LEW]]</f>
        <v>0.38194444444444442</v>
      </c>
    </row>
    <row r="2226" spans="1:19" x14ac:dyDescent="0.25">
      <c r="A2226" s="66">
        <v>43547</v>
      </c>
      <c r="B2226" s="51">
        <f>YEAR(Table1[[#This Row],[Date]])</f>
        <v>2019</v>
      </c>
      <c r="C2226" s="87">
        <v>2</v>
      </c>
      <c r="D2226" t="s">
        <v>512</v>
      </c>
      <c r="E2226" s="87">
        <v>1</v>
      </c>
      <c r="F2226" t="s">
        <v>71</v>
      </c>
      <c r="G2226" s="88" t="str">
        <f>VLOOKUP(Table1[[#This Row],[Winner]],Ranking!C:D,2,FALSE)</f>
        <v>WCC</v>
      </c>
      <c r="H2226" s="87">
        <v>83</v>
      </c>
      <c r="I2226" s="87">
        <v>9</v>
      </c>
      <c r="J2226" t="s">
        <v>46</v>
      </c>
      <c r="K2226" s="88" t="str">
        <f>VLOOKUP(Table1[[#This Row],[Loser]],Ranking!C:D,2,FALSE)</f>
        <v>B12</v>
      </c>
      <c r="L2226" s="87">
        <v>71</v>
      </c>
      <c r="M2226" s="87"/>
      <c r="N2226" s="89">
        <f>Table1[[#This Row],[Winning Score]]-Table1[[#This Row],[Losing Score]]</f>
        <v>12</v>
      </c>
      <c r="O2226" s="89">
        <f>Table1[[#This Row],[Losing Seed]]-Table1[[#This Row],[Winning Seed]]</f>
        <v>8</v>
      </c>
      <c r="P2226" s="89" t="str">
        <f>IF(Table1[[#This Row],[SeD]]&lt;-2,Table1[[#This Row],[Winning Seed]]&amp; " over " &amp;Table1[[#This Row],[Losing Seed]],"")</f>
        <v/>
      </c>
      <c r="Q2226" s="88">
        <f>VLOOKUP(Table1[[#This Row],[Losing Seed]],'Seed History'!$N$4:$O$19,2)</f>
        <v>0.59027777777777779</v>
      </c>
      <c r="R2226" s="89">
        <f>IF(Table1[[#This Row],[Round]]="PI",0,Table1[[#This Row],[Round]]-1)</f>
        <v>1</v>
      </c>
      <c r="S2226" s="88">
        <f>Table1[[#This Row],[LAW]]-Table1[[#This Row],[LEW]]</f>
        <v>0.40972222222222221</v>
      </c>
    </row>
    <row r="2227" spans="1:19" x14ac:dyDescent="0.25">
      <c r="A2227" s="66">
        <v>43547</v>
      </c>
      <c r="B2227" s="51">
        <f>YEAR(Table1[[#This Row],[Date]])</f>
        <v>2019</v>
      </c>
      <c r="C2227" s="87">
        <v>2</v>
      </c>
      <c r="D2227" t="s">
        <v>512</v>
      </c>
      <c r="E2227" s="87">
        <v>4</v>
      </c>
      <c r="F2227" t="s">
        <v>207</v>
      </c>
      <c r="G2227" s="88" t="str">
        <f>VLOOKUP(Table1[[#This Row],[Winner]],Ranking!C:D,2,FALSE)</f>
        <v>ACC</v>
      </c>
      <c r="H2227" s="87">
        <v>90</v>
      </c>
      <c r="I2227" s="87">
        <v>12</v>
      </c>
      <c r="J2227" t="s">
        <v>285</v>
      </c>
      <c r="K2227" s="88" t="str">
        <f>VLOOKUP(Table1[[#This Row],[Loser]],Ranking!C:D,2,FALSE)</f>
        <v>OVC</v>
      </c>
      <c r="L2227" s="87">
        <v>62</v>
      </c>
      <c r="M2227" s="87"/>
      <c r="N2227" s="89">
        <f>Table1[[#This Row],[Winning Score]]-Table1[[#This Row],[Losing Score]]</f>
        <v>28</v>
      </c>
      <c r="O2227" s="89">
        <f>Table1[[#This Row],[Losing Seed]]-Table1[[#This Row],[Winning Seed]]</f>
        <v>8</v>
      </c>
      <c r="P2227" s="89" t="str">
        <f>IF(Table1[[#This Row],[SeD]]&lt;-2,Table1[[#This Row],[Winning Seed]]&amp; " over " &amp;Table1[[#This Row],[Losing Seed]],"")</f>
        <v/>
      </c>
      <c r="Q2227" s="88">
        <f>VLOOKUP(Table1[[#This Row],[Losing Seed]],'Seed History'!$N$4:$O$19,2)</f>
        <v>0.52083333333333337</v>
      </c>
      <c r="R2227" s="89">
        <f>IF(Table1[[#This Row],[Round]]="PI",0,Table1[[#This Row],[Round]]-1)</f>
        <v>1</v>
      </c>
      <c r="S2227" s="88">
        <f>Table1[[#This Row],[LAW]]-Table1[[#This Row],[LEW]]</f>
        <v>0.47916666666666663</v>
      </c>
    </row>
    <row r="2228" spans="1:19" x14ac:dyDescent="0.25">
      <c r="A2228" s="66">
        <v>43547</v>
      </c>
      <c r="B2228" s="51">
        <f>YEAR(Table1[[#This Row],[Date]])</f>
        <v>2019</v>
      </c>
      <c r="C2228" s="87">
        <v>2</v>
      </c>
      <c r="D2228" t="s">
        <v>512</v>
      </c>
      <c r="E2228" s="87">
        <v>3</v>
      </c>
      <c r="F2228" t="s">
        <v>92</v>
      </c>
      <c r="G2228" s="88" t="str">
        <f>VLOOKUP(Table1[[#This Row],[Winner]],Ranking!C:D,2,FALSE)</f>
        <v>B12</v>
      </c>
      <c r="H2228" s="87">
        <v>62</v>
      </c>
      <c r="I2228" s="87">
        <v>6</v>
      </c>
      <c r="J2228" t="s">
        <v>30</v>
      </c>
      <c r="K2228" s="88" t="str">
        <f>VLOOKUP(Table1[[#This Row],[Loser]],Ranking!C:D,2,FALSE)</f>
        <v>MAC</v>
      </c>
      <c r="L2228" s="87">
        <v>58</v>
      </c>
      <c r="M2228" s="87"/>
      <c r="N2228" s="89">
        <f>Table1[[#This Row],[Winning Score]]-Table1[[#This Row],[Losing Score]]</f>
        <v>4</v>
      </c>
      <c r="O2228" s="89">
        <f>Table1[[#This Row],[Losing Seed]]-Table1[[#This Row],[Winning Seed]]</f>
        <v>3</v>
      </c>
      <c r="P2228" s="89" t="str">
        <f>IF(Table1[[#This Row],[SeD]]&lt;-2,Table1[[#This Row],[Winning Seed]]&amp; " over " &amp;Table1[[#This Row],[Losing Seed]],"")</f>
        <v/>
      </c>
      <c r="Q2228" s="88">
        <f>VLOOKUP(Table1[[#This Row],[Losing Seed]],'Seed History'!$N$4:$O$19,2)</f>
        <v>1.0625</v>
      </c>
      <c r="R2228" s="89">
        <f>IF(Table1[[#This Row],[Round]]="PI",0,Table1[[#This Row],[Round]]-1)</f>
        <v>1</v>
      </c>
      <c r="S2228" s="88">
        <f>Table1[[#This Row],[LAW]]-Table1[[#This Row],[LEW]]</f>
        <v>-6.25E-2</v>
      </c>
    </row>
    <row r="2229" spans="1:19" x14ac:dyDescent="0.25">
      <c r="A2229" s="66">
        <v>43547</v>
      </c>
      <c r="B2229" s="51">
        <f>YEAR(Table1[[#This Row],[Date]])</f>
        <v>2019</v>
      </c>
      <c r="C2229" s="87">
        <v>2</v>
      </c>
      <c r="D2229" t="s">
        <v>512</v>
      </c>
      <c r="E2229" s="87">
        <v>2</v>
      </c>
      <c r="F2229" t="s">
        <v>82</v>
      </c>
      <c r="G2229" s="88" t="str">
        <f>VLOOKUP(Table1[[#This Row],[Winner]],Ranking!C:D,2,FALSE)</f>
        <v>B10</v>
      </c>
      <c r="H2229" s="87">
        <v>64</v>
      </c>
      <c r="I2229" s="87">
        <v>10</v>
      </c>
      <c r="J2229" t="s">
        <v>81</v>
      </c>
      <c r="K2229" s="88" t="str">
        <f>VLOOKUP(Table1[[#This Row],[Loser]],Ranking!C:D,2,FALSE)</f>
        <v>SEC</v>
      </c>
      <c r="L2229" s="87">
        <v>49</v>
      </c>
      <c r="M2229" s="87"/>
      <c r="N2229" s="89">
        <f>Table1[[#This Row],[Winning Score]]-Table1[[#This Row],[Losing Score]]</f>
        <v>15</v>
      </c>
      <c r="O2229" s="89">
        <f>Table1[[#This Row],[Losing Seed]]-Table1[[#This Row],[Winning Seed]]</f>
        <v>8</v>
      </c>
      <c r="P2229" s="89" t="str">
        <f>IF(Table1[[#This Row],[SeD]]&lt;-2,Table1[[#This Row],[Winning Seed]]&amp; " over " &amp;Table1[[#This Row],[Losing Seed]],"")</f>
        <v/>
      </c>
      <c r="Q2229" s="88">
        <f>VLOOKUP(Table1[[#This Row],[Losing Seed]],'Seed History'!$N$4:$O$19,2)</f>
        <v>0.61805555555555558</v>
      </c>
      <c r="R2229" s="89">
        <f>IF(Table1[[#This Row],[Round]]="PI",0,Table1[[#This Row],[Round]]-1)</f>
        <v>1</v>
      </c>
      <c r="S2229" s="88">
        <f>Table1[[#This Row],[LAW]]-Table1[[#This Row],[LEW]]</f>
        <v>0.38194444444444442</v>
      </c>
    </row>
    <row r="2230" spans="1:19" x14ac:dyDescent="0.25">
      <c r="A2230" s="66">
        <v>43547</v>
      </c>
      <c r="B2230" s="51">
        <f>YEAR(Table1[[#This Row],[Date]])</f>
        <v>2019</v>
      </c>
      <c r="C2230" s="87">
        <v>2</v>
      </c>
      <c r="D2230" t="s">
        <v>511</v>
      </c>
      <c r="E2230" s="87">
        <v>1</v>
      </c>
      <c r="F2230" t="s">
        <v>61</v>
      </c>
      <c r="G2230" s="88" t="str">
        <f>VLOOKUP(Table1[[#This Row],[Winner]],Ranking!C:D,2,FALSE)</f>
        <v>ACC</v>
      </c>
      <c r="H2230" s="87">
        <v>63</v>
      </c>
      <c r="I2230" s="87">
        <v>9</v>
      </c>
      <c r="J2230" t="s">
        <v>58</v>
      </c>
      <c r="K2230" s="88" t="str">
        <f>VLOOKUP(Table1[[#This Row],[Loser]],Ranking!C:D,2,FALSE)</f>
        <v>B12</v>
      </c>
      <c r="L2230" s="87">
        <v>51</v>
      </c>
      <c r="M2230" s="87"/>
      <c r="N2230" s="89">
        <f>Table1[[#This Row],[Winning Score]]-Table1[[#This Row],[Losing Score]]</f>
        <v>12</v>
      </c>
      <c r="O2230" s="89">
        <f>Table1[[#This Row],[Losing Seed]]-Table1[[#This Row],[Winning Seed]]</f>
        <v>8</v>
      </c>
      <c r="P2230" s="89" t="str">
        <f>IF(Table1[[#This Row],[SeD]]&lt;-2,Table1[[#This Row],[Winning Seed]]&amp; " over " &amp;Table1[[#This Row],[Losing Seed]],"")</f>
        <v/>
      </c>
      <c r="Q2230" s="88">
        <f>VLOOKUP(Table1[[#This Row],[Losing Seed]],'Seed History'!$N$4:$O$19,2)</f>
        <v>0.59027777777777779</v>
      </c>
      <c r="R2230" s="89">
        <f>IF(Table1[[#This Row],[Round]]="PI",0,Table1[[#This Row],[Round]]-1)</f>
        <v>1</v>
      </c>
      <c r="S2230" s="88">
        <f>Table1[[#This Row],[LAW]]-Table1[[#This Row],[LEW]]</f>
        <v>0.40972222222222221</v>
      </c>
    </row>
    <row r="2231" spans="1:19" x14ac:dyDescent="0.25">
      <c r="A2231" s="66">
        <v>43547</v>
      </c>
      <c r="B2231" s="51">
        <f>YEAR(Table1[[#This Row],[Date]])</f>
        <v>2019</v>
      </c>
      <c r="C2231" s="87">
        <v>2</v>
      </c>
      <c r="D2231" t="s">
        <v>511</v>
      </c>
      <c r="E2231" s="87">
        <v>12</v>
      </c>
      <c r="F2231" t="s">
        <v>40</v>
      </c>
      <c r="G2231" s="88" t="str">
        <f>VLOOKUP(Table1[[#This Row],[Winner]],Ranking!C:D,2,FALSE)</f>
        <v>P12</v>
      </c>
      <c r="H2231" s="87">
        <v>73</v>
      </c>
      <c r="I2231" s="87">
        <v>13</v>
      </c>
      <c r="J2231" t="s">
        <v>55</v>
      </c>
      <c r="K2231" s="88" t="str">
        <f>VLOOKUP(Table1[[#This Row],[Loser]],Ranking!C:D,2,FALSE)</f>
        <v>BW</v>
      </c>
      <c r="L2231" s="87">
        <v>54</v>
      </c>
      <c r="M2231" s="87"/>
      <c r="N2231" s="89">
        <f>Table1[[#This Row],[Winning Score]]-Table1[[#This Row],[Losing Score]]</f>
        <v>19</v>
      </c>
      <c r="O2231" s="89">
        <f>Table1[[#This Row],[Losing Seed]]-Table1[[#This Row],[Winning Seed]]</f>
        <v>1</v>
      </c>
      <c r="P2231" s="89" t="str">
        <f>IF(Table1[[#This Row],[SeD]]&lt;-2,Table1[[#This Row],[Winning Seed]]&amp; " over " &amp;Table1[[#This Row],[Losing Seed]],"")</f>
        <v/>
      </c>
      <c r="Q2231" s="88">
        <f>VLOOKUP(Table1[[#This Row],[Losing Seed]],'Seed History'!$N$4:$O$19,2)</f>
        <v>0.25694444444444442</v>
      </c>
      <c r="R2231" s="89">
        <f>IF(Table1[[#This Row],[Round]]="PI",0,Table1[[#This Row],[Round]]-1)</f>
        <v>1</v>
      </c>
      <c r="S2231" s="88">
        <f>Table1[[#This Row],[LAW]]-Table1[[#This Row],[LEW]]</f>
        <v>0.74305555555555558</v>
      </c>
    </row>
    <row r="2232" spans="1:19" x14ac:dyDescent="0.25">
      <c r="A2232" s="66">
        <v>43547</v>
      </c>
      <c r="B2232" s="51">
        <f>YEAR(Table1[[#This Row],[Date]])</f>
        <v>2019</v>
      </c>
      <c r="C2232" s="87">
        <v>2</v>
      </c>
      <c r="D2232" t="s">
        <v>511</v>
      </c>
      <c r="E2232" s="87">
        <v>3</v>
      </c>
      <c r="F2232" t="s">
        <v>29</v>
      </c>
      <c r="G2232" s="88" t="str">
        <f>VLOOKUP(Table1[[#This Row],[Winner]],Ranking!C:D,2,FALSE)</f>
        <v>B10</v>
      </c>
      <c r="H2232" s="87">
        <v>87</v>
      </c>
      <c r="I2232" s="87">
        <v>6</v>
      </c>
      <c r="J2232" t="s">
        <v>50</v>
      </c>
      <c r="K2232" s="88" t="str">
        <f>VLOOKUP(Table1[[#This Row],[Loser]],Ranking!C:D,2,FALSE)</f>
        <v>BE</v>
      </c>
      <c r="L2232" s="87">
        <v>61</v>
      </c>
      <c r="M2232" s="87"/>
      <c r="N2232" s="89">
        <f>Table1[[#This Row],[Winning Score]]-Table1[[#This Row],[Losing Score]]</f>
        <v>26</v>
      </c>
      <c r="O2232" s="89">
        <f>Table1[[#This Row],[Losing Seed]]-Table1[[#This Row],[Winning Seed]]</f>
        <v>3</v>
      </c>
      <c r="P2232" s="89" t="str">
        <f>IF(Table1[[#This Row],[SeD]]&lt;-2,Table1[[#This Row],[Winning Seed]]&amp; " over " &amp;Table1[[#This Row],[Losing Seed]],"")</f>
        <v/>
      </c>
      <c r="Q2232" s="88">
        <f>VLOOKUP(Table1[[#This Row],[Losing Seed]],'Seed History'!$N$4:$O$19,2)</f>
        <v>1.0625</v>
      </c>
      <c r="R2232" s="89">
        <f>IF(Table1[[#This Row],[Round]]="PI",0,Table1[[#This Row],[Round]]-1)</f>
        <v>1</v>
      </c>
      <c r="S2232" s="88">
        <f>Table1[[#This Row],[LAW]]-Table1[[#This Row],[LEW]]</f>
        <v>-6.25E-2</v>
      </c>
    </row>
    <row r="2233" spans="1:19" x14ac:dyDescent="0.25">
      <c r="A2233" s="66">
        <v>43547</v>
      </c>
      <c r="B2233" s="51">
        <f>YEAR(Table1[[#This Row],[Date]])</f>
        <v>2019</v>
      </c>
      <c r="C2233" s="87">
        <v>2</v>
      </c>
      <c r="D2233" t="s">
        <v>511</v>
      </c>
      <c r="E2233" s="87">
        <v>2</v>
      </c>
      <c r="F2233" t="s">
        <v>374</v>
      </c>
      <c r="G2233" s="88" t="str">
        <f>VLOOKUP(Table1[[#This Row],[Winner]],Ranking!C:D,2,FALSE)</f>
        <v>SEC</v>
      </c>
      <c r="H2233" s="87">
        <v>83</v>
      </c>
      <c r="I2233" s="87">
        <v>10</v>
      </c>
      <c r="J2233" t="s">
        <v>69</v>
      </c>
      <c r="K2233" s="88" t="str">
        <f>VLOOKUP(Table1[[#This Row],[Loser]],Ranking!C:D,2,FALSE)</f>
        <v>B10</v>
      </c>
      <c r="L2233" s="87">
        <v>77</v>
      </c>
      <c r="M2233" s="87"/>
      <c r="N2233" s="89">
        <f>Table1[[#This Row],[Winning Score]]-Table1[[#This Row],[Losing Score]]</f>
        <v>6</v>
      </c>
      <c r="O2233" s="89">
        <f>Table1[[#This Row],[Losing Seed]]-Table1[[#This Row],[Winning Seed]]</f>
        <v>8</v>
      </c>
      <c r="P2233" s="89" t="str">
        <f>IF(Table1[[#This Row],[SeD]]&lt;-2,Table1[[#This Row],[Winning Seed]]&amp; " over " &amp;Table1[[#This Row],[Losing Seed]],"")</f>
        <v/>
      </c>
      <c r="Q2233" s="88">
        <f>VLOOKUP(Table1[[#This Row],[Losing Seed]],'Seed History'!$N$4:$O$19,2)</f>
        <v>0.61805555555555558</v>
      </c>
      <c r="R2233" s="89">
        <f>IF(Table1[[#This Row],[Round]]="PI",0,Table1[[#This Row],[Round]]-1)</f>
        <v>1</v>
      </c>
      <c r="S2233" s="88">
        <f>Table1[[#This Row],[LAW]]-Table1[[#This Row],[LEW]]</f>
        <v>0.38194444444444442</v>
      </c>
    </row>
    <row r="2234" spans="1:19" x14ac:dyDescent="0.25">
      <c r="A2234" s="66">
        <v>43547</v>
      </c>
      <c r="B2234" s="51">
        <f>YEAR(Table1[[#This Row],[Date]])</f>
        <v>2019</v>
      </c>
      <c r="C2234" s="87">
        <v>2</v>
      </c>
      <c r="D2234" t="s">
        <v>513</v>
      </c>
      <c r="E2234" s="87">
        <v>1</v>
      </c>
      <c r="F2234" t="s">
        <v>298</v>
      </c>
      <c r="G2234" s="88" t="str">
        <f>VLOOKUP(Table1[[#This Row],[Winner]],Ranking!C:D,2,FALSE)</f>
        <v>ACC</v>
      </c>
      <c r="H2234" s="87">
        <v>81</v>
      </c>
      <c r="I2234" s="87">
        <v>9</v>
      </c>
      <c r="J2234" t="s">
        <v>409</v>
      </c>
      <c r="K2234" s="88" t="str">
        <f>VLOOKUP(Table1[[#This Row],[Loser]],Ranking!C:D,2,FALSE)</f>
        <v>P12</v>
      </c>
      <c r="L2234" s="87">
        <v>59</v>
      </c>
      <c r="M2234" s="87"/>
      <c r="N2234" s="89">
        <f>Table1[[#This Row],[Winning Score]]-Table1[[#This Row],[Losing Score]]</f>
        <v>22</v>
      </c>
      <c r="O2234" s="89">
        <f>Table1[[#This Row],[Losing Seed]]-Table1[[#This Row],[Winning Seed]]</f>
        <v>8</v>
      </c>
      <c r="P2234" s="89" t="str">
        <f>IF(Table1[[#This Row],[SeD]]&lt;-2,Table1[[#This Row],[Winning Seed]]&amp; " over " &amp;Table1[[#This Row],[Losing Seed]],"")</f>
        <v/>
      </c>
      <c r="Q2234" s="88">
        <f>VLOOKUP(Table1[[#This Row],[Losing Seed]],'Seed History'!$N$4:$O$19,2)</f>
        <v>0.59027777777777779</v>
      </c>
      <c r="R2234" s="89">
        <f>IF(Table1[[#This Row],[Round]]="PI",0,Table1[[#This Row],[Round]]-1)</f>
        <v>1</v>
      </c>
      <c r="S2234" s="88">
        <f>Table1[[#This Row],[LAW]]-Table1[[#This Row],[LEW]]</f>
        <v>0.40972222222222221</v>
      </c>
    </row>
    <row r="2235" spans="1:19" x14ac:dyDescent="0.25">
      <c r="A2235" s="66">
        <v>43547</v>
      </c>
      <c r="B2235" s="51">
        <f>YEAR(Table1[[#This Row],[Date]])</f>
        <v>2019</v>
      </c>
      <c r="C2235" s="87">
        <v>2</v>
      </c>
      <c r="D2235" t="s">
        <v>513</v>
      </c>
      <c r="E2235" s="87">
        <v>5</v>
      </c>
      <c r="F2235" t="s">
        <v>129</v>
      </c>
      <c r="G2235" s="88" t="str">
        <f>VLOOKUP(Table1[[#This Row],[Winner]],Ranking!C:D,2,FALSE)</f>
        <v>SEC</v>
      </c>
      <c r="H2235" s="87">
        <v>89</v>
      </c>
      <c r="I2235" s="87">
        <v>4</v>
      </c>
      <c r="J2235" t="s">
        <v>37</v>
      </c>
      <c r="K2235" s="88" t="str">
        <f>VLOOKUP(Table1[[#This Row],[Loser]],Ranking!C:D,2,FALSE)</f>
        <v>B12</v>
      </c>
      <c r="L2235" s="87">
        <v>75</v>
      </c>
      <c r="M2235" s="87"/>
      <c r="N2235" s="89">
        <f>Table1[[#This Row],[Winning Score]]-Table1[[#This Row],[Losing Score]]</f>
        <v>14</v>
      </c>
      <c r="O2235" s="89">
        <f>Table1[[#This Row],[Losing Seed]]-Table1[[#This Row],[Winning Seed]]</f>
        <v>-1</v>
      </c>
      <c r="P2235" s="89" t="str">
        <f>IF(Table1[[#This Row],[SeD]]&lt;-2,Table1[[#This Row],[Winning Seed]]&amp; " over " &amp;Table1[[#This Row],[Losing Seed]],"")</f>
        <v/>
      </c>
      <c r="Q2235" s="88">
        <f>VLOOKUP(Table1[[#This Row],[Losing Seed]],'Seed History'!$N$4:$O$19,2)</f>
        <v>1.5208333333333333</v>
      </c>
      <c r="R2235" s="89">
        <f>IF(Table1[[#This Row],[Round]]="PI",0,Table1[[#This Row],[Round]]-1)</f>
        <v>1</v>
      </c>
      <c r="S2235" s="88">
        <f>Table1[[#This Row],[LAW]]-Table1[[#This Row],[LEW]]</f>
        <v>-0.52083333333333326</v>
      </c>
    </row>
    <row r="2236" spans="1:19" x14ac:dyDescent="0.25">
      <c r="A2236" s="66">
        <v>43547</v>
      </c>
      <c r="B2236" s="51">
        <f>YEAR(Table1[[#This Row],[Date]])</f>
        <v>2019</v>
      </c>
      <c r="C2236" s="87">
        <v>2</v>
      </c>
      <c r="D2236" t="s">
        <v>513</v>
      </c>
      <c r="E2236" s="87">
        <v>3</v>
      </c>
      <c r="F2236" t="s">
        <v>225</v>
      </c>
      <c r="G2236" s="88" t="str">
        <f>VLOOKUP(Table1[[#This Row],[Winner]],Ranking!C:D,2,FALSE)</f>
        <v>Amer</v>
      </c>
      <c r="H2236" s="87">
        <v>74</v>
      </c>
      <c r="I2236" s="87">
        <v>11</v>
      </c>
      <c r="J2236" t="s">
        <v>315</v>
      </c>
      <c r="K2236" s="88" t="str">
        <f>VLOOKUP(Table1[[#This Row],[Loser]],Ranking!C:D,2,FALSE)</f>
        <v>B10</v>
      </c>
      <c r="L2236" s="87">
        <v>59</v>
      </c>
      <c r="M2236" s="87"/>
      <c r="N2236" s="89">
        <f>Table1[[#This Row],[Winning Score]]-Table1[[#This Row],[Losing Score]]</f>
        <v>15</v>
      </c>
      <c r="O2236" s="89">
        <f>Table1[[#This Row],[Losing Seed]]-Table1[[#This Row],[Winning Seed]]</f>
        <v>8</v>
      </c>
      <c r="P2236" s="89" t="str">
        <f>IF(Table1[[#This Row],[SeD]]&lt;-2,Table1[[#This Row],[Winning Seed]]&amp; " over " &amp;Table1[[#This Row],[Losing Seed]],"")</f>
        <v/>
      </c>
      <c r="Q2236" s="88">
        <f>VLOOKUP(Table1[[#This Row],[Losing Seed]],'Seed History'!$N$4:$O$19,2)</f>
        <v>0.63194444444444442</v>
      </c>
      <c r="R2236" s="89">
        <f>IF(Table1[[#This Row],[Round]]="PI",0,Table1[[#This Row],[Round]]-1)</f>
        <v>1</v>
      </c>
      <c r="S2236" s="88">
        <f>Table1[[#This Row],[LAW]]-Table1[[#This Row],[LEW]]</f>
        <v>0.36805555555555558</v>
      </c>
    </row>
    <row r="2237" spans="1:19" x14ac:dyDescent="0.25">
      <c r="A2237" s="66">
        <v>43547</v>
      </c>
      <c r="B2237" s="51">
        <f>YEAR(Table1[[#This Row],[Date]])</f>
        <v>2019</v>
      </c>
      <c r="C2237" s="87">
        <v>2</v>
      </c>
      <c r="D2237" t="s">
        <v>513</v>
      </c>
      <c r="E2237" s="87">
        <v>2</v>
      </c>
      <c r="F2237" t="s">
        <v>26</v>
      </c>
      <c r="G2237" s="88" t="str">
        <f>VLOOKUP(Table1[[#This Row],[Winner]],Ranking!C:D,2,FALSE)</f>
        <v>SEC</v>
      </c>
      <c r="H2237" s="87">
        <v>62</v>
      </c>
      <c r="I2237" s="87">
        <v>7</v>
      </c>
      <c r="J2237" t="s">
        <v>42</v>
      </c>
      <c r="K2237" s="88" t="str">
        <f>VLOOKUP(Table1[[#This Row],[Loser]],Ranking!C:D,2,FALSE)</f>
        <v>SC</v>
      </c>
      <c r="L2237" s="87">
        <v>56</v>
      </c>
      <c r="M2237" s="87"/>
      <c r="N2237" s="89">
        <f>Table1[[#This Row],[Winning Score]]-Table1[[#This Row],[Losing Score]]</f>
        <v>6</v>
      </c>
      <c r="O2237" s="89">
        <f>Table1[[#This Row],[Losing Seed]]-Table1[[#This Row],[Winning Seed]]</f>
        <v>5</v>
      </c>
      <c r="P2237" s="89" t="str">
        <f>IF(Table1[[#This Row],[SeD]]&lt;-2,Table1[[#This Row],[Winning Seed]]&amp; " over " &amp;Table1[[#This Row],[Losing Seed]],"")</f>
        <v/>
      </c>
      <c r="Q2237" s="88">
        <f>VLOOKUP(Table1[[#This Row],[Losing Seed]],'Seed History'!$N$4:$O$19,2)</f>
        <v>0.90277777777777779</v>
      </c>
      <c r="R2237" s="89">
        <f>IF(Table1[[#This Row],[Round]]="PI",0,Table1[[#This Row],[Round]]-1)</f>
        <v>1</v>
      </c>
      <c r="S2237" s="88">
        <f>Table1[[#This Row],[LAW]]-Table1[[#This Row],[LEW]]</f>
        <v>9.722222222222221E-2</v>
      </c>
    </row>
    <row r="2238" spans="1:19" x14ac:dyDescent="0.25">
      <c r="A2238" s="66">
        <v>43553</v>
      </c>
      <c r="B2238" s="51">
        <f>YEAR(Table1[[#This Row],[Date]])</f>
        <v>2019</v>
      </c>
      <c r="C2238" s="87">
        <v>3</v>
      </c>
      <c r="D2238" t="s">
        <v>510</v>
      </c>
      <c r="E2238" s="87">
        <v>1</v>
      </c>
      <c r="F2238" t="s">
        <v>64</v>
      </c>
      <c r="G2238" s="88" t="str">
        <f>VLOOKUP(Table1[[#This Row],[Winner]],Ranking!C:D,2,FALSE)</f>
        <v>ACC</v>
      </c>
      <c r="H2238" s="87">
        <v>75</v>
      </c>
      <c r="I2238" s="87">
        <v>4</v>
      </c>
      <c r="J2238" t="s">
        <v>405</v>
      </c>
      <c r="K2238" s="88" t="str">
        <f>VLOOKUP(Table1[[#This Row],[Loser]],Ranking!C:D,2,FALSE)</f>
        <v>ACC</v>
      </c>
      <c r="L2238" s="87">
        <v>73</v>
      </c>
      <c r="M2238" s="87"/>
      <c r="N2238" s="89">
        <f>Table1[[#This Row],[Winning Score]]-Table1[[#This Row],[Losing Score]]</f>
        <v>2</v>
      </c>
      <c r="O2238" s="89">
        <f>Table1[[#This Row],[Losing Seed]]-Table1[[#This Row],[Winning Seed]]</f>
        <v>3</v>
      </c>
      <c r="P2238" s="89" t="str">
        <f>IF(Table1[[#This Row],[SeD]]&lt;-2,Table1[[#This Row],[Winning Seed]]&amp; " over " &amp;Table1[[#This Row],[Losing Seed]],"")</f>
        <v/>
      </c>
      <c r="Q2238" s="88">
        <f>VLOOKUP(Table1[[#This Row],[Losing Seed]],'Seed History'!$N$4:$O$19,2)</f>
        <v>1.5208333333333333</v>
      </c>
      <c r="R2238" s="89">
        <f>IF(Table1[[#This Row],[Round]]="PI",0,Table1[[#This Row],[Round]]-1)</f>
        <v>2</v>
      </c>
      <c r="S2238" s="88">
        <f>Table1[[#This Row],[LAW]]-Table1[[#This Row],[LEW]]</f>
        <v>0.47916666666666674</v>
      </c>
    </row>
    <row r="2239" spans="1:19" x14ac:dyDescent="0.25">
      <c r="A2239" s="66">
        <v>43553</v>
      </c>
      <c r="B2239" s="51">
        <f>YEAR(Table1[[#This Row],[Date]])</f>
        <v>2019</v>
      </c>
      <c r="C2239" s="87">
        <v>3</v>
      </c>
      <c r="D2239" t="s">
        <v>510</v>
      </c>
      <c r="E2239" s="87">
        <v>2</v>
      </c>
      <c r="F2239" t="s">
        <v>271</v>
      </c>
      <c r="G2239" s="88" t="str">
        <f>VLOOKUP(Table1[[#This Row],[Winner]],Ranking!C:D,2,FALSE)</f>
        <v>B10</v>
      </c>
      <c r="H2239" s="87">
        <v>80</v>
      </c>
      <c r="I2239" s="87">
        <v>3</v>
      </c>
      <c r="J2239" t="s">
        <v>52</v>
      </c>
      <c r="K2239" s="88" t="str">
        <f>VLOOKUP(Table1[[#This Row],[Loser]],Ranking!C:D,2,FALSE)</f>
        <v>SEC</v>
      </c>
      <c r="L2239" s="87">
        <v>63</v>
      </c>
      <c r="M2239" s="87"/>
      <c r="N2239" s="89">
        <f>Table1[[#This Row],[Winning Score]]-Table1[[#This Row],[Losing Score]]</f>
        <v>17</v>
      </c>
      <c r="O2239" s="89">
        <f>Table1[[#This Row],[Losing Seed]]-Table1[[#This Row],[Winning Seed]]</f>
        <v>1</v>
      </c>
      <c r="P2239" s="89" t="str">
        <f>IF(Table1[[#This Row],[SeD]]&lt;-2,Table1[[#This Row],[Winning Seed]]&amp; " over " &amp;Table1[[#This Row],[Losing Seed]],"")</f>
        <v/>
      </c>
      <c r="Q2239" s="88">
        <f>VLOOKUP(Table1[[#This Row],[Losing Seed]],'Seed History'!$N$4:$O$19,2)</f>
        <v>1.8472222222222223</v>
      </c>
      <c r="R2239" s="89">
        <f>IF(Table1[[#This Row],[Round]]="PI",0,Table1[[#This Row],[Round]]-1)</f>
        <v>2</v>
      </c>
      <c r="S2239" s="88">
        <f>Table1[[#This Row],[LAW]]-Table1[[#This Row],[LEW]]</f>
        <v>0.15277777777777768</v>
      </c>
    </row>
    <row r="2240" spans="1:19" x14ac:dyDescent="0.25">
      <c r="A2240" s="66">
        <v>43553</v>
      </c>
      <c r="B2240" s="51">
        <f>YEAR(Table1[[#This Row],[Date]])</f>
        <v>2019</v>
      </c>
      <c r="C2240" s="87">
        <v>3</v>
      </c>
      <c r="D2240" t="s">
        <v>512</v>
      </c>
      <c r="E2240" s="87">
        <v>1</v>
      </c>
      <c r="F2240" t="s">
        <v>71</v>
      </c>
      <c r="G2240" s="88" t="str">
        <f>VLOOKUP(Table1[[#This Row],[Winner]],Ranking!C:D,2,FALSE)</f>
        <v>WCC</v>
      </c>
      <c r="H2240" s="87">
        <v>72</v>
      </c>
      <c r="I2240" s="87">
        <v>4</v>
      </c>
      <c r="J2240" t="s">
        <v>207</v>
      </c>
      <c r="K2240" s="88" t="str">
        <f>VLOOKUP(Table1[[#This Row],[Loser]],Ranking!C:D,2,FALSE)</f>
        <v>ACC</v>
      </c>
      <c r="L2240" s="87">
        <v>58</v>
      </c>
      <c r="M2240" s="87"/>
      <c r="N2240" s="89">
        <f>Table1[[#This Row],[Winning Score]]-Table1[[#This Row],[Losing Score]]</f>
        <v>14</v>
      </c>
      <c r="O2240" s="89">
        <f>Table1[[#This Row],[Losing Seed]]-Table1[[#This Row],[Winning Seed]]</f>
        <v>3</v>
      </c>
      <c r="P2240" s="89" t="str">
        <f>IF(Table1[[#This Row],[SeD]]&lt;-2,Table1[[#This Row],[Winning Seed]]&amp; " over " &amp;Table1[[#This Row],[Losing Seed]],"")</f>
        <v/>
      </c>
      <c r="Q2240" s="88">
        <f>VLOOKUP(Table1[[#This Row],[Losing Seed]],'Seed History'!$N$4:$O$19,2)</f>
        <v>1.5208333333333333</v>
      </c>
      <c r="R2240" s="89">
        <f>IF(Table1[[#This Row],[Round]]="PI",0,Table1[[#This Row],[Round]]-1)</f>
        <v>2</v>
      </c>
      <c r="S2240" s="88">
        <f>Table1[[#This Row],[LAW]]-Table1[[#This Row],[LEW]]</f>
        <v>0.47916666666666674</v>
      </c>
    </row>
    <row r="2241" spans="1:19" x14ac:dyDescent="0.25">
      <c r="A2241" s="66">
        <v>43553</v>
      </c>
      <c r="B2241" s="51">
        <f>YEAR(Table1[[#This Row],[Date]])</f>
        <v>2019</v>
      </c>
      <c r="C2241" s="87">
        <v>3</v>
      </c>
      <c r="D2241" t="s">
        <v>512</v>
      </c>
      <c r="E2241" s="87">
        <v>3</v>
      </c>
      <c r="F2241" t="s">
        <v>92</v>
      </c>
      <c r="G2241" s="88" t="str">
        <f>VLOOKUP(Table1[[#This Row],[Winner]],Ranking!C:D,2,FALSE)</f>
        <v>B12</v>
      </c>
      <c r="H2241" s="87">
        <v>63</v>
      </c>
      <c r="I2241" s="87">
        <v>2</v>
      </c>
      <c r="J2241" t="s">
        <v>82</v>
      </c>
      <c r="K2241" s="88" t="str">
        <f>VLOOKUP(Table1[[#This Row],[Loser]],Ranking!C:D,2,FALSE)</f>
        <v>B10</v>
      </c>
      <c r="L2241" s="87">
        <v>44</v>
      </c>
      <c r="M2241" s="87"/>
      <c r="N2241" s="89">
        <f>Table1[[#This Row],[Winning Score]]-Table1[[#This Row],[Losing Score]]</f>
        <v>19</v>
      </c>
      <c r="O2241" s="89">
        <f>Table1[[#This Row],[Losing Seed]]-Table1[[#This Row],[Winning Seed]]</f>
        <v>-1</v>
      </c>
      <c r="P2241" s="89" t="str">
        <f>IF(Table1[[#This Row],[SeD]]&lt;-2,Table1[[#This Row],[Winning Seed]]&amp; " over " &amp;Table1[[#This Row],[Losing Seed]],"")</f>
        <v/>
      </c>
      <c r="Q2241" s="88">
        <f>VLOOKUP(Table1[[#This Row],[Losing Seed]],'Seed History'!$N$4:$O$19,2)</f>
        <v>2.3472222222222223</v>
      </c>
      <c r="R2241" s="89">
        <f>IF(Table1[[#This Row],[Round]]="PI",0,Table1[[#This Row],[Round]]-1)</f>
        <v>2</v>
      </c>
      <c r="S2241" s="88">
        <f>Table1[[#This Row],[LAW]]-Table1[[#This Row],[LEW]]</f>
        <v>-0.34722222222222232</v>
      </c>
    </row>
    <row r="2242" spans="1:19" x14ac:dyDescent="0.25">
      <c r="A2242" s="66">
        <v>43553</v>
      </c>
      <c r="B2242" s="51">
        <f>YEAR(Table1[[#This Row],[Date]])</f>
        <v>2019</v>
      </c>
      <c r="C2242" s="87">
        <v>3</v>
      </c>
      <c r="D2242" t="s">
        <v>511</v>
      </c>
      <c r="E2242" s="87">
        <v>1</v>
      </c>
      <c r="F2242" t="s">
        <v>61</v>
      </c>
      <c r="G2242" s="88" t="str">
        <f>VLOOKUP(Table1[[#This Row],[Winner]],Ranking!C:D,2,FALSE)</f>
        <v>ACC</v>
      </c>
      <c r="H2242" s="87">
        <v>53</v>
      </c>
      <c r="I2242" s="87">
        <v>12</v>
      </c>
      <c r="J2242" t="s">
        <v>40</v>
      </c>
      <c r="K2242" s="88" t="str">
        <f>VLOOKUP(Table1[[#This Row],[Loser]],Ranking!C:D,2,FALSE)</f>
        <v>P12</v>
      </c>
      <c r="L2242" s="87">
        <v>49</v>
      </c>
      <c r="M2242" s="87"/>
      <c r="N2242" s="89">
        <f>Table1[[#This Row],[Winning Score]]-Table1[[#This Row],[Losing Score]]</f>
        <v>4</v>
      </c>
      <c r="O2242" s="89">
        <f>Table1[[#This Row],[Losing Seed]]-Table1[[#This Row],[Winning Seed]]</f>
        <v>11</v>
      </c>
      <c r="P2242" s="89" t="str">
        <f>IF(Table1[[#This Row],[SeD]]&lt;-2,Table1[[#This Row],[Winning Seed]]&amp; " over " &amp;Table1[[#This Row],[Losing Seed]],"")</f>
        <v/>
      </c>
      <c r="Q2242" s="88">
        <f>VLOOKUP(Table1[[#This Row],[Losing Seed]],'Seed History'!$N$4:$O$19,2)</f>
        <v>0.52083333333333337</v>
      </c>
      <c r="R2242" s="89">
        <f>IF(Table1[[#This Row],[Round]]="PI",0,Table1[[#This Row],[Round]]-1)</f>
        <v>2</v>
      </c>
      <c r="S2242" s="88">
        <f>Table1[[#This Row],[LAW]]-Table1[[#This Row],[LEW]]</f>
        <v>1.4791666666666665</v>
      </c>
    </row>
    <row r="2243" spans="1:19" x14ac:dyDescent="0.25">
      <c r="A2243" s="66">
        <v>43553</v>
      </c>
      <c r="B2243" s="51">
        <f>YEAR(Table1[[#This Row],[Date]])</f>
        <v>2019</v>
      </c>
      <c r="C2243" s="87">
        <v>3</v>
      </c>
      <c r="D2243" t="s">
        <v>511</v>
      </c>
      <c r="E2243" s="87">
        <v>3</v>
      </c>
      <c r="F2243" t="s">
        <v>29</v>
      </c>
      <c r="G2243" s="88" t="str">
        <f>VLOOKUP(Table1[[#This Row],[Winner]],Ranking!C:D,2,FALSE)</f>
        <v>B10</v>
      </c>
      <c r="H2243" s="87">
        <v>99</v>
      </c>
      <c r="I2243" s="87">
        <v>2</v>
      </c>
      <c r="J2243" t="s">
        <v>374</v>
      </c>
      <c r="K2243" s="88" t="str">
        <f>VLOOKUP(Table1[[#This Row],[Loser]],Ranking!C:D,2,FALSE)</f>
        <v>SEC</v>
      </c>
      <c r="L2243" s="87">
        <v>94</v>
      </c>
      <c r="M2243" s="87"/>
      <c r="N2243" s="89">
        <f>Table1[[#This Row],[Winning Score]]-Table1[[#This Row],[Losing Score]]</f>
        <v>5</v>
      </c>
      <c r="O2243" s="89">
        <f>Table1[[#This Row],[Losing Seed]]-Table1[[#This Row],[Winning Seed]]</f>
        <v>-1</v>
      </c>
      <c r="P2243" s="89" t="str">
        <f>IF(Table1[[#This Row],[SeD]]&lt;-2,Table1[[#This Row],[Winning Seed]]&amp; " over " &amp;Table1[[#This Row],[Losing Seed]],"")</f>
        <v/>
      </c>
      <c r="Q2243" s="88">
        <f>VLOOKUP(Table1[[#This Row],[Losing Seed]],'Seed History'!$N$4:$O$19,2)</f>
        <v>2.3472222222222223</v>
      </c>
      <c r="R2243" s="89">
        <f>IF(Table1[[#This Row],[Round]]="PI",0,Table1[[#This Row],[Round]]-1)</f>
        <v>2</v>
      </c>
      <c r="S2243" s="88">
        <f>Table1[[#This Row],[LAW]]-Table1[[#This Row],[LEW]]</f>
        <v>-0.34722222222222232</v>
      </c>
    </row>
    <row r="2244" spans="1:19" x14ac:dyDescent="0.25">
      <c r="A2244" s="66">
        <v>43553</v>
      </c>
      <c r="B2244" s="51">
        <f>YEAR(Table1[[#This Row],[Date]])</f>
        <v>2019</v>
      </c>
      <c r="C2244" s="87">
        <v>3</v>
      </c>
      <c r="D2244" t="s">
        <v>513</v>
      </c>
      <c r="E2244" s="87">
        <v>5</v>
      </c>
      <c r="F2244" t="s">
        <v>129</v>
      </c>
      <c r="G2244" s="88" t="str">
        <f>VLOOKUP(Table1[[#This Row],[Winner]],Ranking!C:D,2,FALSE)</f>
        <v>SEC</v>
      </c>
      <c r="H2244" s="87">
        <v>97</v>
      </c>
      <c r="I2244" s="87">
        <v>1</v>
      </c>
      <c r="J2244" t="s">
        <v>298</v>
      </c>
      <c r="K2244" s="88" t="str">
        <f>VLOOKUP(Table1[[#This Row],[Loser]],Ranking!C:D,2,FALSE)</f>
        <v>ACC</v>
      </c>
      <c r="L2244" s="87">
        <v>80</v>
      </c>
      <c r="M2244" s="87"/>
      <c r="N2244" s="89">
        <f>Table1[[#This Row],[Winning Score]]-Table1[[#This Row],[Losing Score]]</f>
        <v>17</v>
      </c>
      <c r="O2244" s="89">
        <f>Table1[[#This Row],[Losing Seed]]-Table1[[#This Row],[Winning Seed]]</f>
        <v>-4</v>
      </c>
      <c r="P2244" s="89" t="str">
        <f>IF(Table1[[#This Row],[SeD]]&lt;-2,Table1[[#This Row],[Winning Seed]]&amp; " over " &amp;Table1[[#This Row],[Losing Seed]],"")</f>
        <v>5 over 1</v>
      </c>
      <c r="Q2244" s="88">
        <f>VLOOKUP(Table1[[#This Row],[Losing Seed]],'Seed History'!$N$4:$O$19,2)</f>
        <v>3.3263888888888888</v>
      </c>
      <c r="R2244" s="89">
        <f>IF(Table1[[#This Row],[Round]]="PI",0,Table1[[#This Row],[Round]]-1)</f>
        <v>2</v>
      </c>
      <c r="S2244" s="88">
        <f>Table1[[#This Row],[LAW]]-Table1[[#This Row],[LEW]]</f>
        <v>-1.3263888888888888</v>
      </c>
    </row>
    <row r="2245" spans="1:19" x14ac:dyDescent="0.25">
      <c r="A2245" s="66">
        <v>43553</v>
      </c>
      <c r="B2245" s="51">
        <f>YEAR(Table1[[#This Row],[Date]])</f>
        <v>2019</v>
      </c>
      <c r="C2245" s="87">
        <v>3</v>
      </c>
      <c r="D2245" t="s">
        <v>513</v>
      </c>
      <c r="E2245" s="87">
        <v>2</v>
      </c>
      <c r="F2245" t="s">
        <v>26</v>
      </c>
      <c r="G2245" s="88" t="str">
        <f>VLOOKUP(Table1[[#This Row],[Winner]],Ranking!C:D,2,FALSE)</f>
        <v>SEC</v>
      </c>
      <c r="H2245" s="87">
        <v>62</v>
      </c>
      <c r="I2245" s="87">
        <v>3</v>
      </c>
      <c r="J2245" t="s">
        <v>225</v>
      </c>
      <c r="K2245" s="88" t="str">
        <f>VLOOKUP(Table1[[#This Row],[Loser]],Ranking!C:D,2,FALSE)</f>
        <v>Amer</v>
      </c>
      <c r="L2245" s="87">
        <v>58</v>
      </c>
      <c r="M2245" s="87"/>
      <c r="N2245" s="89">
        <f>Table1[[#This Row],[Winning Score]]-Table1[[#This Row],[Losing Score]]</f>
        <v>4</v>
      </c>
      <c r="O2245" s="89">
        <f>Table1[[#This Row],[Losing Seed]]-Table1[[#This Row],[Winning Seed]]</f>
        <v>1</v>
      </c>
      <c r="P2245" s="89" t="str">
        <f>IF(Table1[[#This Row],[SeD]]&lt;-2,Table1[[#This Row],[Winning Seed]]&amp; " over " &amp;Table1[[#This Row],[Losing Seed]],"")</f>
        <v/>
      </c>
      <c r="Q2245" s="88">
        <f>VLOOKUP(Table1[[#This Row],[Losing Seed]],'Seed History'!$N$4:$O$19,2)</f>
        <v>1.8472222222222223</v>
      </c>
      <c r="R2245" s="89">
        <f>IF(Table1[[#This Row],[Round]]="PI",0,Table1[[#This Row],[Round]]-1)</f>
        <v>2</v>
      </c>
      <c r="S2245" s="88">
        <f>Table1[[#This Row],[LAW]]-Table1[[#This Row],[LEW]]</f>
        <v>0.15277777777777768</v>
      </c>
    </row>
    <row r="2246" spans="1:19" x14ac:dyDescent="0.25">
      <c r="A2246" s="66">
        <v>43555</v>
      </c>
      <c r="B2246" s="51">
        <f>YEAR(Table1[[#This Row],[Date]])</f>
        <v>2019</v>
      </c>
      <c r="C2246" s="87">
        <v>4</v>
      </c>
      <c r="D2246" t="s">
        <v>510</v>
      </c>
      <c r="E2246" s="87">
        <v>2</v>
      </c>
      <c r="F2246" t="s">
        <v>271</v>
      </c>
      <c r="G2246" s="88" t="str">
        <f>VLOOKUP(Table1[[#This Row],[Winner]],Ranking!C:D,2,FALSE)</f>
        <v>B10</v>
      </c>
      <c r="H2246" s="87">
        <v>68</v>
      </c>
      <c r="I2246" s="87">
        <v>1</v>
      </c>
      <c r="J2246" t="s">
        <v>64</v>
      </c>
      <c r="K2246" s="88" t="str">
        <f>VLOOKUP(Table1[[#This Row],[Loser]],Ranking!C:D,2,FALSE)</f>
        <v>ACC</v>
      </c>
      <c r="L2246" s="87">
        <v>67</v>
      </c>
      <c r="M2246" s="87"/>
      <c r="N2246" s="89">
        <f>Table1[[#This Row],[Winning Score]]-Table1[[#This Row],[Losing Score]]</f>
        <v>1</v>
      </c>
      <c r="O2246" s="89">
        <f>Table1[[#This Row],[Losing Seed]]-Table1[[#This Row],[Winning Seed]]</f>
        <v>-1</v>
      </c>
      <c r="P2246" s="89" t="str">
        <f>IF(Table1[[#This Row],[SeD]]&lt;-2,Table1[[#This Row],[Winning Seed]]&amp; " over " &amp;Table1[[#This Row],[Losing Seed]],"")</f>
        <v/>
      </c>
      <c r="Q2246" s="88">
        <f>VLOOKUP(Table1[[#This Row],[Losing Seed]],'Seed History'!$N$4:$O$19,2)</f>
        <v>3.3263888888888888</v>
      </c>
      <c r="R2246" s="89">
        <f>IF(Table1[[#This Row],[Round]]="PI",0,Table1[[#This Row],[Round]]-1)</f>
        <v>3</v>
      </c>
      <c r="S2246" s="88">
        <f>Table1[[#This Row],[LAW]]-Table1[[#This Row],[LEW]]</f>
        <v>-0.32638888888888884</v>
      </c>
    </row>
    <row r="2247" spans="1:19" x14ac:dyDescent="0.25">
      <c r="A2247" s="66">
        <v>43555</v>
      </c>
      <c r="B2247" s="51">
        <f>YEAR(Table1[[#This Row],[Date]])</f>
        <v>2019</v>
      </c>
      <c r="C2247" s="87">
        <v>4</v>
      </c>
      <c r="D2247" t="s">
        <v>512</v>
      </c>
      <c r="E2247" s="87">
        <v>3</v>
      </c>
      <c r="F2247" t="s">
        <v>92</v>
      </c>
      <c r="G2247" s="88" t="str">
        <f>VLOOKUP(Table1[[#This Row],[Winner]],Ranking!C:D,2,FALSE)</f>
        <v>B12</v>
      </c>
      <c r="H2247" s="87">
        <v>75</v>
      </c>
      <c r="I2247" s="87">
        <v>1</v>
      </c>
      <c r="J2247" t="s">
        <v>71</v>
      </c>
      <c r="K2247" s="88" t="str">
        <f>VLOOKUP(Table1[[#This Row],[Loser]],Ranking!C:D,2,FALSE)</f>
        <v>WCC</v>
      </c>
      <c r="L2247" s="87">
        <v>69</v>
      </c>
      <c r="M2247" s="87"/>
      <c r="N2247" s="89">
        <f>Table1[[#This Row],[Winning Score]]-Table1[[#This Row],[Losing Score]]</f>
        <v>6</v>
      </c>
      <c r="O2247" s="89">
        <f>Table1[[#This Row],[Losing Seed]]-Table1[[#This Row],[Winning Seed]]</f>
        <v>-2</v>
      </c>
      <c r="P2247" s="89" t="str">
        <f>IF(Table1[[#This Row],[SeD]]&lt;-2,Table1[[#This Row],[Winning Seed]]&amp; " over " &amp;Table1[[#This Row],[Losing Seed]],"")</f>
        <v/>
      </c>
      <c r="Q2247" s="88">
        <f>VLOOKUP(Table1[[#This Row],[Losing Seed]],'Seed History'!$N$4:$O$19,2)</f>
        <v>3.3263888888888888</v>
      </c>
      <c r="R2247" s="89">
        <f>IF(Table1[[#This Row],[Round]]="PI",0,Table1[[#This Row],[Round]]-1)</f>
        <v>3</v>
      </c>
      <c r="S2247" s="88">
        <f>Table1[[#This Row],[LAW]]-Table1[[#This Row],[LEW]]</f>
        <v>-0.32638888888888884</v>
      </c>
    </row>
    <row r="2248" spans="1:19" x14ac:dyDescent="0.25">
      <c r="A2248" s="66">
        <v>43555</v>
      </c>
      <c r="B2248" s="51">
        <f>YEAR(Table1[[#This Row],[Date]])</f>
        <v>2019</v>
      </c>
      <c r="C2248" s="87">
        <v>4</v>
      </c>
      <c r="D2248" t="s">
        <v>511</v>
      </c>
      <c r="E2248" s="87">
        <v>1</v>
      </c>
      <c r="F2248" t="s">
        <v>61</v>
      </c>
      <c r="G2248" s="88" t="str">
        <f>VLOOKUP(Table1[[#This Row],[Winner]],Ranking!C:D,2,FALSE)</f>
        <v>ACC</v>
      </c>
      <c r="H2248" s="87">
        <v>80</v>
      </c>
      <c r="I2248" s="87">
        <v>3</v>
      </c>
      <c r="J2248" t="s">
        <v>29</v>
      </c>
      <c r="K2248" s="88" t="str">
        <f>VLOOKUP(Table1[[#This Row],[Loser]],Ranking!C:D,2,FALSE)</f>
        <v>B10</v>
      </c>
      <c r="L2248" s="87">
        <v>75</v>
      </c>
      <c r="M2248" s="87"/>
      <c r="N2248" s="89">
        <f>Table1[[#This Row],[Winning Score]]-Table1[[#This Row],[Losing Score]]</f>
        <v>5</v>
      </c>
      <c r="O2248" s="89">
        <f>Table1[[#This Row],[Losing Seed]]-Table1[[#This Row],[Winning Seed]]</f>
        <v>2</v>
      </c>
      <c r="P2248" s="89" t="str">
        <f>IF(Table1[[#This Row],[SeD]]&lt;-2,Table1[[#This Row],[Winning Seed]]&amp; " over " &amp;Table1[[#This Row],[Losing Seed]],"")</f>
        <v/>
      </c>
      <c r="Q2248" s="88">
        <f>VLOOKUP(Table1[[#This Row],[Losing Seed]],'Seed History'!$N$4:$O$19,2)</f>
        <v>1.8472222222222223</v>
      </c>
      <c r="R2248" s="89">
        <f>IF(Table1[[#This Row],[Round]]="PI",0,Table1[[#This Row],[Round]]-1)</f>
        <v>3</v>
      </c>
      <c r="S2248" s="88">
        <f>Table1[[#This Row],[LAW]]-Table1[[#This Row],[LEW]]</f>
        <v>1.1527777777777777</v>
      </c>
    </row>
    <row r="2249" spans="1:19" x14ac:dyDescent="0.25">
      <c r="A2249" s="66">
        <v>43555</v>
      </c>
      <c r="B2249" s="51">
        <f>YEAR(Table1[[#This Row],[Date]])</f>
        <v>2019</v>
      </c>
      <c r="C2249" s="87">
        <v>4</v>
      </c>
      <c r="D2249" t="s">
        <v>513</v>
      </c>
      <c r="E2249" s="87">
        <v>5</v>
      </c>
      <c r="F2249" t="s">
        <v>129</v>
      </c>
      <c r="G2249" s="88" t="str">
        <f>VLOOKUP(Table1[[#This Row],[Winner]],Ranking!C:D,2,FALSE)</f>
        <v>SEC</v>
      </c>
      <c r="H2249" s="87">
        <v>77</v>
      </c>
      <c r="I2249" s="87">
        <v>2</v>
      </c>
      <c r="J2249" t="s">
        <v>26</v>
      </c>
      <c r="K2249" s="88" t="str">
        <f>VLOOKUP(Table1[[#This Row],[Loser]],Ranking!C:D,2,FALSE)</f>
        <v>SEC</v>
      </c>
      <c r="L2249" s="87">
        <v>71</v>
      </c>
      <c r="M2249" s="87"/>
      <c r="N2249" s="89">
        <f>Table1[[#This Row],[Winning Score]]-Table1[[#This Row],[Losing Score]]</f>
        <v>6</v>
      </c>
      <c r="O2249" s="89">
        <f>Table1[[#This Row],[Losing Seed]]-Table1[[#This Row],[Winning Seed]]</f>
        <v>-3</v>
      </c>
      <c r="P2249" s="89" t="str">
        <f>IF(Table1[[#This Row],[SeD]]&lt;-2,Table1[[#This Row],[Winning Seed]]&amp; " over " &amp;Table1[[#This Row],[Losing Seed]],"")</f>
        <v>5 over 2</v>
      </c>
      <c r="Q2249" s="88">
        <f>VLOOKUP(Table1[[#This Row],[Losing Seed]],'Seed History'!$N$4:$O$19,2)</f>
        <v>2.3472222222222223</v>
      </c>
      <c r="R2249" s="89">
        <f>IF(Table1[[#This Row],[Round]]="PI",0,Table1[[#This Row],[Round]]-1)</f>
        <v>3</v>
      </c>
      <c r="S2249" s="88">
        <f>Table1[[#This Row],[LAW]]-Table1[[#This Row],[LEW]]</f>
        <v>0.65277777777777768</v>
      </c>
    </row>
    <row r="2250" spans="1:19" x14ac:dyDescent="0.25">
      <c r="A2250" s="66">
        <v>43561</v>
      </c>
      <c r="B2250" s="51">
        <f>YEAR(Table1[[#This Row],[Date]])</f>
        <v>2019</v>
      </c>
      <c r="C2250" s="87">
        <v>5</v>
      </c>
      <c r="D2250" t="s">
        <v>467</v>
      </c>
      <c r="E2250" s="87">
        <v>3</v>
      </c>
      <c r="F2250" t="s">
        <v>92</v>
      </c>
      <c r="G2250" s="88" t="str">
        <f>VLOOKUP(Table1[[#This Row],[Winner]],Ranking!C:D,2,FALSE)</f>
        <v>B12</v>
      </c>
      <c r="H2250" s="87">
        <v>61</v>
      </c>
      <c r="I2250" s="87">
        <v>2</v>
      </c>
      <c r="J2250" t="s">
        <v>271</v>
      </c>
      <c r="K2250" s="88" t="str">
        <f>VLOOKUP(Table1[[#This Row],[Loser]],Ranking!C:D,2,FALSE)</f>
        <v>B10</v>
      </c>
      <c r="L2250" s="87">
        <v>51</v>
      </c>
      <c r="M2250" s="87"/>
      <c r="N2250" s="89">
        <f>Table1[[#This Row],[Winning Score]]-Table1[[#This Row],[Losing Score]]</f>
        <v>10</v>
      </c>
      <c r="O2250" s="89">
        <f>Table1[[#This Row],[Losing Seed]]-Table1[[#This Row],[Winning Seed]]</f>
        <v>-1</v>
      </c>
      <c r="P2250" s="89" t="str">
        <f>IF(Table1[[#This Row],[SeD]]&lt;-2,Table1[[#This Row],[Winning Seed]]&amp; " over " &amp;Table1[[#This Row],[Losing Seed]],"")</f>
        <v/>
      </c>
      <c r="Q2250" s="88">
        <f>VLOOKUP(Table1[[#This Row],[Losing Seed]],'Seed History'!$N$4:$O$19,2)</f>
        <v>2.3472222222222223</v>
      </c>
      <c r="R2250" s="89">
        <f>IF(Table1[[#This Row],[Round]]="PI",0,Table1[[#This Row],[Round]]-1)</f>
        <v>4</v>
      </c>
      <c r="S2250" s="88">
        <f>Table1[[#This Row],[LAW]]-Table1[[#This Row],[LEW]]</f>
        <v>1.6527777777777777</v>
      </c>
    </row>
    <row r="2251" spans="1:19" x14ac:dyDescent="0.25">
      <c r="A2251" s="66">
        <v>43561</v>
      </c>
      <c r="B2251" s="51">
        <f>YEAR(Table1[[#This Row],[Date]])</f>
        <v>2019</v>
      </c>
      <c r="C2251" s="87">
        <v>5</v>
      </c>
      <c r="D2251" t="s">
        <v>467</v>
      </c>
      <c r="E2251" s="87">
        <v>1</v>
      </c>
      <c r="F2251" t="s">
        <v>61</v>
      </c>
      <c r="G2251" s="88" t="str">
        <f>VLOOKUP(Table1[[#This Row],[Winner]],Ranking!C:D,2,FALSE)</f>
        <v>ACC</v>
      </c>
      <c r="H2251" s="87">
        <v>63</v>
      </c>
      <c r="I2251" s="87">
        <v>5</v>
      </c>
      <c r="J2251" t="s">
        <v>129</v>
      </c>
      <c r="K2251" s="88" t="str">
        <f>VLOOKUP(Table1[[#This Row],[Loser]],Ranking!C:D,2,FALSE)</f>
        <v>SEC</v>
      </c>
      <c r="L2251" s="87">
        <v>62</v>
      </c>
      <c r="M2251" s="87"/>
      <c r="N2251" s="89">
        <f>Table1[[#This Row],[Winning Score]]-Table1[[#This Row],[Losing Score]]</f>
        <v>1</v>
      </c>
      <c r="O2251" s="89">
        <f>Table1[[#This Row],[Losing Seed]]-Table1[[#This Row],[Winning Seed]]</f>
        <v>4</v>
      </c>
      <c r="P2251" s="89" t="str">
        <f>IF(Table1[[#This Row],[SeD]]&lt;-2,Table1[[#This Row],[Winning Seed]]&amp; " over " &amp;Table1[[#This Row],[Losing Seed]],"")</f>
        <v/>
      </c>
      <c r="Q2251" s="88">
        <f>VLOOKUP(Table1[[#This Row],[Losing Seed]],'Seed History'!$N$4:$O$19,2)</f>
        <v>1.1180555555555556</v>
      </c>
      <c r="R2251" s="89">
        <f>IF(Table1[[#This Row],[Round]]="PI",0,Table1[[#This Row],[Round]]-1)</f>
        <v>4</v>
      </c>
      <c r="S2251" s="88">
        <f>Table1[[#This Row],[LAW]]-Table1[[#This Row],[LEW]]</f>
        <v>2.8819444444444446</v>
      </c>
    </row>
    <row r="2252" spans="1:19" x14ac:dyDescent="0.25">
      <c r="A2252" s="66">
        <v>43563</v>
      </c>
      <c r="B2252" s="51">
        <f>YEAR(Table1[[#This Row],[Date]])</f>
        <v>2019</v>
      </c>
      <c r="C2252" s="87">
        <v>6</v>
      </c>
      <c r="D2252" t="s">
        <v>468</v>
      </c>
      <c r="E2252" s="87">
        <v>1</v>
      </c>
      <c r="F2252" t="s">
        <v>61</v>
      </c>
      <c r="G2252" s="88" t="str">
        <f>VLOOKUP(Table1[[#This Row],[Winner]],Ranking!C:D,2,FALSE)</f>
        <v>ACC</v>
      </c>
      <c r="H2252" s="87">
        <v>85</v>
      </c>
      <c r="I2252" s="87">
        <v>3</v>
      </c>
      <c r="J2252" t="s">
        <v>92</v>
      </c>
      <c r="K2252" s="88" t="str">
        <f>VLOOKUP(Table1[[#This Row],[Loser]],Ranking!C:D,2,FALSE)</f>
        <v>B12</v>
      </c>
      <c r="L2252" s="87">
        <v>77</v>
      </c>
      <c r="M2252" s="87"/>
      <c r="N2252" s="89">
        <f>Table1[[#This Row],[Winning Score]]-Table1[[#This Row],[Losing Score]]</f>
        <v>8</v>
      </c>
      <c r="O2252" s="89">
        <f>Table1[[#This Row],[Losing Seed]]-Table1[[#This Row],[Winning Seed]]</f>
        <v>2</v>
      </c>
      <c r="P2252" s="89" t="str">
        <f>IF(Table1[[#This Row],[SeD]]&lt;-2,Table1[[#This Row],[Winning Seed]]&amp; " over " &amp;Table1[[#This Row],[Losing Seed]],"")</f>
        <v/>
      </c>
      <c r="Q2252" s="88">
        <f>VLOOKUP(Table1[[#This Row],[Losing Seed]],'Seed History'!$N$4:$O$19,2)</f>
        <v>1.8472222222222223</v>
      </c>
      <c r="R2252" s="89">
        <f>IF(Table1[[#This Row],[Round]]="PI",0,Table1[[#This Row],[Round]]-1)</f>
        <v>5</v>
      </c>
      <c r="S2252" s="88">
        <f>Table1[[#This Row],[LAW]]-Table1[[#This Row],[LEW]]</f>
        <v>3.1527777777777777</v>
      </c>
    </row>
    <row r="2253" spans="1:19" x14ac:dyDescent="0.25">
      <c r="A2253" s="66">
        <v>44273</v>
      </c>
      <c r="B2253" s="51">
        <f>YEAR(Table1[[#This Row],[Date]])</f>
        <v>2021</v>
      </c>
      <c r="C2253" s="92" t="s">
        <v>476</v>
      </c>
      <c r="D2253" t="s">
        <v>476</v>
      </c>
      <c r="E2253" s="92">
        <v>16</v>
      </c>
      <c r="F2253" t="s">
        <v>379</v>
      </c>
      <c r="G2253" s="88" t="str">
        <f>VLOOKUP(Table1[[#This Row],[Winner]],Ranking!C:D,2,FALSE)</f>
        <v>SWAC</v>
      </c>
      <c r="H2253" s="92">
        <v>60</v>
      </c>
      <c r="I2253" s="92">
        <v>16</v>
      </c>
      <c r="J2253" t="s">
        <v>284</v>
      </c>
      <c r="K2253" s="88" t="str">
        <f>VLOOKUP(Table1[[#This Row],[Loser]],Ranking!C:D,2,FALSE)</f>
        <v>NEC</v>
      </c>
      <c r="L2253" s="92">
        <v>52</v>
      </c>
      <c r="M2253" s="92"/>
      <c r="N2253" s="89">
        <f>Table1[[#This Row],[Winning Score]]-Table1[[#This Row],[Losing Score]]</f>
        <v>8</v>
      </c>
      <c r="O2253" s="89">
        <f>Table1[[#This Row],[Losing Seed]]-Table1[[#This Row],[Winning Seed]]</f>
        <v>0</v>
      </c>
      <c r="P2253" s="89" t="str">
        <f>IF(Table1[[#This Row],[SeD]]&lt;-2,Table1[[#This Row],[Winning Seed]]&amp; " over " &amp;Table1[[#This Row],[Losing Seed]],"")</f>
        <v/>
      </c>
      <c r="Q2253" s="88">
        <f>VLOOKUP(Table1[[#This Row],[Losing Seed]],'Seed History'!$N$4:$O$19,2)</f>
        <v>6.9444444444444441E-3</v>
      </c>
      <c r="R2253" s="89">
        <f>IF(Table1[[#This Row],[Round]]="PI",0,Table1[[#This Row],[Round]]-1)</f>
        <v>0</v>
      </c>
      <c r="S2253" s="88">
        <f>Table1[[#This Row],[LAW]]-Table1[[#This Row],[LEW]]</f>
        <v>-6.9444444444444441E-3</v>
      </c>
    </row>
    <row r="2254" spans="1:19" x14ac:dyDescent="0.25">
      <c r="A2254" s="66">
        <v>44273</v>
      </c>
      <c r="B2254" s="51">
        <f>YEAR(Table1[[#This Row],[Date]])</f>
        <v>2021</v>
      </c>
      <c r="C2254" s="92" t="s">
        <v>476</v>
      </c>
      <c r="D2254" t="s">
        <v>476</v>
      </c>
      <c r="E2254" s="92">
        <v>11</v>
      </c>
      <c r="F2254" t="s">
        <v>188</v>
      </c>
      <c r="G2254" s="88" t="str">
        <f>VLOOKUP(Table1[[#This Row],[Winner]],Ranking!C:D,2,FALSE)</f>
        <v>MVC</v>
      </c>
      <c r="H2254" s="92">
        <v>53</v>
      </c>
      <c r="I2254" s="92">
        <v>11</v>
      </c>
      <c r="J2254" t="s">
        <v>417</v>
      </c>
      <c r="K2254" s="88" t="str">
        <f>VLOOKUP(Table1[[#This Row],[Loser]],Ranking!C:D,2,FALSE)</f>
        <v>Amer</v>
      </c>
      <c r="L2254" s="92">
        <v>52</v>
      </c>
      <c r="M2254" s="92"/>
      <c r="N2254" s="89">
        <f>Table1[[#This Row],[Winning Score]]-Table1[[#This Row],[Losing Score]]</f>
        <v>1</v>
      </c>
      <c r="O2254" s="89">
        <f>Table1[[#This Row],[Losing Seed]]-Table1[[#This Row],[Winning Seed]]</f>
        <v>0</v>
      </c>
      <c r="P2254" s="89" t="str">
        <f>IF(Table1[[#This Row],[SeD]]&lt;-2,Table1[[#This Row],[Winning Seed]]&amp; " over " &amp;Table1[[#This Row],[Losing Seed]],"")</f>
        <v/>
      </c>
      <c r="Q2254" s="88">
        <f>VLOOKUP(Table1[[#This Row],[Losing Seed]],'Seed History'!$N$4:$O$19,2)</f>
        <v>0.63194444444444442</v>
      </c>
      <c r="R2254" s="89">
        <f>IF(Table1[[#This Row],[Round]]="PI",0,Table1[[#This Row],[Round]]-1)</f>
        <v>0</v>
      </c>
      <c r="S2254" s="88">
        <f>Table1[[#This Row],[LAW]]-Table1[[#This Row],[LEW]]</f>
        <v>-0.63194444444444442</v>
      </c>
    </row>
    <row r="2255" spans="1:19" x14ac:dyDescent="0.25">
      <c r="A2255" s="66">
        <v>44273</v>
      </c>
      <c r="B2255" s="51">
        <f>YEAR(Table1[[#This Row],[Date]])</f>
        <v>2021</v>
      </c>
      <c r="C2255" s="92" t="s">
        <v>476</v>
      </c>
      <c r="D2255" t="s">
        <v>476</v>
      </c>
      <c r="E2255" s="92">
        <v>16</v>
      </c>
      <c r="F2255" t="s">
        <v>297</v>
      </c>
      <c r="G2255" s="88" t="str">
        <f>VLOOKUP(Table1[[#This Row],[Winner]],Ranking!C:D,2,FALSE)</f>
        <v>MEAC</v>
      </c>
      <c r="H2255" s="92">
        <v>54</v>
      </c>
      <c r="I2255" s="92">
        <v>16</v>
      </c>
      <c r="J2255" t="s">
        <v>122</v>
      </c>
      <c r="K2255" s="88" t="str">
        <f>VLOOKUP(Table1[[#This Row],[Loser]],Ranking!C:D,2,FALSE)</f>
        <v>SB</v>
      </c>
      <c r="L2255" s="92">
        <v>53</v>
      </c>
      <c r="M2255" s="92"/>
      <c r="N2255" s="89">
        <f>Table1[[#This Row],[Winning Score]]-Table1[[#This Row],[Losing Score]]</f>
        <v>1</v>
      </c>
      <c r="O2255" s="89">
        <f>Table1[[#This Row],[Losing Seed]]-Table1[[#This Row],[Winning Seed]]</f>
        <v>0</v>
      </c>
      <c r="P2255" s="89" t="str">
        <f>IF(Table1[[#This Row],[SeD]]&lt;-2,Table1[[#This Row],[Winning Seed]]&amp; " over " &amp;Table1[[#This Row],[Losing Seed]],"")</f>
        <v/>
      </c>
      <c r="Q2255" s="88">
        <f>VLOOKUP(Table1[[#This Row],[Losing Seed]],'Seed History'!$N$4:$O$19,2)</f>
        <v>6.9444444444444441E-3</v>
      </c>
      <c r="R2255" s="89">
        <f>IF(Table1[[#This Row],[Round]]="PI",0,Table1[[#This Row],[Round]]-1)</f>
        <v>0</v>
      </c>
      <c r="S2255" s="88">
        <f>Table1[[#This Row],[LAW]]-Table1[[#This Row],[LEW]]</f>
        <v>-6.9444444444444441E-3</v>
      </c>
    </row>
    <row r="2256" spans="1:19" x14ac:dyDescent="0.25">
      <c r="A2256" s="66">
        <v>44273</v>
      </c>
      <c r="B2256" s="51">
        <f>YEAR(Table1[[#This Row],[Date]])</f>
        <v>2021</v>
      </c>
      <c r="C2256" s="92" t="s">
        <v>476</v>
      </c>
      <c r="D2256" t="s">
        <v>476</v>
      </c>
      <c r="E2256" s="92">
        <v>11</v>
      </c>
      <c r="F2256" t="s">
        <v>67</v>
      </c>
      <c r="G2256" s="88" t="str">
        <f>VLOOKUP(Table1[[#This Row],[Winner]],Ranking!C:D,2,FALSE)</f>
        <v>P12</v>
      </c>
      <c r="H2256" s="92">
        <v>86</v>
      </c>
      <c r="I2256" s="92">
        <v>11</v>
      </c>
      <c r="J2256" t="s">
        <v>271</v>
      </c>
      <c r="K2256" s="88" t="str">
        <f>VLOOKUP(Table1[[#This Row],[Loser]],Ranking!C:D,2,FALSE)</f>
        <v>B10</v>
      </c>
      <c r="L2256" s="92">
        <v>80</v>
      </c>
      <c r="M2256" s="92"/>
      <c r="N2256" s="89">
        <f>Table1[[#This Row],[Winning Score]]-Table1[[#This Row],[Losing Score]]</f>
        <v>6</v>
      </c>
      <c r="O2256" s="89">
        <f>Table1[[#This Row],[Losing Seed]]-Table1[[#This Row],[Winning Seed]]</f>
        <v>0</v>
      </c>
      <c r="P2256" s="89" t="str">
        <f>IF(Table1[[#This Row],[SeD]]&lt;-2,Table1[[#This Row],[Winning Seed]]&amp; " over " &amp;Table1[[#This Row],[Losing Seed]],"")</f>
        <v/>
      </c>
      <c r="Q2256" s="88">
        <f>VLOOKUP(Table1[[#This Row],[Losing Seed]],'Seed History'!$N$4:$O$19,2)</f>
        <v>0.63194444444444442</v>
      </c>
      <c r="R2256" s="89">
        <f>IF(Table1[[#This Row],[Round]]="PI",0,Table1[[#This Row],[Round]]-1)</f>
        <v>0</v>
      </c>
      <c r="S2256" s="88">
        <f>Table1[[#This Row],[LAW]]-Table1[[#This Row],[LEW]]</f>
        <v>-0.63194444444444442</v>
      </c>
    </row>
    <row r="2257" spans="1:19" x14ac:dyDescent="0.25">
      <c r="A2257" s="66">
        <v>44274</v>
      </c>
      <c r="B2257" s="51">
        <f>YEAR(Table1[[#This Row],[Date]])</f>
        <v>2021</v>
      </c>
      <c r="C2257" s="92">
        <v>1</v>
      </c>
      <c r="D2257" t="s">
        <v>510</v>
      </c>
      <c r="E2257" s="92">
        <v>1</v>
      </c>
      <c r="F2257" t="s">
        <v>71</v>
      </c>
      <c r="G2257" s="88" t="str">
        <f>VLOOKUP(Table1[[#This Row],[Winner]],Ranking!C:D,2,FALSE)</f>
        <v>WCC</v>
      </c>
      <c r="H2257" s="92">
        <v>98</v>
      </c>
      <c r="I2257" s="92">
        <v>16</v>
      </c>
      <c r="J2257" t="s">
        <v>297</v>
      </c>
      <c r="K2257" s="88" t="str">
        <f>VLOOKUP(Table1[[#This Row],[Loser]],Ranking!C:D,2,FALSE)</f>
        <v>MEAC</v>
      </c>
      <c r="L2257" s="92">
        <v>55</v>
      </c>
      <c r="M2257" s="92"/>
      <c r="N2257" s="89">
        <f>Table1[[#This Row],[Winning Score]]-Table1[[#This Row],[Losing Score]]</f>
        <v>43</v>
      </c>
      <c r="O2257" s="89">
        <f>Table1[[#This Row],[Losing Seed]]-Table1[[#This Row],[Winning Seed]]</f>
        <v>15</v>
      </c>
      <c r="P2257" s="89" t="str">
        <f>IF(Table1[[#This Row],[SeD]]&lt;-2,Table1[[#This Row],[Winning Seed]]&amp; " over " &amp;Table1[[#This Row],[Losing Seed]],"")</f>
        <v/>
      </c>
      <c r="Q2257" s="88">
        <f>VLOOKUP(Table1[[#This Row],[Losing Seed]],'Seed History'!$N$4:$O$19,2)</f>
        <v>6.9444444444444441E-3</v>
      </c>
      <c r="R2257" s="89">
        <f>IF(Table1[[#This Row],[Round]]="PI",0,Table1[[#This Row],[Round]]-1)</f>
        <v>0</v>
      </c>
      <c r="S2257" s="88">
        <f>Table1[[#This Row],[LAW]]-Table1[[#This Row],[LEW]]</f>
        <v>-6.9444444444444441E-3</v>
      </c>
    </row>
    <row r="2258" spans="1:19" x14ac:dyDescent="0.25">
      <c r="A2258" s="66">
        <v>44274</v>
      </c>
      <c r="B2258" s="51">
        <f>YEAR(Table1[[#This Row],[Date]])</f>
        <v>2021</v>
      </c>
      <c r="C2258" s="92">
        <v>1</v>
      </c>
      <c r="D2258" t="s">
        <v>510</v>
      </c>
      <c r="E2258" s="92">
        <v>8</v>
      </c>
      <c r="F2258" t="s">
        <v>58</v>
      </c>
      <c r="G2258" s="88" t="str">
        <f>VLOOKUP(Table1[[#This Row],[Winner]],Ranking!C:D,2,FALSE)</f>
        <v>B12</v>
      </c>
      <c r="H2258" s="92">
        <v>72</v>
      </c>
      <c r="I2258" s="92">
        <v>9</v>
      </c>
      <c r="J2258" t="s">
        <v>277</v>
      </c>
      <c r="K2258" s="88" t="str">
        <f>VLOOKUP(Table1[[#This Row],[Loser]],Ranking!C:D,2,FALSE)</f>
        <v>SEC</v>
      </c>
      <c r="L2258" s="92">
        <v>68</v>
      </c>
      <c r="M2258" s="92"/>
      <c r="N2258" s="89">
        <f>Table1[[#This Row],[Winning Score]]-Table1[[#This Row],[Losing Score]]</f>
        <v>4</v>
      </c>
      <c r="O2258" s="89">
        <f>Table1[[#This Row],[Losing Seed]]-Table1[[#This Row],[Winning Seed]]</f>
        <v>1</v>
      </c>
      <c r="P2258" s="89" t="str">
        <f>IF(Table1[[#This Row],[SeD]]&lt;-2,Table1[[#This Row],[Winning Seed]]&amp; " over " &amp;Table1[[#This Row],[Losing Seed]],"")</f>
        <v/>
      </c>
      <c r="Q2258" s="88">
        <f>VLOOKUP(Table1[[#This Row],[Losing Seed]],'Seed History'!$N$4:$O$19,2)</f>
        <v>0.59027777777777779</v>
      </c>
      <c r="R2258" s="89">
        <f>IF(Table1[[#This Row],[Round]]="PI",0,Table1[[#This Row],[Round]]-1)</f>
        <v>0</v>
      </c>
      <c r="S2258" s="88">
        <f>Table1[[#This Row],[LAW]]-Table1[[#This Row],[LEW]]</f>
        <v>-0.59027777777777779</v>
      </c>
    </row>
    <row r="2259" spans="1:19" x14ac:dyDescent="0.25">
      <c r="A2259" s="66">
        <v>44274</v>
      </c>
      <c r="B2259" s="51">
        <f>YEAR(Table1[[#This Row],[Date]])</f>
        <v>2021</v>
      </c>
      <c r="C2259" s="92">
        <v>1</v>
      </c>
      <c r="D2259" t="s">
        <v>510</v>
      </c>
      <c r="E2259" s="92">
        <v>5</v>
      </c>
      <c r="F2259" t="s">
        <v>88</v>
      </c>
      <c r="G2259" s="88" t="str">
        <f>VLOOKUP(Table1[[#This Row],[Winner]],Ranking!C:D,2,FALSE)</f>
        <v>BE</v>
      </c>
      <c r="H2259" s="92">
        <v>63</v>
      </c>
      <c r="I2259" s="92">
        <v>12</v>
      </c>
      <c r="J2259" t="s">
        <v>388</v>
      </c>
      <c r="K2259" s="88" t="str">
        <f>VLOOKUP(Table1[[#This Row],[Loser]],Ranking!C:D,2,FALSE)</f>
        <v>BW</v>
      </c>
      <c r="L2259" s="92">
        <v>62</v>
      </c>
      <c r="M2259" s="92"/>
      <c r="N2259" s="89">
        <f>Table1[[#This Row],[Winning Score]]-Table1[[#This Row],[Losing Score]]</f>
        <v>1</v>
      </c>
      <c r="O2259" s="89">
        <f>Table1[[#This Row],[Losing Seed]]-Table1[[#This Row],[Winning Seed]]</f>
        <v>7</v>
      </c>
      <c r="P2259" s="89" t="str">
        <f>IF(Table1[[#This Row],[SeD]]&lt;-2,Table1[[#This Row],[Winning Seed]]&amp; " over " &amp;Table1[[#This Row],[Losing Seed]],"")</f>
        <v/>
      </c>
      <c r="Q2259" s="88">
        <f>VLOOKUP(Table1[[#This Row],[Losing Seed]],'Seed History'!$N$4:$O$19,2)</f>
        <v>0.52083333333333337</v>
      </c>
      <c r="R2259" s="89">
        <f>IF(Table1[[#This Row],[Round]]="PI",0,Table1[[#This Row],[Round]]-1)</f>
        <v>0</v>
      </c>
      <c r="S2259" s="88">
        <f>Table1[[#This Row],[LAW]]-Table1[[#This Row],[LEW]]</f>
        <v>-0.52083333333333337</v>
      </c>
    </row>
    <row r="2260" spans="1:19" x14ac:dyDescent="0.25">
      <c r="A2260" s="66">
        <v>44274</v>
      </c>
      <c r="B2260" s="51">
        <f>YEAR(Table1[[#This Row],[Date]])</f>
        <v>2021</v>
      </c>
      <c r="C2260" s="92">
        <v>1</v>
      </c>
      <c r="D2260" t="s">
        <v>510</v>
      </c>
      <c r="E2260" s="92">
        <v>13</v>
      </c>
      <c r="F2260" t="s">
        <v>314</v>
      </c>
      <c r="G2260" s="88" t="str">
        <f>VLOOKUP(Table1[[#This Row],[Winner]],Ranking!C:D,2,FALSE)</f>
        <v>MAC</v>
      </c>
      <c r="H2260" s="92">
        <v>62</v>
      </c>
      <c r="I2260" s="92">
        <v>4</v>
      </c>
      <c r="J2260" t="s">
        <v>61</v>
      </c>
      <c r="K2260" s="88" t="str">
        <f>VLOOKUP(Table1[[#This Row],[Loser]],Ranking!C:D,2,FALSE)</f>
        <v>ACC</v>
      </c>
      <c r="L2260" s="92">
        <v>58</v>
      </c>
      <c r="M2260" s="92"/>
      <c r="N2260" s="89">
        <f>Table1[[#This Row],[Winning Score]]-Table1[[#This Row],[Losing Score]]</f>
        <v>4</v>
      </c>
      <c r="O2260" s="89">
        <f>Table1[[#This Row],[Losing Seed]]-Table1[[#This Row],[Winning Seed]]</f>
        <v>-9</v>
      </c>
      <c r="P2260" s="89" t="str">
        <f>IF(Table1[[#This Row],[SeD]]&lt;-2,Table1[[#This Row],[Winning Seed]]&amp; " over " &amp;Table1[[#This Row],[Losing Seed]],"")</f>
        <v>13 over 4</v>
      </c>
      <c r="Q2260" s="88">
        <f>VLOOKUP(Table1[[#This Row],[Losing Seed]],'Seed History'!$N$4:$O$19,2)</f>
        <v>1.5208333333333333</v>
      </c>
      <c r="R2260" s="89">
        <f>IF(Table1[[#This Row],[Round]]="PI",0,Table1[[#This Row],[Round]]-1)</f>
        <v>0</v>
      </c>
      <c r="S2260" s="88">
        <f>Table1[[#This Row],[LAW]]-Table1[[#This Row],[LEW]]</f>
        <v>-1.5208333333333333</v>
      </c>
    </row>
    <row r="2261" spans="1:19" x14ac:dyDescent="0.25">
      <c r="A2261" s="66">
        <v>44274</v>
      </c>
      <c r="B2261" s="51">
        <f>YEAR(Table1[[#This Row],[Date]])</f>
        <v>2021</v>
      </c>
      <c r="C2261" s="92">
        <v>1</v>
      </c>
      <c r="D2261" t="s">
        <v>510</v>
      </c>
      <c r="E2261" s="92">
        <v>6</v>
      </c>
      <c r="F2261" t="s">
        <v>85</v>
      </c>
      <c r="G2261" s="88" t="str">
        <f>VLOOKUP(Table1[[#This Row],[Winner]],Ranking!C:D,2,FALSE)</f>
        <v>P12</v>
      </c>
      <c r="H2261" s="92">
        <v>72</v>
      </c>
      <c r="I2261" s="92">
        <v>11</v>
      </c>
      <c r="J2261" t="s">
        <v>188</v>
      </c>
      <c r="K2261" s="88" t="str">
        <f>VLOOKUP(Table1[[#This Row],[Loser]],Ranking!C:D,2,FALSE)</f>
        <v>MVC</v>
      </c>
      <c r="L2261" s="92">
        <v>56</v>
      </c>
      <c r="M2261" s="92"/>
      <c r="N2261" s="89">
        <f>Table1[[#This Row],[Winning Score]]-Table1[[#This Row],[Losing Score]]</f>
        <v>16</v>
      </c>
      <c r="O2261" s="89">
        <f>Table1[[#This Row],[Losing Seed]]-Table1[[#This Row],[Winning Seed]]</f>
        <v>5</v>
      </c>
      <c r="P2261" s="89" t="str">
        <f>IF(Table1[[#This Row],[SeD]]&lt;-2,Table1[[#This Row],[Winning Seed]]&amp; " over " &amp;Table1[[#This Row],[Losing Seed]],"")</f>
        <v/>
      </c>
      <c r="Q2261" s="88">
        <f>VLOOKUP(Table1[[#This Row],[Losing Seed]],'Seed History'!$N$4:$O$19,2)</f>
        <v>0.63194444444444442</v>
      </c>
      <c r="R2261" s="89">
        <f>IF(Table1[[#This Row],[Round]]="PI",0,Table1[[#This Row],[Round]]-1)</f>
        <v>0</v>
      </c>
      <c r="S2261" s="88">
        <f>Table1[[#This Row],[LAW]]-Table1[[#This Row],[LEW]]</f>
        <v>-0.63194444444444442</v>
      </c>
    </row>
    <row r="2262" spans="1:19" x14ac:dyDescent="0.25">
      <c r="A2262" s="66">
        <v>44274</v>
      </c>
      <c r="B2262" s="51">
        <f>YEAR(Table1[[#This Row],[Date]])</f>
        <v>2021</v>
      </c>
      <c r="C2262" s="92">
        <v>1</v>
      </c>
      <c r="D2262" t="s">
        <v>510</v>
      </c>
      <c r="E2262" s="92">
        <v>3</v>
      </c>
      <c r="F2262" t="s">
        <v>37</v>
      </c>
      <c r="G2262" s="88" t="str">
        <f>VLOOKUP(Table1[[#This Row],[Winner]],Ranking!C:D,2,FALSE)</f>
        <v>B12</v>
      </c>
      <c r="H2262" s="92">
        <v>93</v>
      </c>
      <c r="I2262" s="92">
        <v>14</v>
      </c>
      <c r="J2262" t="s">
        <v>196</v>
      </c>
      <c r="K2262" s="88" t="str">
        <f>VLOOKUP(Table1[[#This Row],[Loser]],Ranking!C:D,2,FALSE)</f>
        <v>BSky</v>
      </c>
      <c r="L2262" s="92">
        <v>84</v>
      </c>
      <c r="M2262" s="92"/>
      <c r="N2262" s="89">
        <f>Table1[[#This Row],[Winning Score]]-Table1[[#This Row],[Losing Score]]</f>
        <v>9</v>
      </c>
      <c r="O2262" s="89">
        <f>Table1[[#This Row],[Losing Seed]]-Table1[[#This Row],[Winning Seed]]</f>
        <v>11</v>
      </c>
      <c r="P2262" s="89" t="str">
        <f>IF(Table1[[#This Row],[SeD]]&lt;-2,Table1[[#This Row],[Winning Seed]]&amp; " over " &amp;Table1[[#This Row],[Losing Seed]],"")</f>
        <v/>
      </c>
      <c r="Q2262" s="88">
        <f>VLOOKUP(Table1[[#This Row],[Losing Seed]],'Seed History'!$N$4:$O$19,2)</f>
        <v>0.16666666666666666</v>
      </c>
      <c r="R2262" s="89">
        <f>IF(Table1[[#This Row],[Round]]="PI",0,Table1[[#This Row],[Round]]-1)</f>
        <v>0</v>
      </c>
      <c r="S2262" s="88">
        <f>Table1[[#This Row],[LAW]]-Table1[[#This Row],[LEW]]</f>
        <v>-0.16666666666666666</v>
      </c>
    </row>
    <row r="2263" spans="1:19" x14ac:dyDescent="0.25">
      <c r="A2263" s="66">
        <v>44274</v>
      </c>
      <c r="B2263" s="51">
        <f>YEAR(Table1[[#This Row],[Date]])</f>
        <v>2021</v>
      </c>
      <c r="C2263" s="92">
        <v>1</v>
      </c>
      <c r="D2263" t="s">
        <v>510</v>
      </c>
      <c r="E2263" s="92">
        <v>7</v>
      </c>
      <c r="F2263" t="s">
        <v>40</v>
      </c>
      <c r="G2263" s="88" t="str">
        <f>VLOOKUP(Table1[[#This Row],[Winner]],Ranking!C:D,2,FALSE)</f>
        <v>P12</v>
      </c>
      <c r="H2263" s="92"/>
      <c r="I2263" s="92">
        <v>10</v>
      </c>
      <c r="J2263" t="s">
        <v>47</v>
      </c>
      <c r="K2263" s="88" t="str">
        <f>VLOOKUP(Table1[[#This Row],[Loser]],Ranking!C:D,2,FALSE)</f>
        <v>A10</v>
      </c>
      <c r="L2263" s="92"/>
      <c r="M2263" s="92"/>
      <c r="N2263" s="89">
        <f>Table1[[#This Row],[Winning Score]]-Table1[[#This Row],[Losing Score]]</f>
        <v>0</v>
      </c>
      <c r="O2263" s="89">
        <f>Table1[[#This Row],[Losing Seed]]-Table1[[#This Row],[Winning Seed]]</f>
        <v>3</v>
      </c>
      <c r="P2263" s="89" t="str">
        <f>IF(Table1[[#This Row],[SeD]]&lt;-2,Table1[[#This Row],[Winning Seed]]&amp; " over " &amp;Table1[[#This Row],[Losing Seed]],"")</f>
        <v/>
      </c>
      <c r="Q2263" s="88">
        <f>VLOOKUP(Table1[[#This Row],[Losing Seed]],'Seed History'!$N$4:$O$19,2)</f>
        <v>0.61805555555555558</v>
      </c>
      <c r="R2263" s="89">
        <f>IF(Table1[[#This Row],[Round]]="PI",0,Table1[[#This Row],[Round]]-1)</f>
        <v>0</v>
      </c>
      <c r="S2263" s="88">
        <f>Table1[[#This Row],[LAW]]-Table1[[#This Row],[LEW]]</f>
        <v>-0.61805555555555558</v>
      </c>
    </row>
    <row r="2264" spans="1:19" x14ac:dyDescent="0.25">
      <c r="A2264" s="66">
        <v>44274</v>
      </c>
      <c r="B2264" s="51">
        <f>YEAR(Table1[[#This Row],[Date]])</f>
        <v>2021</v>
      </c>
      <c r="C2264" s="92">
        <v>1</v>
      </c>
      <c r="D2264" t="s">
        <v>510</v>
      </c>
      <c r="E2264" s="92">
        <v>2</v>
      </c>
      <c r="F2264" t="s">
        <v>69</v>
      </c>
      <c r="G2264" s="88" t="str">
        <f>VLOOKUP(Table1[[#This Row],[Winner]],Ranking!C:D,2,FALSE)</f>
        <v>B10</v>
      </c>
      <c r="H2264" s="92">
        <v>86</v>
      </c>
      <c r="I2264" s="92">
        <v>15</v>
      </c>
      <c r="J2264" t="s">
        <v>218</v>
      </c>
      <c r="K2264" s="88" t="str">
        <f>VLOOKUP(Table1[[#This Row],[Loser]],Ranking!C:D,2,FALSE)</f>
        <v>WAC</v>
      </c>
      <c r="L2264" s="92">
        <v>74</v>
      </c>
      <c r="M2264" s="92"/>
      <c r="N2264" s="89">
        <f>Table1[[#This Row],[Winning Score]]-Table1[[#This Row],[Losing Score]]</f>
        <v>12</v>
      </c>
      <c r="O2264" s="89">
        <f>Table1[[#This Row],[Losing Seed]]-Table1[[#This Row],[Winning Seed]]</f>
        <v>13</v>
      </c>
      <c r="P2264" s="89" t="str">
        <f>IF(Table1[[#This Row],[SeD]]&lt;-2,Table1[[#This Row],[Winning Seed]]&amp; " over " &amp;Table1[[#This Row],[Losing Seed]],"")</f>
        <v/>
      </c>
      <c r="Q2264" s="88">
        <f>VLOOKUP(Table1[[#This Row],[Losing Seed]],'Seed History'!$N$4:$O$19,2)</f>
        <v>7.6388888888888895E-2</v>
      </c>
      <c r="R2264" s="89">
        <f>IF(Table1[[#This Row],[Round]]="PI",0,Table1[[#This Row],[Round]]-1)</f>
        <v>0</v>
      </c>
      <c r="S2264" s="88">
        <f>Table1[[#This Row],[LAW]]-Table1[[#This Row],[LEW]]</f>
        <v>-7.6388888888888895E-2</v>
      </c>
    </row>
    <row r="2265" spans="1:19" x14ac:dyDescent="0.25">
      <c r="A2265" s="66">
        <v>44274</v>
      </c>
      <c r="B2265" s="51">
        <f>YEAR(Table1[[#This Row],[Date]])</f>
        <v>2021</v>
      </c>
      <c r="C2265" s="92">
        <v>1</v>
      </c>
      <c r="D2265" t="s">
        <v>512</v>
      </c>
      <c r="E2265" s="92">
        <v>1</v>
      </c>
      <c r="F2265" t="s">
        <v>82</v>
      </c>
      <c r="G2265" s="88" t="str">
        <f>VLOOKUP(Table1[[#This Row],[Winner]],Ranking!C:D,2,FALSE)</f>
        <v>B10</v>
      </c>
      <c r="H2265" s="92">
        <v>82</v>
      </c>
      <c r="I2265" s="92">
        <v>16</v>
      </c>
      <c r="J2265" t="s">
        <v>379</v>
      </c>
      <c r="K2265" s="88" t="str">
        <f>VLOOKUP(Table1[[#This Row],[Loser]],Ranking!C:D,2,FALSE)</f>
        <v>SWAC</v>
      </c>
      <c r="L2265" s="92">
        <v>66</v>
      </c>
      <c r="M2265" s="92"/>
      <c r="N2265" s="89">
        <f>Table1[[#This Row],[Winning Score]]-Table1[[#This Row],[Losing Score]]</f>
        <v>16</v>
      </c>
      <c r="O2265" s="89">
        <f>Table1[[#This Row],[Losing Seed]]-Table1[[#This Row],[Winning Seed]]</f>
        <v>15</v>
      </c>
      <c r="P2265" s="89" t="str">
        <f>IF(Table1[[#This Row],[SeD]]&lt;-2,Table1[[#This Row],[Winning Seed]]&amp; " over " &amp;Table1[[#This Row],[Losing Seed]],"")</f>
        <v/>
      </c>
      <c r="Q2265" s="88">
        <f>VLOOKUP(Table1[[#This Row],[Losing Seed]],'Seed History'!$N$4:$O$19,2)</f>
        <v>6.9444444444444441E-3</v>
      </c>
      <c r="R2265" s="89">
        <f>IF(Table1[[#This Row],[Round]]="PI",0,Table1[[#This Row],[Round]]-1)</f>
        <v>0</v>
      </c>
      <c r="S2265" s="88">
        <f>Table1[[#This Row],[LAW]]-Table1[[#This Row],[LEW]]</f>
        <v>-6.9444444444444441E-3</v>
      </c>
    </row>
    <row r="2266" spans="1:19" x14ac:dyDescent="0.25">
      <c r="A2266" s="66">
        <v>44274</v>
      </c>
      <c r="B2266" s="51">
        <f>YEAR(Table1[[#This Row],[Date]])</f>
        <v>2021</v>
      </c>
      <c r="C2266" s="92">
        <v>1</v>
      </c>
      <c r="D2266" t="s">
        <v>512</v>
      </c>
      <c r="E2266" s="92">
        <v>8</v>
      </c>
      <c r="F2266" t="s">
        <v>52</v>
      </c>
      <c r="G2266" s="88" t="str">
        <f>VLOOKUP(Table1[[#This Row],[Winner]],Ranking!C:D,2,FALSE)</f>
        <v>SEC</v>
      </c>
      <c r="H2266" s="92">
        <v>76</v>
      </c>
      <c r="I2266" s="92">
        <v>9</v>
      </c>
      <c r="J2266" t="s">
        <v>365</v>
      </c>
      <c r="K2266" s="88" t="str">
        <f>VLOOKUP(Table1[[#This Row],[Loser]],Ranking!C:D,2,FALSE)</f>
        <v>A10</v>
      </c>
      <c r="L2266" s="92">
        <v>61</v>
      </c>
      <c r="M2266" s="92"/>
      <c r="N2266" s="89">
        <f>Table1[[#This Row],[Winning Score]]-Table1[[#This Row],[Losing Score]]</f>
        <v>15</v>
      </c>
      <c r="O2266" s="89">
        <f>Table1[[#This Row],[Losing Seed]]-Table1[[#This Row],[Winning Seed]]</f>
        <v>1</v>
      </c>
      <c r="P2266" s="89" t="str">
        <f>IF(Table1[[#This Row],[SeD]]&lt;-2,Table1[[#This Row],[Winning Seed]]&amp; " over " &amp;Table1[[#This Row],[Losing Seed]],"")</f>
        <v/>
      </c>
      <c r="Q2266" s="88">
        <f>VLOOKUP(Table1[[#This Row],[Losing Seed]],'Seed History'!$N$4:$O$19,2)</f>
        <v>0.59027777777777779</v>
      </c>
      <c r="R2266" s="89">
        <f>IF(Table1[[#This Row],[Round]]="PI",0,Table1[[#This Row],[Round]]-1)</f>
        <v>0</v>
      </c>
      <c r="S2266" s="88">
        <f>Table1[[#This Row],[LAW]]-Table1[[#This Row],[LEW]]</f>
        <v>-0.59027777777777779</v>
      </c>
    </row>
    <row r="2267" spans="1:19" x14ac:dyDescent="0.25">
      <c r="A2267" s="66">
        <v>44274</v>
      </c>
      <c r="B2267" s="51">
        <f>YEAR(Table1[[#This Row],[Date]])</f>
        <v>2021</v>
      </c>
      <c r="C2267" s="92">
        <v>1</v>
      </c>
      <c r="D2267" t="s">
        <v>512</v>
      </c>
      <c r="E2267" s="92">
        <v>5</v>
      </c>
      <c r="F2267" t="s">
        <v>95</v>
      </c>
      <c r="G2267" s="88" t="str">
        <f>VLOOKUP(Table1[[#This Row],[Winner]],Ranking!C:D,2,FALSE)</f>
        <v>P12</v>
      </c>
      <c r="H2267" s="92">
        <v>96</v>
      </c>
      <c r="I2267" s="92">
        <v>12</v>
      </c>
      <c r="J2267" t="s">
        <v>66</v>
      </c>
      <c r="K2267" s="88" t="str">
        <f>VLOOKUP(Table1[[#This Row],[Loser]],Ranking!C:D,2,FALSE)</f>
        <v>BE</v>
      </c>
      <c r="L2267" s="92">
        <v>73</v>
      </c>
      <c r="M2267" s="92"/>
      <c r="N2267" s="89">
        <f>Table1[[#This Row],[Winning Score]]-Table1[[#This Row],[Losing Score]]</f>
        <v>23</v>
      </c>
      <c r="O2267" s="89">
        <f>Table1[[#This Row],[Losing Seed]]-Table1[[#This Row],[Winning Seed]]</f>
        <v>7</v>
      </c>
      <c r="P2267" s="89" t="str">
        <f>IF(Table1[[#This Row],[SeD]]&lt;-2,Table1[[#This Row],[Winning Seed]]&amp; " over " &amp;Table1[[#This Row],[Losing Seed]],"")</f>
        <v/>
      </c>
      <c r="Q2267" s="88">
        <f>VLOOKUP(Table1[[#This Row],[Losing Seed]],'Seed History'!$N$4:$O$19,2)</f>
        <v>0.52083333333333337</v>
      </c>
      <c r="R2267" s="89">
        <f>IF(Table1[[#This Row],[Round]]="PI",0,Table1[[#This Row],[Round]]-1)</f>
        <v>0</v>
      </c>
      <c r="S2267" s="88">
        <f>Table1[[#This Row],[LAW]]-Table1[[#This Row],[LEW]]</f>
        <v>-0.52083333333333337</v>
      </c>
    </row>
    <row r="2268" spans="1:19" x14ac:dyDescent="0.25">
      <c r="A2268" s="66">
        <v>44274</v>
      </c>
      <c r="B2268" s="51">
        <f>YEAR(Table1[[#This Row],[Date]])</f>
        <v>2021</v>
      </c>
      <c r="C2268" s="92">
        <v>1</v>
      </c>
      <c r="D2268" t="s">
        <v>512</v>
      </c>
      <c r="E2268" s="92">
        <v>4</v>
      </c>
      <c r="F2268" t="s">
        <v>207</v>
      </c>
      <c r="G2268" s="88" t="str">
        <f>VLOOKUP(Table1[[#This Row],[Winner]],Ranking!C:D,2,FALSE)</f>
        <v>ACC</v>
      </c>
      <c r="H2268" s="92">
        <v>64</v>
      </c>
      <c r="I2268" s="92">
        <v>13</v>
      </c>
      <c r="J2268" t="s">
        <v>394</v>
      </c>
      <c r="K2268" s="88" t="str">
        <f>VLOOKUP(Table1[[#This Row],[Loser]],Ranking!C:D,2,FALSE)</f>
        <v>SC</v>
      </c>
      <c r="L2268" s="92">
        <v>54</v>
      </c>
      <c r="M2268" s="92"/>
      <c r="N2268" s="89">
        <f>Table1[[#This Row],[Winning Score]]-Table1[[#This Row],[Losing Score]]</f>
        <v>10</v>
      </c>
      <c r="O2268" s="89">
        <f>Table1[[#This Row],[Losing Seed]]-Table1[[#This Row],[Winning Seed]]</f>
        <v>9</v>
      </c>
      <c r="P2268" s="89" t="str">
        <f>IF(Table1[[#This Row],[SeD]]&lt;-2,Table1[[#This Row],[Winning Seed]]&amp; " over " &amp;Table1[[#This Row],[Losing Seed]],"")</f>
        <v/>
      </c>
      <c r="Q2268" s="88">
        <f>VLOOKUP(Table1[[#This Row],[Losing Seed]],'Seed History'!$N$4:$O$19,2)</f>
        <v>0.25694444444444442</v>
      </c>
      <c r="R2268" s="89">
        <f>IF(Table1[[#This Row],[Round]]="PI",0,Table1[[#This Row],[Round]]-1)</f>
        <v>0</v>
      </c>
      <c r="S2268" s="88">
        <f>Table1[[#This Row],[LAW]]-Table1[[#This Row],[LEW]]</f>
        <v>-0.25694444444444442</v>
      </c>
    </row>
    <row r="2269" spans="1:19" x14ac:dyDescent="0.25">
      <c r="A2269" s="66">
        <v>44274</v>
      </c>
      <c r="B2269" s="51">
        <f>YEAR(Table1[[#This Row],[Date]])</f>
        <v>2021</v>
      </c>
      <c r="C2269" s="92">
        <v>1</v>
      </c>
      <c r="D2269" t="s">
        <v>512</v>
      </c>
      <c r="E2269" s="92">
        <v>11</v>
      </c>
      <c r="F2269" t="s">
        <v>67</v>
      </c>
      <c r="G2269" s="88" t="str">
        <f>VLOOKUP(Table1[[#This Row],[Winner]],Ranking!C:D,2,FALSE)</f>
        <v>P12</v>
      </c>
      <c r="H2269" s="92">
        <v>73</v>
      </c>
      <c r="I2269" s="92">
        <v>6</v>
      </c>
      <c r="J2269" t="s">
        <v>72</v>
      </c>
      <c r="K2269" s="88" t="str">
        <f>VLOOKUP(Table1[[#This Row],[Loser]],Ranking!C:D,2,FALSE)</f>
        <v>WCC</v>
      </c>
      <c r="L2269" s="92">
        <v>62</v>
      </c>
      <c r="M2269" s="92"/>
      <c r="N2269" s="89">
        <f>Table1[[#This Row],[Winning Score]]-Table1[[#This Row],[Losing Score]]</f>
        <v>11</v>
      </c>
      <c r="O2269" s="89">
        <f>Table1[[#This Row],[Losing Seed]]-Table1[[#This Row],[Winning Seed]]</f>
        <v>-5</v>
      </c>
      <c r="P2269" s="89" t="str">
        <f>IF(Table1[[#This Row],[SeD]]&lt;-2,Table1[[#This Row],[Winning Seed]]&amp; " over " &amp;Table1[[#This Row],[Losing Seed]],"")</f>
        <v>11 over 6</v>
      </c>
      <c r="Q2269" s="88">
        <f>VLOOKUP(Table1[[#This Row],[Losing Seed]],'Seed History'!$N$4:$O$19,2)</f>
        <v>1.0625</v>
      </c>
      <c r="R2269" s="89">
        <f>IF(Table1[[#This Row],[Round]]="PI",0,Table1[[#This Row],[Round]]-1)</f>
        <v>0</v>
      </c>
      <c r="S2269" s="88">
        <f>Table1[[#This Row],[LAW]]-Table1[[#This Row],[LEW]]</f>
        <v>-1.0625</v>
      </c>
    </row>
    <row r="2270" spans="1:19" x14ac:dyDescent="0.25">
      <c r="A2270" s="66">
        <v>44274</v>
      </c>
      <c r="B2270" s="51">
        <f>YEAR(Table1[[#This Row],[Date]])</f>
        <v>2021</v>
      </c>
      <c r="C2270" s="92">
        <v>1</v>
      </c>
      <c r="D2270" t="s">
        <v>512</v>
      </c>
      <c r="E2270" s="92">
        <v>14</v>
      </c>
      <c r="F2270" t="s">
        <v>107</v>
      </c>
      <c r="G2270" s="88" t="str">
        <f>VLOOKUP(Table1[[#This Row],[Winner]],Ranking!C:D,2,FALSE)</f>
        <v>Slnd</v>
      </c>
      <c r="H2270" s="92">
        <v>53</v>
      </c>
      <c r="I2270" s="92">
        <v>3</v>
      </c>
      <c r="J2270" t="s">
        <v>34</v>
      </c>
      <c r="K2270" s="88" t="str">
        <f>VLOOKUP(Table1[[#This Row],[Loser]],Ranking!C:D,2,FALSE)</f>
        <v>B12</v>
      </c>
      <c r="L2270" s="92">
        <v>52</v>
      </c>
      <c r="M2270" s="92"/>
      <c r="N2270" s="89">
        <f>Table1[[#This Row],[Winning Score]]-Table1[[#This Row],[Losing Score]]</f>
        <v>1</v>
      </c>
      <c r="O2270" s="89">
        <f>Table1[[#This Row],[Losing Seed]]-Table1[[#This Row],[Winning Seed]]</f>
        <v>-11</v>
      </c>
      <c r="P2270" s="89" t="str">
        <f>IF(Table1[[#This Row],[SeD]]&lt;-2,Table1[[#This Row],[Winning Seed]]&amp; " over " &amp;Table1[[#This Row],[Losing Seed]],"")</f>
        <v>14 over 3</v>
      </c>
      <c r="Q2270" s="88">
        <f>VLOOKUP(Table1[[#This Row],[Losing Seed]],'Seed History'!$N$4:$O$19,2)</f>
        <v>1.8472222222222223</v>
      </c>
      <c r="R2270" s="89">
        <f>IF(Table1[[#This Row],[Round]]="PI",0,Table1[[#This Row],[Round]]-1)</f>
        <v>0</v>
      </c>
      <c r="S2270" s="88">
        <f>Table1[[#This Row],[LAW]]-Table1[[#This Row],[LEW]]</f>
        <v>-1.8472222222222223</v>
      </c>
    </row>
    <row r="2271" spans="1:19" x14ac:dyDescent="0.25">
      <c r="A2271" s="66">
        <v>44274</v>
      </c>
      <c r="B2271" s="51">
        <f>YEAR(Table1[[#This Row],[Date]])</f>
        <v>2021</v>
      </c>
      <c r="C2271" s="92">
        <v>1</v>
      </c>
      <c r="D2271" t="s">
        <v>512</v>
      </c>
      <c r="E2271" s="92">
        <v>10</v>
      </c>
      <c r="F2271" t="s">
        <v>31</v>
      </c>
      <c r="G2271" s="88" t="str">
        <f>VLOOKUP(Table1[[#This Row],[Winner]],Ranking!C:D,2,FALSE)</f>
        <v>B10</v>
      </c>
      <c r="H2271" s="92">
        <v>63</v>
      </c>
      <c r="I2271" s="92">
        <v>7</v>
      </c>
      <c r="J2271" t="s">
        <v>80</v>
      </c>
      <c r="K2271" s="88" t="str">
        <f>VLOOKUP(Table1[[#This Row],[Loser]],Ranking!C:D,2,FALSE)</f>
        <v>BE</v>
      </c>
      <c r="L2271" s="92">
        <v>54</v>
      </c>
      <c r="M2271" s="92"/>
      <c r="N2271" s="89">
        <f>Table1[[#This Row],[Winning Score]]-Table1[[#This Row],[Losing Score]]</f>
        <v>9</v>
      </c>
      <c r="O2271" s="89">
        <f>Table1[[#This Row],[Losing Seed]]-Table1[[#This Row],[Winning Seed]]</f>
        <v>-3</v>
      </c>
      <c r="P2271" s="89" t="str">
        <f>IF(Table1[[#This Row],[SeD]]&lt;-2,Table1[[#This Row],[Winning Seed]]&amp; " over " &amp;Table1[[#This Row],[Losing Seed]],"")</f>
        <v>10 over 7</v>
      </c>
      <c r="Q2271" s="88">
        <f>VLOOKUP(Table1[[#This Row],[Losing Seed]],'Seed History'!$N$4:$O$19,2)</f>
        <v>0.90277777777777779</v>
      </c>
      <c r="R2271" s="89">
        <f>IF(Table1[[#This Row],[Round]]="PI",0,Table1[[#This Row],[Round]]-1)</f>
        <v>0</v>
      </c>
      <c r="S2271" s="88">
        <f>Table1[[#This Row],[LAW]]-Table1[[#This Row],[LEW]]</f>
        <v>-0.90277777777777779</v>
      </c>
    </row>
    <row r="2272" spans="1:19" x14ac:dyDescent="0.25">
      <c r="A2272" s="66">
        <v>44274</v>
      </c>
      <c r="B2272" s="51">
        <f>YEAR(Table1[[#This Row],[Date]])</f>
        <v>2021</v>
      </c>
      <c r="C2272" s="92">
        <v>1</v>
      </c>
      <c r="D2272" t="s">
        <v>512</v>
      </c>
      <c r="E2272" s="92">
        <v>2</v>
      </c>
      <c r="F2272" t="s">
        <v>113</v>
      </c>
      <c r="G2272" s="88" t="str">
        <f>VLOOKUP(Table1[[#This Row],[Winner]],Ranking!C:D,2,FALSE)</f>
        <v>SEC</v>
      </c>
      <c r="H2272" s="92">
        <v>68</v>
      </c>
      <c r="I2272" s="92">
        <v>15</v>
      </c>
      <c r="J2272" t="s">
        <v>236</v>
      </c>
      <c r="K2272" s="88" t="str">
        <f>VLOOKUP(Table1[[#This Row],[Loser]],Ranking!C:D,2,FALSE)</f>
        <v>MAAC</v>
      </c>
      <c r="L2272" s="92">
        <v>55</v>
      </c>
      <c r="M2272" s="92"/>
      <c r="N2272" s="89">
        <f>Table1[[#This Row],[Winning Score]]-Table1[[#This Row],[Losing Score]]</f>
        <v>13</v>
      </c>
      <c r="O2272" s="89">
        <f>Table1[[#This Row],[Losing Seed]]-Table1[[#This Row],[Winning Seed]]</f>
        <v>13</v>
      </c>
      <c r="P2272" s="89" t="str">
        <f>IF(Table1[[#This Row],[SeD]]&lt;-2,Table1[[#This Row],[Winning Seed]]&amp; " over " &amp;Table1[[#This Row],[Losing Seed]],"")</f>
        <v/>
      </c>
      <c r="Q2272" s="88">
        <f>VLOOKUP(Table1[[#This Row],[Losing Seed]],'Seed History'!$N$4:$O$19,2)</f>
        <v>7.6388888888888895E-2</v>
      </c>
      <c r="R2272" s="89">
        <f>IF(Table1[[#This Row],[Round]]="PI",0,Table1[[#This Row],[Round]]-1)</f>
        <v>0</v>
      </c>
      <c r="S2272" s="88">
        <f>Table1[[#This Row],[LAW]]-Table1[[#This Row],[LEW]]</f>
        <v>-7.6388888888888895E-2</v>
      </c>
    </row>
    <row r="2273" spans="1:19" x14ac:dyDescent="0.25">
      <c r="A2273" s="66">
        <v>44274</v>
      </c>
      <c r="B2273" s="51">
        <f>YEAR(Table1[[#This Row],[Date]])</f>
        <v>2021</v>
      </c>
      <c r="C2273" s="92">
        <v>1</v>
      </c>
      <c r="D2273" t="s">
        <v>511</v>
      </c>
      <c r="E2273" s="92">
        <v>1</v>
      </c>
      <c r="F2273" t="s">
        <v>46</v>
      </c>
      <c r="G2273" s="88" t="str">
        <f>VLOOKUP(Table1[[#This Row],[Winner]],Ranking!C:D,2,FALSE)</f>
        <v>B12</v>
      </c>
      <c r="H2273" s="92">
        <v>79</v>
      </c>
      <c r="I2273" s="92">
        <v>16</v>
      </c>
      <c r="J2273" t="s">
        <v>220</v>
      </c>
      <c r="K2273" s="88" t="str">
        <f>VLOOKUP(Table1[[#This Row],[Loser]],Ranking!C:D,2,FALSE)</f>
        <v>AE</v>
      </c>
      <c r="L2273" s="92">
        <v>55</v>
      </c>
      <c r="M2273" s="92"/>
      <c r="N2273" s="89">
        <f>Table1[[#This Row],[Winning Score]]-Table1[[#This Row],[Losing Score]]</f>
        <v>24</v>
      </c>
      <c r="O2273" s="89">
        <f>Table1[[#This Row],[Losing Seed]]-Table1[[#This Row],[Winning Seed]]</f>
        <v>15</v>
      </c>
      <c r="P2273" s="89" t="str">
        <f>IF(Table1[[#This Row],[SeD]]&lt;-2,Table1[[#This Row],[Winning Seed]]&amp; " over " &amp;Table1[[#This Row],[Losing Seed]],"")</f>
        <v/>
      </c>
      <c r="Q2273" s="88">
        <f>VLOOKUP(Table1[[#This Row],[Losing Seed]],'Seed History'!$N$4:$O$19,2)</f>
        <v>6.9444444444444441E-3</v>
      </c>
      <c r="R2273" s="89">
        <f>IF(Table1[[#This Row],[Round]]="PI",0,Table1[[#This Row],[Round]]-1)</f>
        <v>0</v>
      </c>
      <c r="S2273" s="88">
        <f>Table1[[#This Row],[LAW]]-Table1[[#This Row],[LEW]]</f>
        <v>-6.9444444444444441E-3</v>
      </c>
    </row>
    <row r="2274" spans="1:19" x14ac:dyDescent="0.25">
      <c r="A2274" s="66">
        <v>44274</v>
      </c>
      <c r="B2274" s="51">
        <f>YEAR(Table1[[#This Row],[Date]])</f>
        <v>2021</v>
      </c>
      <c r="C2274" s="92">
        <v>1</v>
      </c>
      <c r="D2274" t="s">
        <v>511</v>
      </c>
      <c r="E2274" s="92">
        <v>9</v>
      </c>
      <c r="F2274" t="s">
        <v>39</v>
      </c>
      <c r="G2274" s="88" t="str">
        <f>VLOOKUP(Table1[[#This Row],[Winner]],Ranking!C:D,2,FALSE)</f>
        <v>B10</v>
      </c>
      <c r="H2274" s="92">
        <v>85</v>
      </c>
      <c r="I2274" s="92">
        <v>8</v>
      </c>
      <c r="J2274" t="s">
        <v>298</v>
      </c>
      <c r="K2274" s="88" t="str">
        <f>VLOOKUP(Table1[[#This Row],[Loser]],Ranking!C:D,2,FALSE)</f>
        <v>ACC</v>
      </c>
      <c r="L2274" s="92">
        <v>62</v>
      </c>
      <c r="M2274" s="92"/>
      <c r="N2274" s="89">
        <f>Table1[[#This Row],[Winning Score]]-Table1[[#This Row],[Losing Score]]</f>
        <v>23</v>
      </c>
      <c r="O2274" s="89">
        <f>Table1[[#This Row],[Losing Seed]]-Table1[[#This Row],[Winning Seed]]</f>
        <v>-1</v>
      </c>
      <c r="P2274" s="89" t="str">
        <f>IF(Table1[[#This Row],[SeD]]&lt;-2,Table1[[#This Row],[Winning Seed]]&amp; " over " &amp;Table1[[#This Row],[Losing Seed]],"")</f>
        <v/>
      </c>
      <c r="Q2274" s="88">
        <f>VLOOKUP(Table1[[#This Row],[Losing Seed]],'Seed History'!$N$4:$O$19,2)</f>
        <v>0.70833333333333337</v>
      </c>
      <c r="R2274" s="89">
        <f>IF(Table1[[#This Row],[Round]]="PI",0,Table1[[#This Row],[Round]]-1)</f>
        <v>0</v>
      </c>
      <c r="S2274" s="88">
        <f>Table1[[#This Row],[LAW]]-Table1[[#This Row],[LEW]]</f>
        <v>-0.70833333333333337</v>
      </c>
    </row>
    <row r="2275" spans="1:19" x14ac:dyDescent="0.25">
      <c r="A2275" s="66">
        <v>44274</v>
      </c>
      <c r="B2275" s="51">
        <f>YEAR(Table1[[#This Row],[Date]])</f>
        <v>2021</v>
      </c>
      <c r="C2275" s="92">
        <v>1</v>
      </c>
      <c r="D2275" t="s">
        <v>511</v>
      </c>
      <c r="E2275" s="92">
        <v>5</v>
      </c>
      <c r="F2275" t="s">
        <v>50</v>
      </c>
      <c r="G2275" s="88" t="str">
        <f>VLOOKUP(Table1[[#This Row],[Winner]],Ranking!C:D,2,FALSE)</f>
        <v>BE</v>
      </c>
      <c r="H2275" s="92">
        <v>73</v>
      </c>
      <c r="I2275" s="92">
        <v>12</v>
      </c>
      <c r="J2275" t="s">
        <v>419</v>
      </c>
      <c r="K2275" s="88" t="str">
        <f>VLOOKUP(Table1[[#This Row],[Loser]],Ranking!C:D,2,FALSE)</f>
        <v>BSth</v>
      </c>
      <c r="L2275" s="92">
        <v>63</v>
      </c>
      <c r="M2275" s="92"/>
      <c r="N2275" s="89">
        <f>Table1[[#This Row],[Winning Score]]-Table1[[#This Row],[Losing Score]]</f>
        <v>10</v>
      </c>
      <c r="O2275" s="89">
        <f>Table1[[#This Row],[Losing Seed]]-Table1[[#This Row],[Winning Seed]]</f>
        <v>7</v>
      </c>
      <c r="P2275" s="89" t="str">
        <f>IF(Table1[[#This Row],[SeD]]&lt;-2,Table1[[#This Row],[Winning Seed]]&amp; " over " &amp;Table1[[#This Row],[Losing Seed]],"")</f>
        <v/>
      </c>
      <c r="Q2275" s="88">
        <f>VLOOKUP(Table1[[#This Row],[Losing Seed]],'Seed History'!$N$4:$O$19,2)</f>
        <v>0.52083333333333337</v>
      </c>
      <c r="R2275" s="89">
        <f>IF(Table1[[#This Row],[Round]]="PI",0,Table1[[#This Row],[Round]]-1)</f>
        <v>0</v>
      </c>
      <c r="S2275" s="88">
        <f>Table1[[#This Row],[LAW]]-Table1[[#This Row],[LEW]]</f>
        <v>-0.52083333333333337</v>
      </c>
    </row>
    <row r="2276" spans="1:19" x14ac:dyDescent="0.25">
      <c r="A2276" s="66">
        <v>44274</v>
      </c>
      <c r="B2276" s="51">
        <f>YEAR(Table1[[#This Row],[Date]])</f>
        <v>2021</v>
      </c>
      <c r="C2276" s="92">
        <v>1</v>
      </c>
      <c r="D2276" t="s">
        <v>511</v>
      </c>
      <c r="E2276" s="92">
        <v>13</v>
      </c>
      <c r="F2276" t="s">
        <v>305</v>
      </c>
      <c r="G2276" s="88" t="str">
        <f>VLOOKUP(Table1[[#This Row],[Winner]],Ranking!C:D,2,FALSE)</f>
        <v>CUSA</v>
      </c>
      <c r="H2276" s="92">
        <v>78</v>
      </c>
      <c r="I2276" s="92">
        <v>4</v>
      </c>
      <c r="J2276" t="s">
        <v>29</v>
      </c>
      <c r="K2276" s="88" t="str">
        <f>VLOOKUP(Table1[[#This Row],[Loser]],Ranking!C:D,2,FALSE)</f>
        <v>B10</v>
      </c>
      <c r="L2276" s="92">
        <v>69</v>
      </c>
      <c r="M2276" s="92"/>
      <c r="N2276" s="89">
        <f>Table1[[#This Row],[Winning Score]]-Table1[[#This Row],[Losing Score]]</f>
        <v>9</v>
      </c>
      <c r="O2276" s="89">
        <f>Table1[[#This Row],[Losing Seed]]-Table1[[#This Row],[Winning Seed]]</f>
        <v>-9</v>
      </c>
      <c r="P2276" s="89" t="str">
        <f>IF(Table1[[#This Row],[SeD]]&lt;-2,Table1[[#This Row],[Winning Seed]]&amp; " over " &amp;Table1[[#This Row],[Losing Seed]],"")</f>
        <v>13 over 4</v>
      </c>
      <c r="Q2276" s="88">
        <f>VLOOKUP(Table1[[#This Row],[Losing Seed]],'Seed History'!$N$4:$O$19,2)</f>
        <v>1.5208333333333333</v>
      </c>
      <c r="R2276" s="89">
        <f>IF(Table1[[#This Row],[Round]]="PI",0,Table1[[#This Row],[Round]]-1)</f>
        <v>0</v>
      </c>
      <c r="S2276" s="88">
        <f>Table1[[#This Row],[LAW]]-Table1[[#This Row],[LEW]]</f>
        <v>-1.5208333333333333</v>
      </c>
    </row>
    <row r="2277" spans="1:19" x14ac:dyDescent="0.25">
      <c r="A2277" s="66">
        <v>44274</v>
      </c>
      <c r="B2277" s="51">
        <f>YEAR(Table1[[#This Row],[Date]])</f>
        <v>2021</v>
      </c>
      <c r="C2277" s="92">
        <v>1</v>
      </c>
      <c r="D2277" t="s">
        <v>511</v>
      </c>
      <c r="E2277" s="92">
        <v>4</v>
      </c>
      <c r="F2277" t="s">
        <v>92</v>
      </c>
      <c r="G2277" s="88" t="str">
        <f>VLOOKUP(Table1[[#This Row],[Winner]],Ranking!C:D,2,FALSE)</f>
        <v>B12</v>
      </c>
      <c r="H2277" s="92">
        <v>65</v>
      </c>
      <c r="I2277" s="92">
        <v>11</v>
      </c>
      <c r="J2277" t="s">
        <v>400</v>
      </c>
      <c r="K2277" s="88" t="str">
        <f>VLOOKUP(Table1[[#This Row],[Loser]],Ranking!C:D,2,FALSE)</f>
        <v>MWC</v>
      </c>
      <c r="L2277" s="92">
        <v>53</v>
      </c>
      <c r="M2277" s="92"/>
      <c r="N2277" s="89">
        <f>Table1[[#This Row],[Winning Score]]-Table1[[#This Row],[Losing Score]]</f>
        <v>12</v>
      </c>
      <c r="O2277" s="89">
        <f>Table1[[#This Row],[Losing Seed]]-Table1[[#This Row],[Winning Seed]]</f>
        <v>7</v>
      </c>
      <c r="P2277" s="89" t="str">
        <f>IF(Table1[[#This Row],[SeD]]&lt;-2,Table1[[#This Row],[Winning Seed]]&amp; " over " &amp;Table1[[#This Row],[Losing Seed]],"")</f>
        <v/>
      </c>
      <c r="Q2277" s="88">
        <f>VLOOKUP(Table1[[#This Row],[Losing Seed]],'Seed History'!$N$4:$O$19,2)</f>
        <v>0.63194444444444442</v>
      </c>
      <c r="R2277" s="89">
        <f>IF(Table1[[#This Row],[Round]]="PI",0,Table1[[#This Row],[Round]]-1)</f>
        <v>0</v>
      </c>
      <c r="S2277" s="88">
        <f>Table1[[#This Row],[LAW]]-Table1[[#This Row],[LEW]]</f>
        <v>-0.63194444444444442</v>
      </c>
    </row>
    <row r="2278" spans="1:19" x14ac:dyDescent="0.25">
      <c r="A2278" s="66">
        <v>44274</v>
      </c>
      <c r="B2278" s="51">
        <f>YEAR(Table1[[#This Row],[Date]])</f>
        <v>2021</v>
      </c>
      <c r="C2278" s="92">
        <v>1</v>
      </c>
      <c r="D2278" t="s">
        <v>511</v>
      </c>
      <c r="E2278" s="92">
        <v>3</v>
      </c>
      <c r="F2278" t="s">
        <v>41</v>
      </c>
      <c r="G2278" s="88" t="str">
        <f>VLOOKUP(Table1[[#This Row],[Winner]],Ranking!C:D,2,FALSE)</f>
        <v>SEC</v>
      </c>
      <c r="H2278" s="92">
        <v>85</v>
      </c>
      <c r="I2278" s="92">
        <v>14</v>
      </c>
      <c r="J2278" t="s">
        <v>174</v>
      </c>
      <c r="K2278" s="88" t="str">
        <f>VLOOKUP(Table1[[#This Row],[Loser]],Ranking!C:D,2,FALSE)</f>
        <v>Pat</v>
      </c>
      <c r="L2278" s="92">
        <v>68</v>
      </c>
      <c r="M2278" s="92"/>
      <c r="N2278" s="89">
        <f>Table1[[#This Row],[Winning Score]]-Table1[[#This Row],[Losing Score]]</f>
        <v>17</v>
      </c>
      <c r="O2278" s="89">
        <f>Table1[[#This Row],[Losing Seed]]-Table1[[#This Row],[Winning Seed]]</f>
        <v>11</v>
      </c>
      <c r="P2278" s="89" t="str">
        <f>IF(Table1[[#This Row],[SeD]]&lt;-2,Table1[[#This Row],[Winning Seed]]&amp; " over " &amp;Table1[[#This Row],[Losing Seed]],"")</f>
        <v/>
      </c>
      <c r="Q2278" s="88">
        <f>VLOOKUP(Table1[[#This Row],[Losing Seed]],'Seed History'!$N$4:$O$19,2)</f>
        <v>0.16666666666666666</v>
      </c>
      <c r="R2278" s="89">
        <f>IF(Table1[[#This Row],[Round]]="PI",0,Table1[[#This Row],[Round]]-1)</f>
        <v>0</v>
      </c>
      <c r="S2278" s="88">
        <f>Table1[[#This Row],[LAW]]-Table1[[#This Row],[LEW]]</f>
        <v>-0.16666666666666666</v>
      </c>
    </row>
    <row r="2279" spans="1:19" x14ac:dyDescent="0.25">
      <c r="A2279" s="66">
        <v>44274</v>
      </c>
      <c r="B2279" s="51">
        <f>YEAR(Table1[[#This Row],[Date]])</f>
        <v>2021</v>
      </c>
      <c r="C2279" s="92">
        <v>1</v>
      </c>
      <c r="D2279" t="s">
        <v>511</v>
      </c>
      <c r="E2279" s="92">
        <v>7</v>
      </c>
      <c r="F2279" t="s">
        <v>81</v>
      </c>
      <c r="G2279" s="88" t="str">
        <f>VLOOKUP(Table1[[#This Row],[Winner]],Ranking!C:D,2,FALSE)</f>
        <v>SEC</v>
      </c>
      <c r="H2279" s="92">
        <v>75</v>
      </c>
      <c r="I2279" s="92">
        <v>10</v>
      </c>
      <c r="J2279" t="s">
        <v>405</v>
      </c>
      <c r="K2279" s="88" t="str">
        <f>VLOOKUP(Table1[[#This Row],[Loser]],Ranking!C:D,2,FALSE)</f>
        <v>ACC</v>
      </c>
      <c r="L2279" s="92">
        <v>70</v>
      </c>
      <c r="M2279" s="92"/>
      <c r="N2279" s="89">
        <f>Table1[[#This Row],[Winning Score]]-Table1[[#This Row],[Losing Score]]</f>
        <v>5</v>
      </c>
      <c r="O2279" s="89">
        <f>Table1[[#This Row],[Losing Seed]]-Table1[[#This Row],[Winning Seed]]</f>
        <v>3</v>
      </c>
      <c r="P2279" s="89" t="str">
        <f>IF(Table1[[#This Row],[SeD]]&lt;-2,Table1[[#This Row],[Winning Seed]]&amp; " over " &amp;Table1[[#This Row],[Losing Seed]],"")</f>
        <v/>
      </c>
      <c r="Q2279" s="88">
        <f>VLOOKUP(Table1[[#This Row],[Losing Seed]],'Seed History'!$N$4:$O$19,2)</f>
        <v>0.61805555555555558</v>
      </c>
      <c r="R2279" s="89">
        <f>IF(Table1[[#This Row],[Round]]="PI",0,Table1[[#This Row],[Round]]-1)</f>
        <v>0</v>
      </c>
      <c r="S2279" s="88">
        <f>Table1[[#This Row],[LAW]]-Table1[[#This Row],[LEW]]</f>
        <v>-0.61805555555555558</v>
      </c>
    </row>
    <row r="2280" spans="1:19" x14ac:dyDescent="0.25">
      <c r="A2280" s="66">
        <v>44274</v>
      </c>
      <c r="B2280" s="51">
        <f>YEAR(Table1[[#This Row],[Date]])</f>
        <v>2021</v>
      </c>
      <c r="C2280" s="92">
        <v>1</v>
      </c>
      <c r="D2280" t="s">
        <v>511</v>
      </c>
      <c r="E2280" s="92">
        <v>15</v>
      </c>
      <c r="F2280" t="s">
        <v>318</v>
      </c>
      <c r="G2280" s="88" t="str">
        <f>VLOOKUP(Table1[[#This Row],[Winner]],Ranking!C:D,2,FALSE)</f>
        <v>Sum</v>
      </c>
      <c r="H2280" s="92">
        <v>75</v>
      </c>
      <c r="I2280" s="92">
        <v>2</v>
      </c>
      <c r="J2280" t="s">
        <v>315</v>
      </c>
      <c r="K2280" s="88" t="str">
        <f>VLOOKUP(Table1[[#This Row],[Loser]],Ranking!C:D,2,FALSE)</f>
        <v>B10</v>
      </c>
      <c r="L2280" s="92">
        <v>72</v>
      </c>
      <c r="M2280" s="92"/>
      <c r="N2280" s="89">
        <f>Table1[[#This Row],[Winning Score]]-Table1[[#This Row],[Losing Score]]</f>
        <v>3</v>
      </c>
      <c r="O2280" s="89">
        <f>Table1[[#This Row],[Losing Seed]]-Table1[[#This Row],[Winning Seed]]</f>
        <v>-13</v>
      </c>
      <c r="P2280" s="89" t="str">
        <f>IF(Table1[[#This Row],[SeD]]&lt;-2,Table1[[#This Row],[Winning Seed]]&amp; " over " &amp;Table1[[#This Row],[Losing Seed]],"")</f>
        <v>15 over 2</v>
      </c>
      <c r="Q2280" s="88">
        <f>VLOOKUP(Table1[[#This Row],[Losing Seed]],'Seed History'!$N$4:$O$19,2)</f>
        <v>2.3472222222222223</v>
      </c>
      <c r="R2280" s="89">
        <f>IF(Table1[[#This Row],[Round]]="PI",0,Table1[[#This Row],[Round]]-1)</f>
        <v>0</v>
      </c>
      <c r="S2280" s="88">
        <f>Table1[[#This Row],[LAW]]-Table1[[#This Row],[LEW]]</f>
        <v>-2.3472222222222223</v>
      </c>
    </row>
    <row r="2281" spans="1:19" x14ac:dyDescent="0.25">
      <c r="A2281" s="66">
        <v>44274</v>
      </c>
      <c r="B2281" s="51">
        <f>YEAR(Table1[[#This Row],[Date]])</f>
        <v>2021</v>
      </c>
      <c r="C2281" s="92">
        <v>1</v>
      </c>
      <c r="D2281" t="s">
        <v>513</v>
      </c>
      <c r="E2281" s="92">
        <v>1</v>
      </c>
      <c r="F2281" t="s">
        <v>230</v>
      </c>
      <c r="G2281" s="88" t="str">
        <f>VLOOKUP(Table1[[#This Row],[Winner]],Ranking!C:D,2,FALSE)</f>
        <v>B10</v>
      </c>
      <c r="H2281" s="92">
        <v>78</v>
      </c>
      <c r="I2281" s="92">
        <v>16</v>
      </c>
      <c r="J2281" t="s">
        <v>189</v>
      </c>
      <c r="K2281" s="88" t="str">
        <f>VLOOKUP(Table1[[#This Row],[Loser]],Ranking!C:D,2,FALSE)</f>
        <v>CAA</v>
      </c>
      <c r="L2281" s="92">
        <v>49</v>
      </c>
      <c r="M2281" s="92"/>
      <c r="N2281" s="89">
        <f>Table1[[#This Row],[Winning Score]]-Table1[[#This Row],[Losing Score]]</f>
        <v>29</v>
      </c>
      <c r="O2281" s="89">
        <f>Table1[[#This Row],[Losing Seed]]-Table1[[#This Row],[Winning Seed]]</f>
        <v>15</v>
      </c>
      <c r="P2281" s="89" t="str">
        <f>IF(Table1[[#This Row],[SeD]]&lt;-2,Table1[[#This Row],[Winning Seed]]&amp; " over " &amp;Table1[[#This Row],[Losing Seed]],"")</f>
        <v/>
      </c>
      <c r="Q2281" s="88">
        <f>VLOOKUP(Table1[[#This Row],[Losing Seed]],'Seed History'!$N$4:$O$19,2)</f>
        <v>6.9444444444444441E-3</v>
      </c>
      <c r="R2281" s="89">
        <f>IF(Table1[[#This Row],[Round]]="PI",0,Table1[[#This Row],[Round]]-1)</f>
        <v>0</v>
      </c>
      <c r="S2281" s="88">
        <f>Table1[[#This Row],[LAW]]-Table1[[#This Row],[LEW]]</f>
        <v>-6.9444444444444441E-3</v>
      </c>
    </row>
    <row r="2282" spans="1:19" x14ac:dyDescent="0.25">
      <c r="A2282" s="66">
        <v>44274</v>
      </c>
      <c r="B2282" s="51">
        <f>YEAR(Table1[[#This Row],[Date]])</f>
        <v>2021</v>
      </c>
      <c r="C2282" s="92">
        <v>1</v>
      </c>
      <c r="D2282" t="s">
        <v>513</v>
      </c>
      <c r="E2282" s="92">
        <v>8</v>
      </c>
      <c r="F2282" t="s">
        <v>257</v>
      </c>
      <c r="G2282" s="88" t="str">
        <f>VLOOKUP(Table1[[#This Row],[Winner]],Ranking!C:D,2,FALSE)</f>
        <v>MVC</v>
      </c>
      <c r="H2282" s="92">
        <v>71</v>
      </c>
      <c r="I2282" s="92">
        <v>9</v>
      </c>
      <c r="J2282" t="s">
        <v>216</v>
      </c>
      <c r="K2282" s="88" t="str">
        <f>VLOOKUP(Table1[[#This Row],[Loser]],Ranking!C:D,2,FALSE)</f>
        <v>ACC</v>
      </c>
      <c r="L2282" s="92">
        <v>60</v>
      </c>
      <c r="M2282" s="92"/>
      <c r="N2282" s="89">
        <f>Table1[[#This Row],[Winning Score]]-Table1[[#This Row],[Losing Score]]</f>
        <v>11</v>
      </c>
      <c r="O2282" s="89">
        <f>Table1[[#This Row],[Losing Seed]]-Table1[[#This Row],[Winning Seed]]</f>
        <v>1</v>
      </c>
      <c r="P2282" s="89" t="str">
        <f>IF(Table1[[#This Row],[SeD]]&lt;-2,Table1[[#This Row],[Winning Seed]]&amp; " over " &amp;Table1[[#This Row],[Losing Seed]],"")</f>
        <v/>
      </c>
      <c r="Q2282" s="88">
        <f>VLOOKUP(Table1[[#This Row],[Losing Seed]],'Seed History'!$N$4:$O$19,2)</f>
        <v>0.59027777777777779</v>
      </c>
      <c r="R2282" s="89">
        <f>IF(Table1[[#This Row],[Round]]="PI",0,Table1[[#This Row],[Round]]-1)</f>
        <v>0</v>
      </c>
      <c r="S2282" s="88">
        <f>Table1[[#This Row],[LAW]]-Table1[[#This Row],[LEW]]</f>
        <v>-0.59027777777777779</v>
      </c>
    </row>
    <row r="2283" spans="1:19" x14ac:dyDescent="0.25">
      <c r="A2283" s="66">
        <v>44274</v>
      </c>
      <c r="B2283" s="51">
        <f>YEAR(Table1[[#This Row],[Date]])</f>
        <v>2021</v>
      </c>
      <c r="C2283" s="92">
        <v>1</v>
      </c>
      <c r="D2283" t="s">
        <v>513</v>
      </c>
      <c r="E2283" s="92">
        <v>12</v>
      </c>
      <c r="F2283" t="s">
        <v>319</v>
      </c>
      <c r="G2283" s="88" t="str">
        <f>VLOOKUP(Table1[[#This Row],[Winner]],Ranking!C:D,2,FALSE)</f>
        <v>P12</v>
      </c>
      <c r="H2283" s="92">
        <v>70</v>
      </c>
      <c r="I2283" s="92">
        <v>5</v>
      </c>
      <c r="J2283" t="s">
        <v>374</v>
      </c>
      <c r="K2283" s="88" t="str">
        <f>VLOOKUP(Table1[[#This Row],[Loser]],Ranking!C:D,2,FALSE)</f>
        <v>SEC</v>
      </c>
      <c r="L2283" s="92">
        <v>56</v>
      </c>
      <c r="M2283" s="92"/>
      <c r="N2283" s="89">
        <f>Table1[[#This Row],[Winning Score]]-Table1[[#This Row],[Losing Score]]</f>
        <v>14</v>
      </c>
      <c r="O2283" s="89">
        <f>Table1[[#This Row],[Losing Seed]]-Table1[[#This Row],[Winning Seed]]</f>
        <v>-7</v>
      </c>
      <c r="P2283" s="89" t="str">
        <f>IF(Table1[[#This Row],[SeD]]&lt;-2,Table1[[#This Row],[Winning Seed]]&amp; " over " &amp;Table1[[#This Row],[Losing Seed]],"")</f>
        <v>12 over 5</v>
      </c>
      <c r="Q2283" s="88">
        <f>VLOOKUP(Table1[[#This Row],[Losing Seed]],'Seed History'!$N$4:$O$19,2)</f>
        <v>1.1180555555555556</v>
      </c>
      <c r="R2283" s="89">
        <f>IF(Table1[[#This Row],[Round]]="PI",0,Table1[[#This Row],[Round]]-1)</f>
        <v>0</v>
      </c>
      <c r="S2283" s="88">
        <f>Table1[[#This Row],[LAW]]-Table1[[#This Row],[LEW]]</f>
        <v>-1.1180555555555556</v>
      </c>
    </row>
    <row r="2284" spans="1:19" x14ac:dyDescent="0.25">
      <c r="A2284" s="66">
        <v>44274</v>
      </c>
      <c r="B2284" s="51">
        <f>YEAR(Table1[[#This Row],[Date]])</f>
        <v>2021</v>
      </c>
      <c r="C2284" s="92">
        <v>1</v>
      </c>
      <c r="D2284" t="s">
        <v>513</v>
      </c>
      <c r="E2284" s="92">
        <v>4</v>
      </c>
      <c r="F2284" t="s">
        <v>316</v>
      </c>
      <c r="G2284" s="88" t="str">
        <f>VLOOKUP(Table1[[#This Row],[Winner]],Ranking!C:D,2,FALSE)</f>
        <v>B12</v>
      </c>
      <c r="H2284" s="92">
        <v>69</v>
      </c>
      <c r="I2284" s="92">
        <v>13</v>
      </c>
      <c r="J2284" t="s">
        <v>249</v>
      </c>
      <c r="K2284" s="88" t="str">
        <f>VLOOKUP(Table1[[#This Row],[Loser]],Ranking!C:D,2,FALSE)</f>
        <v>ASun</v>
      </c>
      <c r="L2284" s="92">
        <v>60</v>
      </c>
      <c r="M2284" s="92"/>
      <c r="N2284" s="89">
        <f>Table1[[#This Row],[Winning Score]]-Table1[[#This Row],[Losing Score]]</f>
        <v>9</v>
      </c>
      <c r="O2284" s="89">
        <f>Table1[[#This Row],[Losing Seed]]-Table1[[#This Row],[Winning Seed]]</f>
        <v>9</v>
      </c>
      <c r="P2284" s="89" t="str">
        <f>IF(Table1[[#This Row],[SeD]]&lt;-2,Table1[[#This Row],[Winning Seed]]&amp; " over " &amp;Table1[[#This Row],[Losing Seed]],"")</f>
        <v/>
      </c>
      <c r="Q2284" s="88">
        <f>VLOOKUP(Table1[[#This Row],[Losing Seed]],'Seed History'!$N$4:$O$19,2)</f>
        <v>0.25694444444444442</v>
      </c>
      <c r="R2284" s="89">
        <f>IF(Table1[[#This Row],[Round]]="PI",0,Table1[[#This Row],[Round]]-1)</f>
        <v>0</v>
      </c>
      <c r="S2284" s="88">
        <f>Table1[[#This Row],[LAW]]-Table1[[#This Row],[LEW]]</f>
        <v>-0.25694444444444442</v>
      </c>
    </row>
    <row r="2285" spans="1:19" x14ac:dyDescent="0.25">
      <c r="A2285" s="66">
        <v>44274</v>
      </c>
      <c r="B2285" s="51">
        <f>YEAR(Table1[[#This Row],[Date]])</f>
        <v>2021</v>
      </c>
      <c r="C2285" s="92">
        <v>1</v>
      </c>
      <c r="D2285" t="s">
        <v>513</v>
      </c>
      <c r="E2285" s="92">
        <v>11</v>
      </c>
      <c r="F2285" t="s">
        <v>86</v>
      </c>
      <c r="G2285" s="88" t="str">
        <f>VLOOKUP(Table1[[#This Row],[Winner]],Ranking!C:D,2,FALSE)</f>
        <v>ACC</v>
      </c>
      <c r="H2285" s="92">
        <v>78</v>
      </c>
      <c r="I2285" s="92">
        <v>6</v>
      </c>
      <c r="J2285" t="s">
        <v>344</v>
      </c>
      <c r="K2285" s="88" t="str">
        <f>VLOOKUP(Table1[[#This Row],[Loser]],Ranking!C:D,2,FALSE)</f>
        <v>MWC</v>
      </c>
      <c r="L2285" s="92">
        <v>62</v>
      </c>
      <c r="M2285" s="92"/>
      <c r="N2285" s="89">
        <f>Table1[[#This Row],[Winning Score]]-Table1[[#This Row],[Losing Score]]</f>
        <v>16</v>
      </c>
      <c r="O2285" s="89">
        <f>Table1[[#This Row],[Losing Seed]]-Table1[[#This Row],[Winning Seed]]</f>
        <v>-5</v>
      </c>
      <c r="P2285" s="89" t="str">
        <f>IF(Table1[[#This Row],[SeD]]&lt;-2,Table1[[#This Row],[Winning Seed]]&amp; " over " &amp;Table1[[#This Row],[Losing Seed]],"")</f>
        <v>11 over 6</v>
      </c>
      <c r="Q2285" s="88">
        <f>VLOOKUP(Table1[[#This Row],[Losing Seed]],'Seed History'!$N$4:$O$19,2)</f>
        <v>1.0625</v>
      </c>
      <c r="R2285" s="89">
        <f>IF(Table1[[#This Row],[Round]]="PI",0,Table1[[#This Row],[Round]]-1)</f>
        <v>0</v>
      </c>
      <c r="S2285" s="88">
        <f>Table1[[#This Row],[LAW]]-Table1[[#This Row],[LEW]]</f>
        <v>-1.0625</v>
      </c>
    </row>
    <row r="2286" spans="1:19" x14ac:dyDescent="0.25">
      <c r="A2286" s="66">
        <v>44274</v>
      </c>
      <c r="B2286" s="51">
        <f>YEAR(Table1[[#This Row],[Date]])</f>
        <v>2021</v>
      </c>
      <c r="C2286" s="92">
        <v>1</v>
      </c>
      <c r="D2286" t="s">
        <v>513</v>
      </c>
      <c r="E2286" s="92">
        <v>3</v>
      </c>
      <c r="F2286" t="s">
        <v>412</v>
      </c>
      <c r="G2286" s="88" t="str">
        <f>VLOOKUP(Table1[[#This Row],[Winner]],Ranking!C:D,2,FALSE)</f>
        <v>B12</v>
      </c>
      <c r="H2286" s="92">
        <v>84</v>
      </c>
      <c r="I2286" s="92">
        <v>14</v>
      </c>
      <c r="J2286" t="s">
        <v>282</v>
      </c>
      <c r="K2286" s="88" t="str">
        <f>VLOOKUP(Table1[[#This Row],[Loser]],Ranking!C:D,2,FALSE)</f>
        <v>OVC</v>
      </c>
      <c r="L2286" s="92">
        <v>67</v>
      </c>
      <c r="M2286" s="92"/>
      <c r="N2286" s="89">
        <f>Table1[[#This Row],[Winning Score]]-Table1[[#This Row],[Losing Score]]</f>
        <v>17</v>
      </c>
      <c r="O2286" s="89">
        <f>Table1[[#This Row],[Losing Seed]]-Table1[[#This Row],[Winning Seed]]</f>
        <v>11</v>
      </c>
      <c r="P2286" s="89" t="str">
        <f>IF(Table1[[#This Row],[SeD]]&lt;-2,Table1[[#This Row],[Winning Seed]]&amp; " over " &amp;Table1[[#This Row],[Losing Seed]],"")</f>
        <v/>
      </c>
      <c r="Q2286" s="88">
        <f>VLOOKUP(Table1[[#This Row],[Losing Seed]],'Seed History'!$N$4:$O$19,2)</f>
        <v>0.16666666666666666</v>
      </c>
      <c r="R2286" s="89">
        <f>IF(Table1[[#This Row],[Round]]="PI",0,Table1[[#This Row],[Round]]-1)</f>
        <v>0</v>
      </c>
      <c r="S2286" s="88">
        <f>Table1[[#This Row],[LAW]]-Table1[[#This Row],[LEW]]</f>
        <v>-0.16666666666666666</v>
      </c>
    </row>
    <row r="2287" spans="1:19" x14ac:dyDescent="0.25">
      <c r="A2287" s="66">
        <v>44274</v>
      </c>
      <c r="B2287" s="51">
        <f>YEAR(Table1[[#This Row],[Date]])</f>
        <v>2021</v>
      </c>
      <c r="C2287" s="92">
        <v>1</v>
      </c>
      <c r="D2287" t="s">
        <v>513</v>
      </c>
      <c r="E2287" s="92">
        <v>10</v>
      </c>
      <c r="F2287" t="s">
        <v>334</v>
      </c>
      <c r="G2287" s="88" t="str">
        <f>VLOOKUP(Table1[[#This Row],[Winner]],Ranking!C:D,2,FALSE)</f>
        <v>B10</v>
      </c>
      <c r="H2287" s="92">
        <v>60</v>
      </c>
      <c r="I2287" s="92">
        <v>7</v>
      </c>
      <c r="J2287" t="s">
        <v>89</v>
      </c>
      <c r="K2287" s="88" t="str">
        <f>VLOOKUP(Table1[[#This Row],[Loser]],Ranking!C:D,2,FALSE)</f>
        <v>ACC</v>
      </c>
      <c r="L2287" s="92">
        <v>56</v>
      </c>
      <c r="M2287" s="92"/>
      <c r="N2287" s="89">
        <f>Table1[[#This Row],[Winning Score]]-Table1[[#This Row],[Losing Score]]</f>
        <v>4</v>
      </c>
      <c r="O2287" s="89">
        <f>Table1[[#This Row],[Losing Seed]]-Table1[[#This Row],[Winning Seed]]</f>
        <v>-3</v>
      </c>
      <c r="P2287" s="89" t="str">
        <f>IF(Table1[[#This Row],[SeD]]&lt;-2,Table1[[#This Row],[Winning Seed]]&amp; " over " &amp;Table1[[#This Row],[Losing Seed]],"")</f>
        <v>10 over 7</v>
      </c>
      <c r="Q2287" s="88">
        <f>VLOOKUP(Table1[[#This Row],[Losing Seed]],'Seed History'!$N$4:$O$19,2)</f>
        <v>0.90277777777777779</v>
      </c>
      <c r="R2287" s="89">
        <f>IF(Table1[[#This Row],[Round]]="PI",0,Table1[[#This Row],[Round]]-1)</f>
        <v>0</v>
      </c>
      <c r="S2287" s="88">
        <f>Table1[[#This Row],[LAW]]-Table1[[#This Row],[LEW]]</f>
        <v>-0.90277777777777779</v>
      </c>
    </row>
    <row r="2288" spans="1:19" x14ac:dyDescent="0.25">
      <c r="A2288" s="66">
        <v>44274</v>
      </c>
      <c r="B2288" s="51">
        <f>YEAR(Table1[[#This Row],[Date]])</f>
        <v>2021</v>
      </c>
      <c r="C2288" s="92">
        <v>1</v>
      </c>
      <c r="D2288" t="s">
        <v>513</v>
      </c>
      <c r="E2288" s="92">
        <v>2</v>
      </c>
      <c r="F2288" t="s">
        <v>225</v>
      </c>
      <c r="G2288" s="88" t="str">
        <f>VLOOKUP(Table1[[#This Row],[Winner]],Ranking!C:D,2,FALSE)</f>
        <v>Amer</v>
      </c>
      <c r="H2288" s="92">
        <v>87</v>
      </c>
      <c r="I2288" s="92">
        <v>15</v>
      </c>
      <c r="J2288" t="s">
        <v>171</v>
      </c>
      <c r="K2288" s="88" t="str">
        <f>VLOOKUP(Table1[[#This Row],[Loser]],Ranking!C:D,2,FALSE)</f>
        <v>Horz</v>
      </c>
      <c r="L2288" s="92">
        <v>56</v>
      </c>
      <c r="M2288" s="92"/>
      <c r="N2288" s="89">
        <f>Table1[[#This Row],[Winning Score]]-Table1[[#This Row],[Losing Score]]</f>
        <v>31</v>
      </c>
      <c r="O2288" s="89">
        <f>Table1[[#This Row],[Losing Seed]]-Table1[[#This Row],[Winning Seed]]</f>
        <v>13</v>
      </c>
      <c r="P2288" s="89" t="str">
        <f>IF(Table1[[#This Row],[SeD]]&lt;-2,Table1[[#This Row],[Winning Seed]]&amp; " over " &amp;Table1[[#This Row],[Losing Seed]],"")</f>
        <v/>
      </c>
      <c r="Q2288" s="88">
        <f>VLOOKUP(Table1[[#This Row],[Losing Seed]],'Seed History'!$N$4:$O$19,2)</f>
        <v>7.6388888888888895E-2</v>
      </c>
      <c r="R2288" s="89">
        <f>IF(Table1[[#This Row],[Round]]="PI",0,Table1[[#This Row],[Round]]-1)</f>
        <v>0</v>
      </c>
      <c r="S2288" s="88">
        <f>Table1[[#This Row],[LAW]]-Table1[[#This Row],[LEW]]</f>
        <v>-7.6388888888888895E-2</v>
      </c>
    </row>
    <row r="2289" spans="1:19" x14ac:dyDescent="0.25">
      <c r="A2289" s="66">
        <v>44276</v>
      </c>
      <c r="B2289" s="51">
        <f>YEAR(Table1[[#This Row],[Date]])</f>
        <v>2021</v>
      </c>
      <c r="C2289" s="92">
        <v>2</v>
      </c>
      <c r="D2289" t="s">
        <v>510</v>
      </c>
      <c r="E2289" s="92">
        <v>1</v>
      </c>
      <c r="F2289" t="s">
        <v>71</v>
      </c>
      <c r="G2289" s="88" t="str">
        <f>VLOOKUP(Table1[[#This Row],[Winner]],Ranking!C:D,2,FALSE)</f>
        <v>WCC</v>
      </c>
      <c r="H2289" s="92">
        <v>87</v>
      </c>
      <c r="I2289" s="92">
        <v>8</v>
      </c>
      <c r="J2289" t="s">
        <v>58</v>
      </c>
      <c r="K2289" s="88" t="str">
        <f>VLOOKUP(Table1[[#This Row],[Loser]],Ranking!C:D,2,FALSE)</f>
        <v>B12</v>
      </c>
      <c r="L2289" s="92">
        <v>71</v>
      </c>
      <c r="M2289" s="92"/>
      <c r="N2289" s="89">
        <f>Table1[[#This Row],[Winning Score]]-Table1[[#This Row],[Losing Score]]</f>
        <v>16</v>
      </c>
      <c r="O2289" s="89">
        <f>Table1[[#This Row],[Losing Seed]]-Table1[[#This Row],[Winning Seed]]</f>
        <v>7</v>
      </c>
      <c r="P2289" s="89" t="str">
        <f>IF(Table1[[#This Row],[SeD]]&lt;-2,Table1[[#This Row],[Winning Seed]]&amp; " over " &amp;Table1[[#This Row],[Losing Seed]],"")</f>
        <v/>
      </c>
      <c r="Q2289" s="88">
        <f>VLOOKUP(Table1[[#This Row],[Losing Seed]],'Seed History'!$N$4:$O$19,2)</f>
        <v>0.70833333333333337</v>
      </c>
      <c r="R2289" s="89">
        <f>IF(Table1[[#This Row],[Round]]="PI",0,Table1[[#This Row],[Round]]-1)</f>
        <v>1</v>
      </c>
      <c r="S2289" s="88">
        <f>Table1[[#This Row],[LAW]]-Table1[[#This Row],[LEW]]</f>
        <v>0.29166666666666663</v>
      </c>
    </row>
    <row r="2290" spans="1:19" x14ac:dyDescent="0.25">
      <c r="A2290" s="66">
        <v>44276</v>
      </c>
      <c r="B2290" s="51">
        <f>YEAR(Table1[[#This Row],[Date]])</f>
        <v>2021</v>
      </c>
      <c r="C2290" s="92">
        <v>2</v>
      </c>
      <c r="D2290" t="s">
        <v>510</v>
      </c>
      <c r="E2290" s="92">
        <v>5</v>
      </c>
      <c r="F2290" t="s">
        <v>88</v>
      </c>
      <c r="G2290" s="88" t="str">
        <f>VLOOKUP(Table1[[#This Row],[Winner]],Ranking!C:D,2,FALSE)</f>
        <v>BE</v>
      </c>
      <c r="H2290" s="92">
        <v>72</v>
      </c>
      <c r="I2290" s="92">
        <v>13</v>
      </c>
      <c r="J2290" t="s">
        <v>314</v>
      </c>
      <c r="K2290" s="88" t="str">
        <f>VLOOKUP(Table1[[#This Row],[Loser]],Ranking!C:D,2,FALSE)</f>
        <v>MAC</v>
      </c>
      <c r="L2290" s="92">
        <v>58</v>
      </c>
      <c r="M2290" s="92"/>
      <c r="N2290" s="89">
        <f>Table1[[#This Row],[Winning Score]]-Table1[[#This Row],[Losing Score]]</f>
        <v>14</v>
      </c>
      <c r="O2290" s="89">
        <f>Table1[[#This Row],[Losing Seed]]-Table1[[#This Row],[Winning Seed]]</f>
        <v>8</v>
      </c>
      <c r="P2290" s="89" t="str">
        <f>IF(Table1[[#This Row],[SeD]]&lt;-2,Table1[[#This Row],[Winning Seed]]&amp; " over " &amp;Table1[[#This Row],[Losing Seed]],"")</f>
        <v/>
      </c>
      <c r="Q2290" s="88">
        <f>VLOOKUP(Table1[[#This Row],[Losing Seed]],'Seed History'!$N$4:$O$19,2)</f>
        <v>0.25694444444444442</v>
      </c>
      <c r="R2290" s="89">
        <f>IF(Table1[[#This Row],[Round]]="PI",0,Table1[[#This Row],[Round]]-1)</f>
        <v>1</v>
      </c>
      <c r="S2290" s="88">
        <f>Table1[[#This Row],[LAW]]-Table1[[#This Row],[LEW]]</f>
        <v>0.74305555555555558</v>
      </c>
    </row>
    <row r="2291" spans="1:19" x14ac:dyDescent="0.25">
      <c r="A2291" s="66">
        <v>44276</v>
      </c>
      <c r="B2291" s="51">
        <f>YEAR(Table1[[#This Row],[Date]])</f>
        <v>2021</v>
      </c>
      <c r="C2291" s="92">
        <v>2</v>
      </c>
      <c r="D2291" t="s">
        <v>510</v>
      </c>
      <c r="E2291" s="92">
        <v>6</v>
      </c>
      <c r="F2291" t="s">
        <v>85</v>
      </c>
      <c r="G2291" s="88" t="str">
        <f>VLOOKUP(Table1[[#This Row],[Winner]],Ranking!C:D,2,FALSE)</f>
        <v>P12</v>
      </c>
      <c r="H2291" s="92">
        <v>85</v>
      </c>
      <c r="I2291" s="92">
        <v>3</v>
      </c>
      <c r="J2291" t="s">
        <v>37</v>
      </c>
      <c r="K2291" s="88" t="str">
        <f>VLOOKUP(Table1[[#This Row],[Loser]],Ranking!C:D,2,FALSE)</f>
        <v>B12</v>
      </c>
      <c r="L2291" s="92">
        <v>51</v>
      </c>
      <c r="M2291" s="92"/>
      <c r="N2291" s="89">
        <f>Table1[[#This Row],[Winning Score]]-Table1[[#This Row],[Losing Score]]</f>
        <v>34</v>
      </c>
      <c r="O2291" s="89">
        <f>Table1[[#This Row],[Losing Seed]]-Table1[[#This Row],[Winning Seed]]</f>
        <v>-3</v>
      </c>
      <c r="P2291" s="89" t="str">
        <f>IF(Table1[[#This Row],[SeD]]&lt;-2,Table1[[#This Row],[Winning Seed]]&amp; " over " &amp;Table1[[#This Row],[Losing Seed]],"")</f>
        <v>6 over 3</v>
      </c>
      <c r="Q2291" s="88">
        <f>VLOOKUP(Table1[[#This Row],[Losing Seed]],'Seed History'!$N$4:$O$19,2)</f>
        <v>1.8472222222222223</v>
      </c>
      <c r="R2291" s="89">
        <f>IF(Table1[[#This Row],[Round]]="PI",0,Table1[[#This Row],[Round]]-1)</f>
        <v>1</v>
      </c>
      <c r="S2291" s="88">
        <f>Table1[[#This Row],[LAW]]-Table1[[#This Row],[LEW]]</f>
        <v>-0.84722222222222232</v>
      </c>
    </row>
    <row r="2292" spans="1:19" x14ac:dyDescent="0.25">
      <c r="A2292" s="66">
        <v>44276</v>
      </c>
      <c r="B2292" s="51">
        <f>YEAR(Table1[[#This Row],[Date]])</f>
        <v>2021</v>
      </c>
      <c r="C2292" s="92">
        <v>2</v>
      </c>
      <c r="D2292" t="s">
        <v>510</v>
      </c>
      <c r="E2292" s="92">
        <v>7</v>
      </c>
      <c r="F2292" t="s">
        <v>40</v>
      </c>
      <c r="G2292" s="88" t="str">
        <f>VLOOKUP(Table1[[#This Row],[Winner]],Ranking!C:D,2,FALSE)</f>
        <v>P12</v>
      </c>
      <c r="H2292" s="92">
        <v>95</v>
      </c>
      <c r="I2292" s="92">
        <v>2</v>
      </c>
      <c r="J2292" t="s">
        <v>69</v>
      </c>
      <c r="K2292" s="88" t="str">
        <f>VLOOKUP(Table1[[#This Row],[Loser]],Ranking!C:D,2,FALSE)</f>
        <v>B10</v>
      </c>
      <c r="L2292" s="92">
        <v>80</v>
      </c>
      <c r="M2292" s="92"/>
      <c r="N2292" s="89">
        <f>Table1[[#This Row],[Winning Score]]-Table1[[#This Row],[Losing Score]]</f>
        <v>15</v>
      </c>
      <c r="O2292" s="89">
        <f>Table1[[#This Row],[Losing Seed]]-Table1[[#This Row],[Winning Seed]]</f>
        <v>-5</v>
      </c>
      <c r="P2292" s="89" t="str">
        <f>IF(Table1[[#This Row],[SeD]]&lt;-2,Table1[[#This Row],[Winning Seed]]&amp; " over " &amp;Table1[[#This Row],[Losing Seed]],"")</f>
        <v>7 over 2</v>
      </c>
      <c r="Q2292" s="88">
        <f>VLOOKUP(Table1[[#This Row],[Losing Seed]],'Seed History'!$N$4:$O$19,2)</f>
        <v>2.3472222222222223</v>
      </c>
      <c r="R2292" s="89">
        <f>IF(Table1[[#This Row],[Round]]="PI",0,Table1[[#This Row],[Round]]-1)</f>
        <v>1</v>
      </c>
      <c r="S2292" s="88">
        <f>Table1[[#This Row],[LAW]]-Table1[[#This Row],[LEW]]</f>
        <v>-1.3472222222222223</v>
      </c>
    </row>
    <row r="2293" spans="1:19" x14ac:dyDescent="0.25">
      <c r="A2293" s="66">
        <v>44276</v>
      </c>
      <c r="B2293" s="51">
        <f>YEAR(Table1[[#This Row],[Date]])</f>
        <v>2021</v>
      </c>
      <c r="C2293" s="92">
        <v>2</v>
      </c>
      <c r="D2293" t="s">
        <v>512</v>
      </c>
      <c r="E2293" s="92">
        <v>1</v>
      </c>
      <c r="F2293" t="s">
        <v>82</v>
      </c>
      <c r="G2293" s="88" t="str">
        <f>VLOOKUP(Table1[[#This Row],[Winner]],Ranking!C:D,2,FALSE)</f>
        <v>B10</v>
      </c>
      <c r="H2293" s="92">
        <v>86</v>
      </c>
      <c r="I2293" s="92">
        <v>8</v>
      </c>
      <c r="J2293" t="s">
        <v>52</v>
      </c>
      <c r="K2293" s="88" t="str">
        <f>VLOOKUP(Table1[[#This Row],[Loser]],Ranking!C:D,2,FALSE)</f>
        <v>SEC</v>
      </c>
      <c r="L2293" s="92">
        <v>78</v>
      </c>
      <c r="M2293" s="92"/>
      <c r="N2293" s="89">
        <f>Table1[[#This Row],[Winning Score]]-Table1[[#This Row],[Losing Score]]</f>
        <v>8</v>
      </c>
      <c r="O2293" s="89">
        <f>Table1[[#This Row],[Losing Seed]]-Table1[[#This Row],[Winning Seed]]</f>
        <v>7</v>
      </c>
      <c r="P2293" s="89" t="str">
        <f>IF(Table1[[#This Row],[SeD]]&lt;-2,Table1[[#This Row],[Winning Seed]]&amp; " over " &amp;Table1[[#This Row],[Losing Seed]],"")</f>
        <v/>
      </c>
      <c r="Q2293" s="88">
        <f>VLOOKUP(Table1[[#This Row],[Losing Seed]],'Seed History'!$N$4:$O$19,2)</f>
        <v>0.70833333333333337</v>
      </c>
      <c r="R2293" s="89">
        <f>IF(Table1[[#This Row],[Round]]="PI",0,Table1[[#This Row],[Round]]-1)</f>
        <v>1</v>
      </c>
      <c r="S2293" s="88">
        <f>Table1[[#This Row],[LAW]]-Table1[[#This Row],[LEW]]</f>
        <v>0.29166666666666663</v>
      </c>
    </row>
    <row r="2294" spans="1:19" x14ac:dyDescent="0.25">
      <c r="A2294" s="66">
        <v>44276</v>
      </c>
      <c r="B2294" s="51">
        <f>YEAR(Table1[[#This Row],[Date]])</f>
        <v>2021</v>
      </c>
      <c r="C2294" s="92">
        <v>2</v>
      </c>
      <c r="D2294" t="s">
        <v>512</v>
      </c>
      <c r="E2294" s="92">
        <v>4</v>
      </c>
      <c r="F2294" t="s">
        <v>207</v>
      </c>
      <c r="G2294" s="88" t="str">
        <f>VLOOKUP(Table1[[#This Row],[Winner]],Ranking!C:D,2,FALSE)</f>
        <v>ACC</v>
      </c>
      <c r="H2294" s="92">
        <v>71</v>
      </c>
      <c r="I2294" s="92">
        <v>5</v>
      </c>
      <c r="J2294" t="s">
        <v>95</v>
      </c>
      <c r="K2294" s="88" t="str">
        <f>VLOOKUP(Table1[[#This Row],[Loser]],Ranking!C:D,2,FALSE)</f>
        <v>P12</v>
      </c>
      <c r="L2294" s="92">
        <v>53</v>
      </c>
      <c r="M2294" s="92"/>
      <c r="N2294" s="89">
        <f>Table1[[#This Row],[Winning Score]]-Table1[[#This Row],[Losing Score]]</f>
        <v>18</v>
      </c>
      <c r="O2294" s="89">
        <f>Table1[[#This Row],[Losing Seed]]-Table1[[#This Row],[Winning Seed]]</f>
        <v>1</v>
      </c>
      <c r="P2294" s="89" t="str">
        <f>IF(Table1[[#This Row],[SeD]]&lt;-2,Table1[[#This Row],[Winning Seed]]&amp; " over " &amp;Table1[[#This Row],[Losing Seed]],"")</f>
        <v/>
      </c>
      <c r="Q2294" s="88">
        <f>VLOOKUP(Table1[[#This Row],[Losing Seed]],'Seed History'!$N$4:$O$19,2)</f>
        <v>1.1180555555555556</v>
      </c>
      <c r="R2294" s="89">
        <f>IF(Table1[[#This Row],[Round]]="PI",0,Table1[[#This Row],[Round]]-1)</f>
        <v>1</v>
      </c>
      <c r="S2294" s="88">
        <f>Table1[[#This Row],[LAW]]-Table1[[#This Row],[LEW]]</f>
        <v>-0.11805555555555558</v>
      </c>
    </row>
    <row r="2295" spans="1:19" x14ac:dyDescent="0.25">
      <c r="A2295" s="66">
        <v>44276</v>
      </c>
      <c r="B2295" s="51">
        <f>YEAR(Table1[[#This Row],[Date]])</f>
        <v>2021</v>
      </c>
      <c r="C2295" s="92">
        <v>2</v>
      </c>
      <c r="D2295" t="s">
        <v>512</v>
      </c>
      <c r="E2295" s="93">
        <v>11</v>
      </c>
      <c r="F2295" t="s">
        <v>67</v>
      </c>
      <c r="G2295" s="88" t="str">
        <f>VLOOKUP(Table1[[#This Row],[Winner]],Ranking!C:D,2,FALSE)</f>
        <v>P12</v>
      </c>
      <c r="H2295" s="93">
        <v>67</v>
      </c>
      <c r="I2295" s="93">
        <v>14</v>
      </c>
      <c r="J2295" t="s">
        <v>107</v>
      </c>
      <c r="K2295" s="88" t="str">
        <f>VLOOKUP(Table1[[#This Row],[Loser]],Ranking!C:D,2,FALSE)</f>
        <v>Slnd</v>
      </c>
      <c r="L2295" s="93">
        <v>47</v>
      </c>
      <c r="M2295" s="92"/>
      <c r="N2295" s="89">
        <f>Table1[[#This Row],[Winning Score]]-Table1[[#This Row],[Losing Score]]</f>
        <v>20</v>
      </c>
      <c r="O2295" s="89">
        <f>Table1[[#This Row],[Losing Seed]]-Table1[[#This Row],[Winning Seed]]</f>
        <v>3</v>
      </c>
      <c r="P2295" s="89" t="str">
        <f>IF(Table1[[#This Row],[SeD]]&lt;-2,Table1[[#This Row],[Winning Seed]]&amp; " over " &amp;Table1[[#This Row],[Losing Seed]],"")</f>
        <v/>
      </c>
      <c r="Q2295" s="88">
        <f>VLOOKUP(Table1[[#This Row],[Losing Seed]],'Seed History'!$N$4:$O$19,2)</f>
        <v>0.16666666666666666</v>
      </c>
      <c r="R2295" s="89">
        <f>IF(Table1[[#This Row],[Round]]="PI",0,Table1[[#This Row],[Round]]-1)</f>
        <v>1</v>
      </c>
      <c r="S2295" s="88">
        <f>Table1[[#This Row],[LAW]]-Table1[[#This Row],[LEW]]</f>
        <v>0.83333333333333337</v>
      </c>
    </row>
    <row r="2296" spans="1:19" x14ac:dyDescent="0.25">
      <c r="A2296" s="66">
        <v>44276</v>
      </c>
      <c r="B2296" s="51">
        <f>YEAR(Table1[[#This Row],[Date]])</f>
        <v>2021</v>
      </c>
      <c r="C2296" s="92">
        <v>2</v>
      </c>
      <c r="D2296" t="s">
        <v>512</v>
      </c>
      <c r="E2296" s="93">
        <v>2</v>
      </c>
      <c r="F2296" t="s">
        <v>113</v>
      </c>
      <c r="G2296" s="88" t="str">
        <f>VLOOKUP(Table1[[#This Row],[Winner]],Ranking!C:D,2,FALSE)</f>
        <v>SEC</v>
      </c>
      <c r="H2296" s="93">
        <v>96</v>
      </c>
      <c r="I2296" s="93">
        <v>10</v>
      </c>
      <c r="J2296" t="s">
        <v>31</v>
      </c>
      <c r="K2296" s="88" t="str">
        <f>VLOOKUP(Table1[[#This Row],[Loser]],Ranking!C:D,2,FALSE)</f>
        <v>B10</v>
      </c>
      <c r="L2296" s="93">
        <v>77</v>
      </c>
      <c r="M2296" s="92"/>
      <c r="N2296" s="89">
        <f>Table1[[#This Row],[Winning Score]]-Table1[[#This Row],[Losing Score]]</f>
        <v>19</v>
      </c>
      <c r="O2296" s="89">
        <f>Table1[[#This Row],[Losing Seed]]-Table1[[#This Row],[Winning Seed]]</f>
        <v>8</v>
      </c>
      <c r="P2296" s="89" t="str">
        <f>IF(Table1[[#This Row],[SeD]]&lt;-2,Table1[[#This Row],[Winning Seed]]&amp; " over " &amp;Table1[[#This Row],[Losing Seed]],"")</f>
        <v/>
      </c>
      <c r="Q2296" s="88">
        <f>VLOOKUP(Table1[[#This Row],[Losing Seed]],'Seed History'!$N$4:$O$19,2)</f>
        <v>0.61805555555555558</v>
      </c>
      <c r="R2296" s="89">
        <f>IF(Table1[[#This Row],[Round]]="PI",0,Table1[[#This Row],[Round]]-1)</f>
        <v>1</v>
      </c>
      <c r="S2296" s="88">
        <f>Table1[[#This Row],[LAW]]-Table1[[#This Row],[LEW]]</f>
        <v>0.38194444444444442</v>
      </c>
    </row>
    <row r="2297" spans="1:19" x14ac:dyDescent="0.25">
      <c r="A2297" s="66">
        <v>44276</v>
      </c>
      <c r="B2297" s="51">
        <f>YEAR(Table1[[#This Row],[Date]])</f>
        <v>2021</v>
      </c>
      <c r="C2297" s="92">
        <v>2</v>
      </c>
      <c r="D2297" t="s">
        <v>511</v>
      </c>
      <c r="E2297" s="93">
        <v>1</v>
      </c>
      <c r="F2297" t="s">
        <v>46</v>
      </c>
      <c r="G2297" s="88" t="str">
        <f>VLOOKUP(Table1[[#This Row],[Winner]],Ranking!C:D,2,FALSE)</f>
        <v>B12</v>
      </c>
      <c r="H2297" s="93">
        <v>76</v>
      </c>
      <c r="I2297" s="93">
        <v>9</v>
      </c>
      <c r="J2297" t="s">
        <v>39</v>
      </c>
      <c r="K2297" s="88" t="str">
        <f>VLOOKUP(Table1[[#This Row],[Loser]],Ranking!C:D,2,FALSE)</f>
        <v>B10</v>
      </c>
      <c r="L2297" s="93">
        <v>63</v>
      </c>
      <c r="M2297" s="92"/>
      <c r="N2297" s="89">
        <f>Table1[[#This Row],[Winning Score]]-Table1[[#This Row],[Losing Score]]</f>
        <v>13</v>
      </c>
      <c r="O2297" s="89">
        <f>Table1[[#This Row],[Losing Seed]]-Table1[[#This Row],[Winning Seed]]</f>
        <v>8</v>
      </c>
      <c r="P2297" s="89" t="str">
        <f>IF(Table1[[#This Row],[SeD]]&lt;-2,Table1[[#This Row],[Winning Seed]]&amp; " over " &amp;Table1[[#This Row],[Losing Seed]],"")</f>
        <v/>
      </c>
      <c r="Q2297" s="88">
        <f>VLOOKUP(Table1[[#This Row],[Losing Seed]],'Seed History'!$N$4:$O$19,2)</f>
        <v>0.59027777777777779</v>
      </c>
      <c r="R2297" s="89">
        <f>IF(Table1[[#This Row],[Round]]="PI",0,Table1[[#This Row],[Round]]-1)</f>
        <v>1</v>
      </c>
      <c r="S2297" s="88">
        <f>Table1[[#This Row],[LAW]]-Table1[[#This Row],[LEW]]</f>
        <v>0.40972222222222221</v>
      </c>
    </row>
    <row r="2298" spans="1:19" x14ac:dyDescent="0.25">
      <c r="A2298" s="66">
        <v>44276</v>
      </c>
      <c r="B2298" s="51">
        <f>YEAR(Table1[[#This Row],[Date]])</f>
        <v>2021</v>
      </c>
      <c r="C2298" s="92">
        <v>2</v>
      </c>
      <c r="D2298" t="s">
        <v>511</v>
      </c>
      <c r="E2298" s="93">
        <v>5</v>
      </c>
      <c r="F2298" t="s">
        <v>50</v>
      </c>
      <c r="G2298" s="88" t="str">
        <f>VLOOKUP(Table1[[#This Row],[Winner]],Ranking!C:D,2,FALSE)</f>
        <v>BE</v>
      </c>
      <c r="H2298" s="93">
        <v>84</v>
      </c>
      <c r="I2298" s="93">
        <v>13</v>
      </c>
      <c r="J2298" t="s">
        <v>305</v>
      </c>
      <c r="K2298" s="88" t="str">
        <f>VLOOKUP(Table1[[#This Row],[Loser]],Ranking!C:D,2,FALSE)</f>
        <v>CUSA</v>
      </c>
      <c r="L2298" s="93">
        <v>61</v>
      </c>
      <c r="M2298" s="92"/>
      <c r="N2298" s="89">
        <f>Table1[[#This Row],[Winning Score]]-Table1[[#This Row],[Losing Score]]</f>
        <v>23</v>
      </c>
      <c r="O2298" s="89">
        <f>Table1[[#This Row],[Losing Seed]]-Table1[[#This Row],[Winning Seed]]</f>
        <v>8</v>
      </c>
      <c r="P2298" s="89" t="str">
        <f>IF(Table1[[#This Row],[SeD]]&lt;-2,Table1[[#This Row],[Winning Seed]]&amp; " over " &amp;Table1[[#This Row],[Losing Seed]],"")</f>
        <v/>
      </c>
      <c r="Q2298" s="88">
        <f>VLOOKUP(Table1[[#This Row],[Losing Seed]],'Seed History'!$N$4:$O$19,2)</f>
        <v>0.25694444444444442</v>
      </c>
      <c r="R2298" s="89">
        <f>IF(Table1[[#This Row],[Round]]="PI",0,Table1[[#This Row],[Round]]-1)</f>
        <v>1</v>
      </c>
      <c r="S2298" s="88">
        <f>Table1[[#This Row],[LAW]]-Table1[[#This Row],[LEW]]</f>
        <v>0.74305555555555558</v>
      </c>
    </row>
    <row r="2299" spans="1:19" x14ac:dyDescent="0.25">
      <c r="A2299" s="66">
        <v>44276</v>
      </c>
      <c r="B2299" s="51">
        <f>YEAR(Table1[[#This Row],[Date]])</f>
        <v>2021</v>
      </c>
      <c r="C2299" s="92">
        <v>2</v>
      </c>
      <c r="D2299" t="s">
        <v>511</v>
      </c>
      <c r="E2299" s="93">
        <v>3</v>
      </c>
      <c r="F2299" t="s">
        <v>41</v>
      </c>
      <c r="G2299" s="88" t="str">
        <f>VLOOKUP(Table1[[#This Row],[Winner]],Ranking!C:D,2,FALSE)</f>
        <v>SEC</v>
      </c>
      <c r="H2299" s="93">
        <v>68</v>
      </c>
      <c r="I2299" s="93">
        <v>6</v>
      </c>
      <c r="J2299" t="s">
        <v>92</v>
      </c>
      <c r="K2299" s="88" t="str">
        <f>VLOOKUP(Table1[[#This Row],[Loser]],Ranking!C:D,2,FALSE)</f>
        <v>B12</v>
      </c>
      <c r="L2299" s="93">
        <v>66</v>
      </c>
      <c r="M2299" s="92"/>
      <c r="N2299" s="89">
        <f>Table1[[#This Row],[Winning Score]]-Table1[[#This Row],[Losing Score]]</f>
        <v>2</v>
      </c>
      <c r="O2299" s="89">
        <f>Table1[[#This Row],[Losing Seed]]-Table1[[#This Row],[Winning Seed]]</f>
        <v>3</v>
      </c>
      <c r="P2299" s="89" t="str">
        <f>IF(Table1[[#This Row],[SeD]]&lt;-2,Table1[[#This Row],[Winning Seed]]&amp; " over " &amp;Table1[[#This Row],[Losing Seed]],"")</f>
        <v/>
      </c>
      <c r="Q2299" s="88">
        <f>VLOOKUP(Table1[[#This Row],[Losing Seed]],'Seed History'!$N$4:$O$19,2)</f>
        <v>1.0625</v>
      </c>
      <c r="R2299" s="89">
        <f>IF(Table1[[#This Row],[Round]]="PI",0,Table1[[#This Row],[Round]]-1)</f>
        <v>1</v>
      </c>
      <c r="S2299" s="88">
        <f>Table1[[#This Row],[LAW]]-Table1[[#This Row],[LEW]]</f>
        <v>-6.25E-2</v>
      </c>
    </row>
    <row r="2300" spans="1:19" x14ac:dyDescent="0.25">
      <c r="A2300" s="66">
        <v>44276</v>
      </c>
      <c r="B2300" s="51">
        <f>YEAR(Table1[[#This Row],[Date]])</f>
        <v>2021</v>
      </c>
      <c r="C2300" s="92">
        <v>2</v>
      </c>
      <c r="D2300" t="s">
        <v>511</v>
      </c>
      <c r="E2300" s="93">
        <v>15</v>
      </c>
      <c r="F2300" t="s">
        <v>318</v>
      </c>
      <c r="G2300" s="88" t="str">
        <f>VLOOKUP(Table1[[#This Row],[Winner]],Ranking!C:D,2,FALSE)</f>
        <v>Sum</v>
      </c>
      <c r="H2300" s="93">
        <v>81</v>
      </c>
      <c r="I2300" s="93">
        <v>7</v>
      </c>
      <c r="J2300" t="s">
        <v>81</v>
      </c>
      <c r="K2300" s="88" t="str">
        <f>VLOOKUP(Table1[[#This Row],[Loser]],Ranking!C:D,2,FALSE)</f>
        <v>SEC</v>
      </c>
      <c r="L2300" s="93">
        <v>78</v>
      </c>
      <c r="M2300" s="92"/>
      <c r="N2300" s="89">
        <f>Table1[[#This Row],[Winning Score]]-Table1[[#This Row],[Losing Score]]</f>
        <v>3</v>
      </c>
      <c r="O2300" s="89">
        <f>Table1[[#This Row],[Losing Seed]]-Table1[[#This Row],[Winning Seed]]</f>
        <v>-8</v>
      </c>
      <c r="P2300" s="89" t="str">
        <f>IF(Table1[[#This Row],[SeD]]&lt;-2,Table1[[#This Row],[Winning Seed]]&amp; " over " &amp;Table1[[#This Row],[Losing Seed]],"")</f>
        <v>15 over 7</v>
      </c>
      <c r="Q2300" s="88">
        <f>VLOOKUP(Table1[[#This Row],[Losing Seed]],'Seed History'!$N$4:$O$19,2)</f>
        <v>0.90277777777777779</v>
      </c>
      <c r="R2300" s="89">
        <f>IF(Table1[[#This Row],[Round]]="PI",0,Table1[[#This Row],[Round]]-1)</f>
        <v>1</v>
      </c>
      <c r="S2300" s="88">
        <f>Table1[[#This Row],[LAW]]-Table1[[#This Row],[LEW]]</f>
        <v>9.722222222222221E-2</v>
      </c>
    </row>
    <row r="2301" spans="1:19" x14ac:dyDescent="0.25">
      <c r="A2301" s="66">
        <v>44276</v>
      </c>
      <c r="B2301" s="51">
        <f>YEAR(Table1[[#This Row],[Date]])</f>
        <v>2021</v>
      </c>
      <c r="C2301" s="92">
        <v>2</v>
      </c>
      <c r="D2301" t="s">
        <v>513</v>
      </c>
      <c r="E2301" s="92">
        <v>8</v>
      </c>
      <c r="F2301" t="s">
        <v>257</v>
      </c>
      <c r="G2301" s="88" t="str">
        <f>VLOOKUP(Table1[[#This Row],[Winner]],Ranking!C:D,2,FALSE)</f>
        <v>MVC</v>
      </c>
      <c r="H2301" s="92">
        <v>71</v>
      </c>
      <c r="I2301" s="92">
        <v>1</v>
      </c>
      <c r="J2301" t="s">
        <v>230</v>
      </c>
      <c r="K2301" s="88" t="str">
        <f>VLOOKUP(Table1[[#This Row],[Loser]],Ranking!C:D,2,FALSE)</f>
        <v>B10</v>
      </c>
      <c r="L2301" s="92">
        <v>58</v>
      </c>
      <c r="M2301" s="92"/>
      <c r="N2301" s="89">
        <f>Table1[[#This Row],[Winning Score]]-Table1[[#This Row],[Losing Score]]</f>
        <v>13</v>
      </c>
      <c r="O2301" s="89">
        <f>Table1[[#This Row],[Losing Seed]]-Table1[[#This Row],[Winning Seed]]</f>
        <v>-7</v>
      </c>
      <c r="P2301" s="89" t="str">
        <f>IF(Table1[[#This Row],[SeD]]&lt;-2,Table1[[#This Row],[Winning Seed]]&amp; " over " &amp;Table1[[#This Row],[Losing Seed]],"")</f>
        <v>8 over 1</v>
      </c>
      <c r="Q2301" s="88">
        <f>VLOOKUP(Table1[[#This Row],[Losing Seed]],'Seed History'!$N$4:$O$19,2)</f>
        <v>3.3263888888888888</v>
      </c>
      <c r="R2301" s="89">
        <f>IF(Table1[[#This Row],[Round]]="PI",0,Table1[[#This Row],[Round]]-1)</f>
        <v>1</v>
      </c>
      <c r="S2301" s="88">
        <f>Table1[[#This Row],[LAW]]-Table1[[#This Row],[LEW]]</f>
        <v>-2.3263888888888888</v>
      </c>
    </row>
    <row r="2302" spans="1:19" x14ac:dyDescent="0.25">
      <c r="A2302" s="66">
        <v>44276</v>
      </c>
      <c r="B2302" s="51">
        <f>YEAR(Table1[[#This Row],[Date]])</f>
        <v>2021</v>
      </c>
      <c r="C2302" s="92">
        <v>2</v>
      </c>
      <c r="D2302" t="s">
        <v>513</v>
      </c>
      <c r="E2302" s="92">
        <v>12</v>
      </c>
      <c r="F2302" t="s">
        <v>319</v>
      </c>
      <c r="G2302" s="88" t="str">
        <f>VLOOKUP(Table1[[#This Row],[Winner]],Ranking!C:D,2,FALSE)</f>
        <v>P12</v>
      </c>
      <c r="H2302" s="92">
        <v>80</v>
      </c>
      <c r="I2302" s="92">
        <v>4</v>
      </c>
      <c r="J2302" t="s">
        <v>316</v>
      </c>
      <c r="K2302" s="88" t="str">
        <f>VLOOKUP(Table1[[#This Row],[Loser]],Ranking!C:D,2,FALSE)</f>
        <v>B12</v>
      </c>
      <c r="L2302" s="92">
        <v>70</v>
      </c>
      <c r="M2302" s="92"/>
      <c r="N2302" s="89">
        <f>Table1[[#This Row],[Winning Score]]-Table1[[#This Row],[Losing Score]]</f>
        <v>10</v>
      </c>
      <c r="O2302" s="89">
        <f>Table1[[#This Row],[Losing Seed]]-Table1[[#This Row],[Winning Seed]]</f>
        <v>-8</v>
      </c>
      <c r="P2302" s="89" t="str">
        <f>IF(Table1[[#This Row],[SeD]]&lt;-2,Table1[[#This Row],[Winning Seed]]&amp; " over " &amp;Table1[[#This Row],[Losing Seed]],"")</f>
        <v>12 over 4</v>
      </c>
      <c r="Q2302" s="88">
        <f>VLOOKUP(Table1[[#This Row],[Losing Seed]],'Seed History'!$N$4:$O$19,2)</f>
        <v>1.5208333333333333</v>
      </c>
      <c r="R2302" s="89">
        <f>IF(Table1[[#This Row],[Round]]="PI",0,Table1[[#This Row],[Round]]-1)</f>
        <v>1</v>
      </c>
      <c r="S2302" s="88">
        <f>Table1[[#This Row],[LAW]]-Table1[[#This Row],[LEW]]</f>
        <v>-0.52083333333333326</v>
      </c>
    </row>
    <row r="2303" spans="1:19" x14ac:dyDescent="0.25">
      <c r="A2303" s="66">
        <v>44276</v>
      </c>
      <c r="B2303" s="51">
        <f>YEAR(Table1[[#This Row],[Date]])</f>
        <v>2021</v>
      </c>
      <c r="C2303" s="92">
        <v>2</v>
      </c>
      <c r="D2303" t="s">
        <v>513</v>
      </c>
      <c r="E2303" s="92">
        <v>11</v>
      </c>
      <c r="F2303" t="s">
        <v>86</v>
      </c>
      <c r="G2303" s="88" t="str">
        <f>VLOOKUP(Table1[[#This Row],[Winner]],Ranking!C:D,2,FALSE)</f>
        <v>ACC</v>
      </c>
      <c r="H2303" s="92">
        <v>75</v>
      </c>
      <c r="I2303" s="92">
        <v>3</v>
      </c>
      <c r="J2303" t="s">
        <v>412</v>
      </c>
      <c r="K2303" s="88" t="str">
        <f>VLOOKUP(Table1[[#This Row],[Loser]],Ranking!C:D,2,FALSE)</f>
        <v>B12</v>
      </c>
      <c r="L2303" s="92">
        <v>72</v>
      </c>
      <c r="M2303" s="92"/>
      <c r="N2303" s="89">
        <f>Table1[[#This Row],[Winning Score]]-Table1[[#This Row],[Losing Score]]</f>
        <v>3</v>
      </c>
      <c r="O2303" s="89">
        <f>Table1[[#This Row],[Losing Seed]]-Table1[[#This Row],[Winning Seed]]</f>
        <v>-8</v>
      </c>
      <c r="P2303" s="89" t="str">
        <f>IF(Table1[[#This Row],[SeD]]&lt;-2,Table1[[#This Row],[Winning Seed]]&amp; " over " &amp;Table1[[#This Row],[Losing Seed]],"")</f>
        <v>11 over 3</v>
      </c>
      <c r="Q2303" s="88">
        <f>VLOOKUP(Table1[[#This Row],[Losing Seed]],'Seed History'!$N$4:$O$19,2)</f>
        <v>1.8472222222222223</v>
      </c>
      <c r="R2303" s="89">
        <f>IF(Table1[[#This Row],[Round]]="PI",0,Table1[[#This Row],[Round]]-1)</f>
        <v>1</v>
      </c>
      <c r="S2303" s="88">
        <f>Table1[[#This Row],[LAW]]-Table1[[#This Row],[LEW]]</f>
        <v>-0.84722222222222232</v>
      </c>
    </row>
    <row r="2304" spans="1:19" x14ac:dyDescent="0.25">
      <c r="A2304" s="66">
        <v>44276</v>
      </c>
      <c r="B2304" s="51">
        <f>YEAR(Table1[[#This Row],[Date]])</f>
        <v>2021</v>
      </c>
      <c r="C2304" s="92">
        <v>2</v>
      </c>
      <c r="D2304" t="s">
        <v>513</v>
      </c>
      <c r="E2304" s="92">
        <v>2</v>
      </c>
      <c r="F2304" t="s">
        <v>225</v>
      </c>
      <c r="G2304" s="88" t="str">
        <f>VLOOKUP(Table1[[#This Row],[Winner]],Ranking!C:D,2,FALSE)</f>
        <v>Amer</v>
      </c>
      <c r="H2304" s="92">
        <v>63</v>
      </c>
      <c r="I2304" s="92">
        <v>10</v>
      </c>
      <c r="J2304" t="s">
        <v>334</v>
      </c>
      <c r="K2304" s="88" t="str">
        <f>VLOOKUP(Table1[[#This Row],[Loser]],Ranking!C:D,2,FALSE)</f>
        <v>B10</v>
      </c>
      <c r="L2304" s="92">
        <v>60</v>
      </c>
      <c r="M2304" s="92"/>
      <c r="N2304" s="89">
        <f>Table1[[#This Row],[Winning Score]]-Table1[[#This Row],[Losing Score]]</f>
        <v>3</v>
      </c>
      <c r="O2304" s="89">
        <f>Table1[[#This Row],[Losing Seed]]-Table1[[#This Row],[Winning Seed]]</f>
        <v>8</v>
      </c>
      <c r="P2304" s="89" t="str">
        <f>IF(Table1[[#This Row],[SeD]]&lt;-2,Table1[[#This Row],[Winning Seed]]&amp; " over " &amp;Table1[[#This Row],[Losing Seed]],"")</f>
        <v/>
      </c>
      <c r="Q2304" s="88">
        <f>VLOOKUP(Table1[[#This Row],[Losing Seed]],'Seed History'!$N$4:$O$19,2)</f>
        <v>0.61805555555555558</v>
      </c>
      <c r="R2304" s="89">
        <f>IF(Table1[[#This Row],[Round]]="PI",0,Table1[[#This Row],[Round]]-1)</f>
        <v>1</v>
      </c>
      <c r="S2304" s="88">
        <f>Table1[[#This Row],[LAW]]-Table1[[#This Row],[LEW]]</f>
        <v>0.38194444444444442</v>
      </c>
    </row>
    <row r="2305" spans="1:19" x14ac:dyDescent="0.25">
      <c r="A2305" s="66">
        <v>44282</v>
      </c>
      <c r="B2305" s="51">
        <f>YEAR(Table1[[#This Row],[Date]])</f>
        <v>2021</v>
      </c>
      <c r="C2305" s="92">
        <v>3</v>
      </c>
      <c r="D2305" t="s">
        <v>510</v>
      </c>
      <c r="E2305" s="92">
        <v>1</v>
      </c>
      <c r="F2305" t="s">
        <v>71</v>
      </c>
      <c r="G2305" s="88" t="str">
        <f>VLOOKUP(Table1[[#This Row],[Winner]],Ranking!C:D,2,FALSE)</f>
        <v>WCC</v>
      </c>
      <c r="H2305" s="92">
        <v>83</v>
      </c>
      <c r="I2305" s="92">
        <v>5</v>
      </c>
      <c r="J2305" t="s">
        <v>88</v>
      </c>
      <c r="K2305" s="88" t="str">
        <f>VLOOKUP(Table1[[#This Row],[Loser]],Ranking!C:D,2,FALSE)</f>
        <v>BE</v>
      </c>
      <c r="L2305" s="92">
        <v>65</v>
      </c>
      <c r="M2305" s="92"/>
      <c r="N2305" s="89">
        <f>Table1[[#This Row],[Winning Score]]-Table1[[#This Row],[Losing Score]]</f>
        <v>18</v>
      </c>
      <c r="O2305" s="89">
        <f>Table1[[#This Row],[Losing Seed]]-Table1[[#This Row],[Winning Seed]]</f>
        <v>4</v>
      </c>
      <c r="P2305" s="89" t="str">
        <f>IF(Table1[[#This Row],[SeD]]&lt;-2,Table1[[#This Row],[Winning Seed]]&amp; " over " &amp;Table1[[#This Row],[Losing Seed]],"")</f>
        <v/>
      </c>
      <c r="Q2305" s="88">
        <f>VLOOKUP(Table1[[#This Row],[Losing Seed]],'Seed History'!$N$4:$O$19,2)</f>
        <v>1.1180555555555556</v>
      </c>
      <c r="R2305" s="89">
        <f>IF(Table1[[#This Row],[Round]]="PI",0,Table1[[#This Row],[Round]]-1)</f>
        <v>2</v>
      </c>
      <c r="S2305" s="88">
        <f>Table1[[#This Row],[LAW]]-Table1[[#This Row],[LEW]]</f>
        <v>0.88194444444444442</v>
      </c>
    </row>
    <row r="2306" spans="1:19" x14ac:dyDescent="0.25">
      <c r="A2306" s="66">
        <v>44282</v>
      </c>
      <c r="B2306" s="51">
        <f>YEAR(Table1[[#This Row],[Date]])</f>
        <v>2021</v>
      </c>
      <c r="C2306" s="95">
        <v>3</v>
      </c>
      <c r="D2306" t="s">
        <v>510</v>
      </c>
      <c r="E2306" s="95">
        <v>6</v>
      </c>
      <c r="F2306" t="s">
        <v>85</v>
      </c>
      <c r="G2306" s="88" t="str">
        <f>VLOOKUP(Table1[[#This Row],[Winner]],Ranking!C:D,2,FALSE)</f>
        <v>P12</v>
      </c>
      <c r="H2306" s="95">
        <v>73</v>
      </c>
      <c r="I2306" s="95">
        <v>7</v>
      </c>
      <c r="J2306" t="s">
        <v>40</v>
      </c>
      <c r="K2306" s="88" t="str">
        <f>VLOOKUP(Table1[[#This Row],[Loser]],Ranking!C:D,2,FALSE)</f>
        <v>P12</v>
      </c>
      <c r="L2306" s="95">
        <v>57</v>
      </c>
      <c r="M2306" s="95"/>
      <c r="N2306" s="89">
        <f>Table1[[#This Row],[Winning Score]]-Table1[[#This Row],[Losing Score]]</f>
        <v>16</v>
      </c>
      <c r="O2306" s="89">
        <f>Table1[[#This Row],[Losing Seed]]-Table1[[#This Row],[Winning Seed]]</f>
        <v>1</v>
      </c>
      <c r="P2306" s="89" t="str">
        <f>IF(Table1[[#This Row],[SeD]]&lt;-2,Table1[[#This Row],[Winning Seed]]&amp; " over " &amp;Table1[[#This Row],[Losing Seed]],"")</f>
        <v/>
      </c>
      <c r="Q2306" s="88">
        <f>VLOOKUP(Table1[[#This Row],[Losing Seed]],'Seed History'!$N$4:$O$19,2)</f>
        <v>0.90277777777777779</v>
      </c>
      <c r="R2306" s="89">
        <f>IF(Table1[[#This Row],[Round]]="PI",0,Table1[[#This Row],[Round]]-1)</f>
        <v>2</v>
      </c>
      <c r="S2306" s="88">
        <f>Table1[[#This Row],[LAW]]-Table1[[#This Row],[LEW]]</f>
        <v>1.0972222222222223</v>
      </c>
    </row>
    <row r="2307" spans="1:19" x14ac:dyDescent="0.25">
      <c r="A2307" s="66">
        <v>44282</v>
      </c>
      <c r="B2307" s="51">
        <f>YEAR(Table1[[#This Row],[Date]])</f>
        <v>2021</v>
      </c>
      <c r="C2307" s="95">
        <v>3</v>
      </c>
      <c r="D2307" t="s">
        <v>512</v>
      </c>
      <c r="E2307" s="95">
        <v>1</v>
      </c>
      <c r="F2307" t="s">
        <v>82</v>
      </c>
      <c r="G2307" s="88" t="str">
        <f>VLOOKUP(Table1[[#This Row],[Winner]],Ranking!C:D,2,FALSE)</f>
        <v>B10</v>
      </c>
      <c r="H2307" s="95">
        <v>76</v>
      </c>
      <c r="I2307" s="95">
        <v>4</v>
      </c>
      <c r="J2307" t="s">
        <v>207</v>
      </c>
      <c r="K2307" s="88" t="str">
        <f>VLOOKUP(Table1[[#This Row],[Loser]],Ranking!C:D,2,FALSE)</f>
        <v>ACC</v>
      </c>
      <c r="L2307" s="95">
        <v>58</v>
      </c>
      <c r="M2307" s="95"/>
      <c r="N2307" s="89">
        <f>Table1[[#This Row],[Winning Score]]-Table1[[#This Row],[Losing Score]]</f>
        <v>18</v>
      </c>
      <c r="O2307" s="89">
        <f>Table1[[#This Row],[Losing Seed]]-Table1[[#This Row],[Winning Seed]]</f>
        <v>3</v>
      </c>
      <c r="P2307" s="89" t="str">
        <f>IF(Table1[[#This Row],[SeD]]&lt;-2,Table1[[#This Row],[Winning Seed]]&amp; " over " &amp;Table1[[#This Row],[Losing Seed]],"")</f>
        <v/>
      </c>
      <c r="Q2307" s="88">
        <f>VLOOKUP(Table1[[#This Row],[Losing Seed]],'Seed History'!$N$4:$O$19,2)</f>
        <v>1.5208333333333333</v>
      </c>
      <c r="R2307" s="89">
        <f>IF(Table1[[#This Row],[Round]]="PI",0,Table1[[#This Row],[Round]]-1)</f>
        <v>2</v>
      </c>
      <c r="S2307" s="88">
        <f>Table1[[#This Row],[LAW]]-Table1[[#This Row],[LEW]]</f>
        <v>0.47916666666666674</v>
      </c>
    </row>
    <row r="2308" spans="1:19" x14ac:dyDescent="0.25">
      <c r="A2308" s="66">
        <v>44282</v>
      </c>
      <c r="B2308" s="51">
        <f>YEAR(Table1[[#This Row],[Date]])</f>
        <v>2021</v>
      </c>
      <c r="C2308" s="95">
        <v>3</v>
      </c>
      <c r="D2308" t="s">
        <v>512</v>
      </c>
      <c r="E2308" s="95">
        <v>11</v>
      </c>
      <c r="F2308" t="s">
        <v>67</v>
      </c>
      <c r="G2308" s="88" t="str">
        <f>VLOOKUP(Table1[[#This Row],[Winner]],Ranking!C:D,2,FALSE)</f>
        <v>P12</v>
      </c>
      <c r="H2308" s="95">
        <v>88</v>
      </c>
      <c r="I2308" s="95">
        <v>2</v>
      </c>
      <c r="J2308" t="s">
        <v>113</v>
      </c>
      <c r="K2308" s="88" t="str">
        <f>VLOOKUP(Table1[[#This Row],[Loser]],Ranking!C:D,2,FALSE)</f>
        <v>SEC</v>
      </c>
      <c r="L2308" s="95">
        <v>78</v>
      </c>
      <c r="M2308" s="95"/>
      <c r="N2308" s="89">
        <f>Table1[[#This Row],[Winning Score]]-Table1[[#This Row],[Losing Score]]</f>
        <v>10</v>
      </c>
      <c r="O2308" s="89">
        <f>Table1[[#This Row],[Losing Seed]]-Table1[[#This Row],[Winning Seed]]</f>
        <v>-9</v>
      </c>
      <c r="P2308" s="89" t="str">
        <f>IF(Table1[[#This Row],[SeD]]&lt;-2,Table1[[#This Row],[Winning Seed]]&amp; " over " &amp;Table1[[#This Row],[Losing Seed]],"")</f>
        <v>11 over 2</v>
      </c>
      <c r="Q2308" s="88">
        <f>VLOOKUP(Table1[[#This Row],[Losing Seed]],'Seed History'!$N$4:$O$19,2)</f>
        <v>2.3472222222222223</v>
      </c>
      <c r="R2308" s="89">
        <f>IF(Table1[[#This Row],[Round]]="PI",0,Table1[[#This Row],[Round]]-1)</f>
        <v>2</v>
      </c>
      <c r="S2308" s="88">
        <f>Table1[[#This Row],[LAW]]-Table1[[#This Row],[LEW]]</f>
        <v>-0.34722222222222232</v>
      </c>
    </row>
    <row r="2309" spans="1:19" x14ac:dyDescent="0.25">
      <c r="A2309" s="66">
        <v>44282</v>
      </c>
      <c r="B2309" s="51">
        <f>YEAR(Table1[[#This Row],[Date]])</f>
        <v>2021</v>
      </c>
      <c r="C2309" s="95">
        <v>3</v>
      </c>
      <c r="D2309" t="s">
        <v>511</v>
      </c>
      <c r="E2309" s="95">
        <v>1</v>
      </c>
      <c r="F2309" t="s">
        <v>46</v>
      </c>
      <c r="G2309" s="88" t="str">
        <f>VLOOKUP(Table1[[#This Row],[Winner]],Ranking!C:D,2,FALSE)</f>
        <v>B12</v>
      </c>
      <c r="H2309" s="95">
        <v>62</v>
      </c>
      <c r="I2309" s="95">
        <v>5</v>
      </c>
      <c r="J2309" t="s">
        <v>50</v>
      </c>
      <c r="K2309" s="88" t="str">
        <f>VLOOKUP(Table1[[#This Row],[Loser]],Ranking!C:D,2,FALSE)</f>
        <v>BE</v>
      </c>
      <c r="L2309" s="95">
        <v>51</v>
      </c>
      <c r="M2309" s="95"/>
      <c r="N2309" s="89">
        <f>Table1[[#This Row],[Winning Score]]-Table1[[#This Row],[Losing Score]]</f>
        <v>11</v>
      </c>
      <c r="O2309" s="89">
        <f>Table1[[#This Row],[Losing Seed]]-Table1[[#This Row],[Winning Seed]]</f>
        <v>4</v>
      </c>
      <c r="P2309" s="89" t="str">
        <f>IF(Table1[[#This Row],[SeD]]&lt;-2,Table1[[#This Row],[Winning Seed]]&amp; " over " &amp;Table1[[#This Row],[Losing Seed]],"")</f>
        <v/>
      </c>
      <c r="Q2309" s="88">
        <f>VLOOKUP(Table1[[#This Row],[Losing Seed]],'Seed History'!$N$4:$O$19,2)</f>
        <v>1.1180555555555556</v>
      </c>
      <c r="R2309" s="89">
        <f>IF(Table1[[#This Row],[Round]]="PI",0,Table1[[#This Row],[Round]]-1)</f>
        <v>2</v>
      </c>
      <c r="S2309" s="88">
        <f>Table1[[#This Row],[LAW]]-Table1[[#This Row],[LEW]]</f>
        <v>0.88194444444444442</v>
      </c>
    </row>
    <row r="2310" spans="1:19" x14ac:dyDescent="0.25">
      <c r="A2310" s="66">
        <v>44282</v>
      </c>
      <c r="B2310" s="51">
        <f>YEAR(Table1[[#This Row],[Date]])</f>
        <v>2021</v>
      </c>
      <c r="C2310" s="95">
        <v>3</v>
      </c>
      <c r="D2310" t="s">
        <v>511</v>
      </c>
      <c r="E2310" s="95">
        <v>3</v>
      </c>
      <c r="F2310" t="s">
        <v>41</v>
      </c>
      <c r="G2310" s="88" t="str">
        <f>VLOOKUP(Table1[[#This Row],[Winner]],Ranking!C:D,2,FALSE)</f>
        <v>SEC</v>
      </c>
      <c r="H2310" s="95">
        <v>72</v>
      </c>
      <c r="I2310" s="95">
        <v>15</v>
      </c>
      <c r="J2310" t="s">
        <v>318</v>
      </c>
      <c r="K2310" s="88" t="str">
        <f>VLOOKUP(Table1[[#This Row],[Loser]],Ranking!C:D,2,FALSE)</f>
        <v>Sum</v>
      </c>
      <c r="L2310" s="95">
        <v>70</v>
      </c>
      <c r="M2310" s="95"/>
      <c r="N2310" s="89">
        <f>Table1[[#This Row],[Winning Score]]-Table1[[#This Row],[Losing Score]]</f>
        <v>2</v>
      </c>
      <c r="O2310" s="89">
        <f>Table1[[#This Row],[Losing Seed]]-Table1[[#This Row],[Winning Seed]]</f>
        <v>12</v>
      </c>
      <c r="P2310" s="89" t="str">
        <f>IF(Table1[[#This Row],[SeD]]&lt;-2,Table1[[#This Row],[Winning Seed]]&amp; " over " &amp;Table1[[#This Row],[Losing Seed]],"")</f>
        <v/>
      </c>
      <c r="Q2310" s="88">
        <f>VLOOKUP(Table1[[#This Row],[Losing Seed]],'Seed History'!$N$4:$O$19,2)</f>
        <v>7.6388888888888895E-2</v>
      </c>
      <c r="R2310" s="89">
        <f>IF(Table1[[#This Row],[Round]]="PI",0,Table1[[#This Row],[Round]]-1)</f>
        <v>2</v>
      </c>
      <c r="S2310" s="88">
        <f>Table1[[#This Row],[LAW]]-Table1[[#This Row],[LEW]]</f>
        <v>1.9236111111111112</v>
      </c>
    </row>
    <row r="2311" spans="1:19" x14ac:dyDescent="0.25">
      <c r="A2311" s="66">
        <v>44282</v>
      </c>
      <c r="B2311" s="51">
        <f>YEAR(Table1[[#This Row],[Date]])</f>
        <v>2021</v>
      </c>
      <c r="C2311" s="95">
        <v>3</v>
      </c>
      <c r="D2311" t="s">
        <v>513</v>
      </c>
      <c r="E2311" s="95">
        <v>12</v>
      </c>
      <c r="F2311" t="s">
        <v>319</v>
      </c>
      <c r="G2311" s="88" t="str">
        <f>VLOOKUP(Table1[[#This Row],[Winner]],Ranking!C:D,2,FALSE)</f>
        <v>P12</v>
      </c>
      <c r="H2311" s="95">
        <v>65</v>
      </c>
      <c r="I2311" s="95">
        <v>8</v>
      </c>
      <c r="J2311" t="s">
        <v>257</v>
      </c>
      <c r="K2311" s="88" t="str">
        <f>VLOOKUP(Table1[[#This Row],[Loser]],Ranking!C:D,2,FALSE)</f>
        <v>MVC</v>
      </c>
      <c r="L2311" s="95">
        <v>58</v>
      </c>
      <c r="M2311" s="95"/>
      <c r="N2311" s="89">
        <f>Table1[[#This Row],[Winning Score]]-Table1[[#This Row],[Losing Score]]</f>
        <v>7</v>
      </c>
      <c r="O2311" s="89">
        <f>Table1[[#This Row],[Losing Seed]]-Table1[[#This Row],[Winning Seed]]</f>
        <v>-4</v>
      </c>
      <c r="P2311" s="89" t="str">
        <f>IF(Table1[[#This Row],[SeD]]&lt;-2,Table1[[#This Row],[Winning Seed]]&amp; " over " &amp;Table1[[#This Row],[Losing Seed]],"")</f>
        <v>12 over 8</v>
      </c>
      <c r="Q2311" s="88">
        <f>VLOOKUP(Table1[[#This Row],[Losing Seed]],'Seed History'!$N$4:$O$19,2)</f>
        <v>0.70833333333333337</v>
      </c>
      <c r="R2311" s="89">
        <f>IF(Table1[[#This Row],[Round]]="PI",0,Table1[[#This Row],[Round]]-1)</f>
        <v>2</v>
      </c>
      <c r="S2311" s="88">
        <f>Table1[[#This Row],[LAW]]-Table1[[#This Row],[LEW]]</f>
        <v>1.2916666666666665</v>
      </c>
    </row>
    <row r="2312" spans="1:19" x14ac:dyDescent="0.25">
      <c r="A2312" s="66">
        <v>44282</v>
      </c>
      <c r="B2312" s="51">
        <f>YEAR(Table1[[#This Row],[Date]])</f>
        <v>2021</v>
      </c>
      <c r="C2312" s="95">
        <v>3</v>
      </c>
      <c r="D2312" t="s">
        <v>513</v>
      </c>
      <c r="E2312" s="95">
        <v>2</v>
      </c>
      <c r="F2312" t="s">
        <v>225</v>
      </c>
      <c r="G2312" s="88" t="str">
        <f>VLOOKUP(Table1[[#This Row],[Winner]],Ranking!C:D,2,FALSE)</f>
        <v>Amer</v>
      </c>
      <c r="H2312" s="95">
        <v>62</v>
      </c>
      <c r="I2312" s="95">
        <v>11</v>
      </c>
      <c r="J2312" t="s">
        <v>86</v>
      </c>
      <c r="K2312" s="88" t="str">
        <f>VLOOKUP(Table1[[#This Row],[Loser]],Ranking!C:D,2,FALSE)</f>
        <v>ACC</v>
      </c>
      <c r="L2312" s="95">
        <v>46</v>
      </c>
      <c r="M2312" s="95"/>
      <c r="N2312" s="89">
        <f>Table1[[#This Row],[Winning Score]]-Table1[[#This Row],[Losing Score]]</f>
        <v>16</v>
      </c>
      <c r="O2312" s="89">
        <f>Table1[[#This Row],[Losing Seed]]-Table1[[#This Row],[Winning Seed]]</f>
        <v>9</v>
      </c>
      <c r="P2312" s="89" t="str">
        <f>IF(Table1[[#This Row],[SeD]]&lt;-2,Table1[[#This Row],[Winning Seed]]&amp; " over " &amp;Table1[[#This Row],[Losing Seed]],"")</f>
        <v/>
      </c>
      <c r="Q2312" s="88">
        <f>VLOOKUP(Table1[[#This Row],[Losing Seed]],'Seed History'!$N$4:$O$19,2)</f>
        <v>0.63194444444444442</v>
      </c>
      <c r="R2312" s="89">
        <f>IF(Table1[[#This Row],[Round]]="PI",0,Table1[[#This Row],[Round]]-1)</f>
        <v>2</v>
      </c>
      <c r="S2312" s="88">
        <f>Table1[[#This Row],[LAW]]-Table1[[#This Row],[LEW]]</f>
        <v>1.3680555555555556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74"/>
  <sheetViews>
    <sheetView showZeros="0" zoomScale="85" zoomScaleNormal="85" workbookViewId="0">
      <selection activeCell="AA23" sqref="AA23"/>
    </sheetView>
  </sheetViews>
  <sheetFormatPr defaultRowHeight="15" x14ac:dyDescent="0.25"/>
  <cols>
    <col min="1" max="1" width="6.5703125" bestFit="1" customWidth="1"/>
    <col min="2" max="2" width="4.28515625" bestFit="1" customWidth="1"/>
    <col min="3" max="3" width="21.140625" bestFit="1" customWidth="1"/>
    <col min="4" max="4" width="8.7109375" style="6" hidden="1" customWidth="1"/>
    <col min="5" max="5" width="8.7109375" hidden="1" customWidth="1"/>
    <col min="6" max="6" width="4.85546875" bestFit="1" customWidth="1"/>
    <col min="7" max="7" width="21.140625" bestFit="1" customWidth="1"/>
    <col min="8" max="8" width="8.7109375" style="6" hidden="1" customWidth="1"/>
    <col min="9" max="9" width="8.7109375" hidden="1" customWidth="1"/>
    <col min="10" max="10" width="4.85546875" bestFit="1" customWidth="1"/>
    <col min="11" max="11" width="15.140625" bestFit="1" customWidth="1"/>
    <col min="12" max="13" width="8.7109375" hidden="1" customWidth="1"/>
    <col min="14" max="14" width="4.85546875" bestFit="1" customWidth="1"/>
    <col min="15" max="15" width="13.42578125" bestFit="1" customWidth="1"/>
    <col min="16" max="16" width="8.7109375" hidden="1" customWidth="1"/>
    <col min="17" max="17" width="8.42578125" hidden="1" customWidth="1"/>
    <col min="18" max="18" width="4.85546875" bestFit="1" customWidth="1"/>
    <col min="19" max="19" width="13.42578125" bestFit="1" customWidth="1"/>
    <col min="20" max="20" width="8.7109375" hidden="1" customWidth="1"/>
    <col min="21" max="21" width="8.42578125" hidden="1" customWidth="1"/>
    <col min="22" max="22" width="4.5703125" customWidth="1"/>
    <col min="23" max="23" width="14.28515625" customWidth="1"/>
    <col min="24" max="25" width="8.42578125" hidden="1" customWidth="1"/>
    <col min="26" max="26" width="4.28515625" customWidth="1"/>
    <col min="27" max="27" width="13.42578125" bestFit="1" customWidth="1"/>
    <col min="28" max="28" width="4.42578125" customWidth="1"/>
    <col min="29" max="29" width="17" customWidth="1"/>
    <col min="30" max="30" width="4.42578125" customWidth="1"/>
    <col min="31" max="31" width="17" customWidth="1"/>
    <col min="32" max="32" width="4.42578125" customWidth="1"/>
    <col min="33" max="33" width="17" customWidth="1"/>
    <col min="34" max="34" width="4.42578125" customWidth="1"/>
    <col min="35" max="35" width="17" customWidth="1"/>
    <col min="36" max="36" width="4.42578125" customWidth="1"/>
    <col min="37" max="37" width="17" customWidth="1"/>
    <col min="38" max="38" width="4.42578125" customWidth="1"/>
    <col min="39" max="39" width="17" customWidth="1"/>
  </cols>
  <sheetData>
    <row r="1" spans="1:40" x14ac:dyDescent="0.25">
      <c r="A1" s="102" t="str">
        <f>'Value Matchup'!A356</f>
        <v>NorthWest</v>
      </c>
      <c r="B1" s="14">
        <f>'Value Matchup'!C356</f>
        <v>1</v>
      </c>
      <c r="C1" s="15" t="str">
        <f>'Value Matchup'!D356</f>
        <v>Gonzaga</v>
      </c>
      <c r="D1" s="16">
        <f>'Value Matchup'!E356</f>
        <v>647.09698051936311</v>
      </c>
      <c r="E1" s="16">
        <f ca="1">RAND()*(D1+D2)</f>
        <v>78.594277972217597</v>
      </c>
      <c r="F1" s="17">
        <f ca="1">IF(G1=C1,B1,B2)</f>
        <v>1</v>
      </c>
      <c r="G1" s="17" t="str">
        <f ca="1">IF(E1&lt;D1,C1,C2)</f>
        <v>Gonzaga</v>
      </c>
      <c r="H1" s="6">
        <f ca="1">OFFSET('Value Matchup'!$D$355,MATCH(G1,'Value Matchup'!$D$356:$D$420,0),2)</f>
        <v>499.02864099802525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8"/>
      <c r="AA1">
        <v>2021</v>
      </c>
      <c r="AD1" s="82"/>
      <c r="AE1" s="15"/>
      <c r="AF1" s="15"/>
      <c r="AG1" s="15"/>
      <c r="AH1" s="15"/>
      <c r="AI1" s="15"/>
      <c r="AJ1" s="15">
        <f ca="1">F33</f>
        <v>1</v>
      </c>
      <c r="AK1" s="7" t="str">
        <f ca="1">G33</f>
        <v>Baylor</v>
      </c>
      <c r="AL1" s="15">
        <f>B33</f>
        <v>1</v>
      </c>
      <c r="AM1" s="18" t="str">
        <f>C33</f>
        <v>Baylor</v>
      </c>
      <c r="AN1" s="102" t="str">
        <f>A33</f>
        <v>NorthEast</v>
      </c>
    </row>
    <row r="2" spans="1:40" x14ac:dyDescent="0.25">
      <c r="A2" s="102"/>
      <c r="B2" s="19">
        <f>'Value Matchup'!C357</f>
        <v>16</v>
      </c>
      <c r="C2" t="str">
        <f>'Value Matchup'!D357</f>
        <v>Norfolk St.</v>
      </c>
      <c r="D2" s="6">
        <f>'Value Matchup'!E357</f>
        <v>5.6951079598707812</v>
      </c>
      <c r="I2" s="6">
        <f ca="1">RAND()*(H1+H3)</f>
        <v>251.35530857734474</v>
      </c>
      <c r="J2" s="7">
        <f ca="1">IF(K2=G1,F1,F3)</f>
        <v>1</v>
      </c>
      <c r="K2" s="7" t="str">
        <f ca="1">IF(I2&lt;H1,G1,G3)</f>
        <v>Gonzaga</v>
      </c>
      <c r="L2" s="6">
        <f ca="1">OFFSET('Value Matchup'!$D$355,MATCH(K2,'Value Matchup'!$D$356:$D$420,0),3)</f>
        <v>397.09932226546618</v>
      </c>
      <c r="S2" s="20"/>
      <c r="AD2" s="19"/>
      <c r="AH2">
        <f ca="1">J34</f>
        <v>1</v>
      </c>
      <c r="AI2" s="7" t="str">
        <f ca="1">K34</f>
        <v>Baylor</v>
      </c>
      <c r="AL2">
        <f t="shared" ref="AL2:AM2" si="0">B34</f>
        <v>16</v>
      </c>
      <c r="AM2" s="20" t="str">
        <f t="shared" si="0"/>
        <v>Hartford</v>
      </c>
      <c r="AN2" s="102"/>
    </row>
    <row r="3" spans="1:40" x14ac:dyDescent="0.25">
      <c r="A3" s="102"/>
      <c r="B3" s="19">
        <f>'Value Matchup'!C358</f>
        <v>8</v>
      </c>
      <c r="C3" t="str">
        <f>'Value Matchup'!D358</f>
        <v>Oklahoma</v>
      </c>
      <c r="D3" s="6">
        <f>'Value Matchup'!E358</f>
        <v>195.88651735821233</v>
      </c>
      <c r="E3" s="6">
        <f ca="1">RAND()*(D3+D4)</f>
        <v>8.3577967099477437</v>
      </c>
      <c r="F3" s="7">
        <f ca="1">IF(G3=C3,B3,B4)</f>
        <v>8</v>
      </c>
      <c r="G3" s="7" t="str">
        <f ca="1">IF(E3&lt;D3,C3,C4)</f>
        <v>Oklahoma</v>
      </c>
      <c r="H3" s="6">
        <f ca="1">OFFSET('Value Matchup'!$D$355,MATCH(G3,'Value Matchup'!$D$356:$D$420,0),2)</f>
        <v>104.02340744665177</v>
      </c>
      <c r="S3" s="20"/>
      <c r="AD3" s="19"/>
      <c r="AJ3">
        <f ca="1">F35</f>
        <v>9</v>
      </c>
      <c r="AK3" s="7" t="str">
        <f ca="1">G35</f>
        <v>Wisconsin</v>
      </c>
      <c r="AL3">
        <f t="shared" ref="AL3:AM3" si="1">B35</f>
        <v>8</v>
      </c>
      <c r="AM3" s="20" t="str">
        <f t="shared" si="1"/>
        <v>North Carolina</v>
      </c>
      <c r="AN3" s="102"/>
    </row>
    <row r="4" spans="1:40" ht="15" customHeight="1" x14ac:dyDescent="0.25">
      <c r="A4" s="102"/>
      <c r="B4" s="19">
        <f>'Value Matchup'!C359</f>
        <v>9</v>
      </c>
      <c r="C4" t="str">
        <f>'Value Matchup'!D359</f>
        <v>Missouri</v>
      </c>
      <c r="D4" s="6">
        <f>'Value Matchup'!E359</f>
        <v>128.02825828054924</v>
      </c>
      <c r="M4" s="6">
        <f ca="1">RAND()*(L2+L6)</f>
        <v>230.21869626395471</v>
      </c>
      <c r="N4" s="7">
        <f ca="1">IF(O4=K2,J2,J6)</f>
        <v>1</v>
      </c>
      <c r="O4" s="7" t="str">
        <f ca="1">IF(M4&lt;L2,K2,K6)</f>
        <v>Gonzaga</v>
      </c>
      <c r="P4" s="6">
        <f ca="1">OFFSET('Value Matchup'!$D$355,MATCH(O4,'Value Matchup'!$D$356:$D$420,0),4)</f>
        <v>253.12507811320785</v>
      </c>
      <c r="S4" s="20"/>
      <c r="AD4" s="19"/>
      <c r="AF4">
        <f ca="1">N36</f>
        <v>1</v>
      </c>
      <c r="AG4" s="7" t="str">
        <f ca="1">O36</f>
        <v>Baylor</v>
      </c>
      <c r="AL4">
        <f t="shared" ref="AL4:AM4" si="2">B36</f>
        <v>9</v>
      </c>
      <c r="AM4" s="20" t="str">
        <f t="shared" si="2"/>
        <v>Wisconsin</v>
      </c>
      <c r="AN4" s="102"/>
    </row>
    <row r="5" spans="1:40" ht="15" customHeight="1" x14ac:dyDescent="0.25">
      <c r="A5" s="102"/>
      <c r="B5" s="19">
        <f>'Value Matchup'!C360</f>
        <v>5</v>
      </c>
      <c r="C5" t="str">
        <f>'Value Matchup'!D360</f>
        <v>Creighton</v>
      </c>
      <c r="D5" s="6">
        <f>'Value Matchup'!E360</f>
        <v>154.12807927887269</v>
      </c>
      <c r="E5" s="6">
        <f ca="1">RAND()*(D5+D6)</f>
        <v>144.34680298807467</v>
      </c>
      <c r="F5" s="7">
        <f ca="1">IF(G5=C5,B5,B6)</f>
        <v>5</v>
      </c>
      <c r="G5" s="7" t="str">
        <f ca="1">IF(E5&lt;D5,C5,C6)</f>
        <v>Creighton</v>
      </c>
      <c r="H5" s="6">
        <f ca="1">OFFSET('Value Matchup'!$D$355,MATCH(G5,'Value Matchup'!$D$356:$D$420,0),2)</f>
        <v>67.883295067476411</v>
      </c>
      <c r="S5" s="20"/>
      <c r="AD5" s="19"/>
      <c r="AJ5">
        <f t="shared" ref="AJ5:AK5" ca="1" si="3">F37</f>
        <v>5</v>
      </c>
      <c r="AK5" s="7" t="str">
        <f t="shared" ca="1" si="3"/>
        <v>Villanova</v>
      </c>
      <c r="AL5">
        <f t="shared" ref="AL5:AM5" si="4">B37</f>
        <v>5</v>
      </c>
      <c r="AM5" s="20" t="str">
        <f t="shared" si="4"/>
        <v>Villanova</v>
      </c>
      <c r="AN5" s="102"/>
    </row>
    <row r="6" spans="1:40" ht="15" customHeight="1" x14ac:dyDescent="0.25">
      <c r="A6" s="102"/>
      <c r="B6" s="19">
        <f>'Value Matchup'!C361</f>
        <v>12</v>
      </c>
      <c r="C6" t="str">
        <f>'Value Matchup'!D361</f>
        <v>UC Santa Barbara</v>
      </c>
      <c r="D6" s="6">
        <f>'Value Matchup'!E361</f>
        <v>35.302036953345791</v>
      </c>
      <c r="I6" s="6">
        <f ca="1">RAND()*(H5+H7)</f>
        <v>55.718864392360437</v>
      </c>
      <c r="J6" s="7">
        <f ca="1">IF(K6=G5,F5,F7)</f>
        <v>5</v>
      </c>
      <c r="K6" s="7" t="str">
        <f ca="1">IF(I6&lt;H5,G5,G7)</f>
        <v>Creighton</v>
      </c>
      <c r="L6" s="6">
        <f ca="1">OFFSET('Value Matchup'!$D$355,MATCH(K6,'Value Matchup'!$D$356:$D$420,0),3)</f>
        <v>30.0905623530548</v>
      </c>
      <c r="S6" s="20"/>
      <c r="AD6" s="19"/>
      <c r="AH6">
        <f ca="1">J38</f>
        <v>4</v>
      </c>
      <c r="AI6" s="7" t="str">
        <f ca="1">K38</f>
        <v>Purdue</v>
      </c>
      <c r="AL6">
        <f t="shared" ref="AL6:AM6" si="5">B38</f>
        <v>12</v>
      </c>
      <c r="AM6" s="20" t="str">
        <f t="shared" si="5"/>
        <v>Winthrop</v>
      </c>
      <c r="AN6" s="102"/>
    </row>
    <row r="7" spans="1:40" x14ac:dyDescent="0.25">
      <c r="A7" s="102"/>
      <c r="B7" s="19">
        <f>'Value Matchup'!C362</f>
        <v>4</v>
      </c>
      <c r="C7" t="str">
        <f>'Value Matchup'!D362</f>
        <v>Virginia</v>
      </c>
      <c r="D7" s="6">
        <f>'Value Matchup'!E362</f>
        <v>251.35059003235006</v>
      </c>
      <c r="E7" s="6">
        <f ca="1">RAND()*(D7+D8)</f>
        <v>70.170239834357133</v>
      </c>
      <c r="F7" s="7">
        <f ca="1">IF(G7=C7,B7,B8)</f>
        <v>4</v>
      </c>
      <c r="G7" s="7" t="str">
        <f ca="1">IF(E7&lt;D7,C7,C8)</f>
        <v>Virginia</v>
      </c>
      <c r="H7" s="6">
        <f ca="1">OFFSET('Value Matchup'!$D$355,MATCH(G7,'Value Matchup'!$D$356:$D$420,0),2)</f>
        <v>122.39334921521603</v>
      </c>
      <c r="S7" s="20"/>
      <c r="AD7" s="19"/>
      <c r="AJ7">
        <f t="shared" ref="AJ7:AK7" ca="1" si="6">F39</f>
        <v>4</v>
      </c>
      <c r="AK7" s="7" t="str">
        <f t="shared" ca="1" si="6"/>
        <v>Purdue</v>
      </c>
      <c r="AL7">
        <f t="shared" ref="AL7:AM7" si="7">B39</f>
        <v>4</v>
      </c>
      <c r="AM7" s="20" t="str">
        <f t="shared" si="7"/>
        <v>Purdue</v>
      </c>
      <c r="AN7" s="102"/>
    </row>
    <row r="8" spans="1:40" x14ac:dyDescent="0.25">
      <c r="A8" s="102"/>
      <c r="B8" s="19">
        <f>'Value Matchup'!C363</f>
        <v>13</v>
      </c>
      <c r="C8" t="str">
        <f>'Value Matchup'!D363</f>
        <v>Ohio</v>
      </c>
      <c r="D8" s="6">
        <f>'Value Matchup'!E363</f>
        <v>37.836767999105852</v>
      </c>
      <c r="Q8" s="6">
        <f ca="1">RAND()*(P4+P12)</f>
        <v>160.20411119304299</v>
      </c>
      <c r="R8" s="7">
        <f ca="1">IF(S8=O4,N4,N12)</f>
        <v>1</v>
      </c>
      <c r="S8" s="21" t="str">
        <f ca="1">IF(Q8&lt;P4,O4,O12)</f>
        <v>Gonzaga</v>
      </c>
      <c r="T8" s="6">
        <f ca="1">OFFSET('Value Matchup'!$D$355,MATCH(S8,'Value Matchup'!$D$356:$D$420,0),5)</f>
        <v>211.2796444019942</v>
      </c>
      <c r="AD8" s="19">
        <f ca="1">R40</f>
        <v>2</v>
      </c>
      <c r="AE8" s="7" t="str">
        <f ca="1">S40</f>
        <v>Ohio St.</v>
      </c>
      <c r="AL8">
        <f t="shared" ref="AL8:AM8" si="8">B40</f>
        <v>13</v>
      </c>
      <c r="AM8" s="20" t="str">
        <f t="shared" si="8"/>
        <v>North Texas</v>
      </c>
      <c r="AN8" s="102"/>
    </row>
    <row r="9" spans="1:40" x14ac:dyDescent="0.25">
      <c r="A9" s="102"/>
      <c r="B9" s="19">
        <f>'Value Matchup'!C364</f>
        <v>6</v>
      </c>
      <c r="C9" t="str">
        <f>'Value Matchup'!D364</f>
        <v>USC</v>
      </c>
      <c r="D9" s="6">
        <f>'Value Matchup'!E364</f>
        <v>140.46074722181811</v>
      </c>
      <c r="E9" s="6">
        <f ca="1">RAND()*(D9+D10)</f>
        <v>130.18921758662049</v>
      </c>
      <c r="F9" s="7">
        <f ca="1">IF(G9=C9,B9,B10)</f>
        <v>6</v>
      </c>
      <c r="G9" s="7" t="str">
        <f ca="1">IF(E9&lt;D9,C9,C10)</f>
        <v>USC</v>
      </c>
      <c r="H9" s="6">
        <f ca="1">OFFSET('Value Matchup'!$D$355,MATCH(G9,'Value Matchup'!$D$356:$D$420,0),2)</f>
        <v>61.019880512021743</v>
      </c>
      <c r="S9" s="20"/>
      <c r="AD9" s="19"/>
      <c r="AJ9">
        <f t="shared" ref="AJ9:AK9" ca="1" si="9">F41</f>
        <v>6</v>
      </c>
      <c r="AK9" s="7" t="str">
        <f t="shared" ca="1" si="9"/>
        <v>Texas Tech</v>
      </c>
      <c r="AL9">
        <f t="shared" ref="AL9:AM9" si="10">B41</f>
        <v>6</v>
      </c>
      <c r="AM9" s="20" t="str">
        <f t="shared" si="10"/>
        <v>Texas Tech</v>
      </c>
      <c r="AN9" s="102"/>
    </row>
    <row r="10" spans="1:40" x14ac:dyDescent="0.25">
      <c r="A10" s="102"/>
      <c r="B10" s="19">
        <f>'Value Matchup'!C365</f>
        <v>11</v>
      </c>
      <c r="C10" t="str">
        <f>'Value Matchup'!D365</f>
        <v>Drake</v>
      </c>
      <c r="D10" s="6">
        <f>'Value Matchup'!E365</f>
        <v>20.88550572003582</v>
      </c>
      <c r="I10" s="6">
        <f ca="1">RAND()*(H9+H11)</f>
        <v>329.7590924896989</v>
      </c>
      <c r="J10" s="7">
        <f ca="1">IF(K10=G9,F9,F11)</f>
        <v>3</v>
      </c>
      <c r="K10" s="7" t="str">
        <f ca="1">IF(I10&lt;H9,G9,G11)</f>
        <v>Kansas</v>
      </c>
      <c r="L10" s="6">
        <f ca="1">OFFSET('Value Matchup'!$D$355,MATCH(K10,'Value Matchup'!$D$356:$D$420,0),3)</f>
        <v>238.53137610037871</v>
      </c>
      <c r="S10" s="20"/>
      <c r="AD10" s="19"/>
      <c r="AH10">
        <f ca="1">J42</f>
        <v>6</v>
      </c>
      <c r="AI10" s="7" t="str">
        <f t="shared" ref="AI10" ca="1" si="11">K42</f>
        <v>Texas Tech</v>
      </c>
      <c r="AL10">
        <f t="shared" ref="AL10:AM10" si="12">B42</f>
        <v>11</v>
      </c>
      <c r="AM10" s="20" t="str">
        <f t="shared" si="12"/>
        <v>Utah St.</v>
      </c>
      <c r="AN10" s="102"/>
    </row>
    <row r="11" spans="1:40" x14ac:dyDescent="0.25">
      <c r="A11" s="102"/>
      <c r="B11" s="19">
        <f>'Value Matchup'!C366</f>
        <v>3</v>
      </c>
      <c r="C11" t="str">
        <f>'Value Matchup'!D366</f>
        <v>Kansas</v>
      </c>
      <c r="D11" s="6">
        <f>'Value Matchup'!E366</f>
        <v>550.55544252874097</v>
      </c>
      <c r="E11" s="6">
        <f ca="1">RAND()*(D11+D12)</f>
        <v>295.05027845499859</v>
      </c>
      <c r="F11" s="7">
        <f ca="1">IF(G11=C11,B11,B12)</f>
        <v>3</v>
      </c>
      <c r="G11" s="7" t="str">
        <f ca="1">IF(E11&lt;D11,C11,C12)</f>
        <v>Kansas</v>
      </c>
      <c r="H11" s="6">
        <f ca="1">OFFSET('Value Matchup'!$D$355,MATCH(G11,'Value Matchup'!$D$356:$D$420,0),2)</f>
        <v>345.03899417370485</v>
      </c>
      <c r="S11" s="20"/>
      <c r="AD11" s="19"/>
      <c r="AJ11">
        <f t="shared" ref="AJ11:AK11" ca="1" si="13">F43</f>
        <v>3</v>
      </c>
      <c r="AK11" s="7" t="str">
        <f t="shared" ca="1" si="13"/>
        <v>Arkansas</v>
      </c>
      <c r="AL11">
        <f t="shared" ref="AL11:AM11" si="14">B43</f>
        <v>3</v>
      </c>
      <c r="AM11" s="20" t="str">
        <f t="shared" si="14"/>
        <v>Arkansas</v>
      </c>
      <c r="AN11" s="102"/>
    </row>
    <row r="12" spans="1:40" x14ac:dyDescent="0.25">
      <c r="A12" s="102"/>
      <c r="B12" s="19">
        <f>'Value Matchup'!C367</f>
        <v>14</v>
      </c>
      <c r="C12" t="str">
        <f>'Value Matchup'!D367</f>
        <v>Eastern Washington</v>
      </c>
      <c r="D12" s="6">
        <f>'Value Matchup'!E367</f>
        <v>6.0903453274764194</v>
      </c>
      <c r="M12" s="6">
        <f ca="1">RAND()*(L10+L14)</f>
        <v>382.5830452820037</v>
      </c>
      <c r="N12" s="7">
        <f ca="1">IF(O12=K10,J10,J14)</f>
        <v>2</v>
      </c>
      <c r="O12" s="7" t="str">
        <f ca="1">IF(M12&lt;L10,K10,K14)</f>
        <v>Iowa</v>
      </c>
      <c r="P12" s="6">
        <f ca="1">OFFSET('Value Matchup'!$D$355,MATCH(O12,'Value Matchup'!$D$356:$D$420,0),4)</f>
        <v>79.862161058078073</v>
      </c>
      <c r="S12" s="20"/>
      <c r="AD12" s="19"/>
      <c r="AF12">
        <f ca="1">N44</f>
        <v>2</v>
      </c>
      <c r="AG12" s="7" t="str">
        <f ca="1">O44</f>
        <v>Ohio St.</v>
      </c>
      <c r="AL12">
        <f t="shared" ref="AL12:AM12" si="15">B44</f>
        <v>14</v>
      </c>
      <c r="AM12" s="20" t="str">
        <f t="shared" si="15"/>
        <v>Colgate</v>
      </c>
      <c r="AN12" s="102"/>
    </row>
    <row r="13" spans="1:40" x14ac:dyDescent="0.25">
      <c r="A13" s="102"/>
      <c r="B13" s="19">
        <f>'Value Matchup'!C368</f>
        <v>7</v>
      </c>
      <c r="C13" t="str">
        <f>'Value Matchup'!D368</f>
        <v>Oregon</v>
      </c>
      <c r="D13" s="6">
        <f>'Value Matchup'!E368</f>
        <v>246.29655748821577</v>
      </c>
      <c r="E13" s="6">
        <f ca="1">RAND()*(D13+D14)</f>
        <v>136.51629619518417</v>
      </c>
      <c r="F13" s="7">
        <f ca="1">IF(G13=C13,B13,B14)</f>
        <v>7</v>
      </c>
      <c r="G13" s="7" t="str">
        <f ca="1">IF(E13&lt;D13,C13,C14)</f>
        <v>Oregon</v>
      </c>
      <c r="H13" s="6">
        <f ca="1">OFFSET('Value Matchup'!$D$355,MATCH(G13,'Value Matchup'!$D$356:$D$420,0),2)</f>
        <v>118.93743456459933</v>
      </c>
      <c r="S13" s="20"/>
      <c r="AD13" s="19"/>
      <c r="AJ13">
        <f t="shared" ref="AJ13:AK13" ca="1" si="16">F45</f>
        <v>7</v>
      </c>
      <c r="AK13" s="7" t="str">
        <f t="shared" ca="1" si="16"/>
        <v>Florida</v>
      </c>
      <c r="AL13">
        <f t="shared" ref="AL13:AM13" si="17">B45</f>
        <v>7</v>
      </c>
      <c r="AM13" s="20" t="str">
        <f t="shared" si="17"/>
        <v>Florida</v>
      </c>
      <c r="AN13" s="102"/>
    </row>
    <row r="14" spans="1:40" x14ac:dyDescent="0.25">
      <c r="A14" s="102"/>
      <c r="B14" s="19">
        <f>'Value Matchup'!C369</f>
        <v>10</v>
      </c>
      <c r="C14" t="str">
        <f>'Value Matchup'!D369</f>
        <v>VCU</v>
      </c>
      <c r="D14" s="6">
        <f>'Value Matchup'!E369</f>
        <v>94.097596776167279</v>
      </c>
      <c r="I14" s="6">
        <f ca="1">RAND()*(H13+H15)</f>
        <v>245.45996822860442</v>
      </c>
      <c r="J14" s="7">
        <f ca="1">IF(K14=G13,F13,F15)</f>
        <v>2</v>
      </c>
      <c r="K14" s="7" t="str">
        <f ca="1">IF(I14&lt;H13,G13,G15)</f>
        <v>Iowa</v>
      </c>
      <c r="L14" s="6">
        <f ca="1">OFFSET('Value Matchup'!$D$355,MATCH(K14,'Value Matchup'!$D$356:$D$420,0),3)</f>
        <v>151.87632481889349</v>
      </c>
      <c r="S14" s="20"/>
      <c r="AD14" s="19"/>
      <c r="AH14">
        <f ca="1">J46</f>
        <v>2</v>
      </c>
      <c r="AI14" s="7" t="str">
        <f t="shared" ref="AI14" ca="1" si="18">K46</f>
        <v>Ohio St.</v>
      </c>
      <c r="AL14">
        <f t="shared" ref="AL14:AM14" si="19">B46</f>
        <v>10</v>
      </c>
      <c r="AM14" s="20" t="str">
        <f t="shared" si="19"/>
        <v>Virginia Tech</v>
      </c>
      <c r="AN14" s="102"/>
    </row>
    <row r="15" spans="1:40" x14ac:dyDescent="0.25">
      <c r="A15" s="102"/>
      <c r="B15" s="19">
        <f>'Value Matchup'!C370</f>
        <v>2</v>
      </c>
      <c r="C15" t="str">
        <f>'Value Matchup'!D370</f>
        <v>Iowa</v>
      </c>
      <c r="D15" s="6">
        <f>'Value Matchup'!E370</f>
        <v>404.45479428023987</v>
      </c>
      <c r="E15" s="6">
        <f ca="1">RAND()*(D15+D16)</f>
        <v>385.5601772313413</v>
      </c>
      <c r="F15" s="7">
        <f ca="1">IF(G15=C15,B15,B16)</f>
        <v>2</v>
      </c>
      <c r="G15" s="7" t="str">
        <f ca="1">IF(E15&lt;D15,C15,C16)</f>
        <v>Iowa</v>
      </c>
      <c r="H15" s="6">
        <f ca="1">OFFSET('Value Matchup'!$D$355,MATCH(G15,'Value Matchup'!$D$356:$D$420,0),2)</f>
        <v>208.55165125585069</v>
      </c>
      <c r="S15" s="20"/>
      <c r="AD15" s="19"/>
      <c r="AJ15">
        <f t="shared" ref="AJ15:AK15" ca="1" si="20">F47</f>
        <v>2</v>
      </c>
      <c r="AK15" s="7" t="str">
        <f t="shared" ca="1" si="20"/>
        <v>Ohio St.</v>
      </c>
      <c r="AL15">
        <f t="shared" ref="AL15:AM15" si="21">B47</f>
        <v>2</v>
      </c>
      <c r="AM15" s="20" t="str">
        <f t="shared" si="21"/>
        <v>Ohio St.</v>
      </c>
      <c r="AN15" s="102"/>
    </row>
    <row r="16" spans="1:40" x14ac:dyDescent="0.25">
      <c r="A16" s="102"/>
      <c r="B16" s="22">
        <f>'Value Matchup'!C371</f>
        <v>15</v>
      </c>
      <c r="C16" s="23" t="str">
        <f>'Value Matchup'!D371</f>
        <v>Grand Canyon</v>
      </c>
      <c r="D16" s="24">
        <f>'Value Matchup'!E371</f>
        <v>0.76005027075289255</v>
      </c>
      <c r="E16" s="23"/>
      <c r="F16" s="23"/>
      <c r="G16" s="23"/>
      <c r="H16" s="24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5"/>
      <c r="U16" s="6">
        <f ca="1">RAND()*(T8+T24)</f>
        <v>117.76245789233249</v>
      </c>
      <c r="V16">
        <f ca="1">IF(W16=S8,R8,R24)</f>
        <v>1</v>
      </c>
      <c r="W16" s="7" t="str">
        <f ca="1">IF(U16&lt;T8,S8,S24)</f>
        <v>Gonzaga</v>
      </c>
      <c r="X16" s="6">
        <f ca="1">OFFSET('Value Matchup'!$D$355,MATCH(W16,'Value Matchup'!$D$356:$D$420,0),6)</f>
        <v>185.14980053277003</v>
      </c>
      <c r="AB16">
        <f ca="1">V48</f>
        <v>2</v>
      </c>
      <c r="AC16" s="7" t="str">
        <f ca="1">W48</f>
        <v>Ohio St.</v>
      </c>
      <c r="AD16" s="19"/>
      <c r="AL16">
        <f t="shared" ref="AL16:AM16" si="22">B48</f>
        <v>15</v>
      </c>
      <c r="AM16" s="20" t="str">
        <f t="shared" si="22"/>
        <v>Oral Roberts</v>
      </c>
      <c r="AN16" s="102"/>
    </row>
    <row r="17" spans="1:40" x14ac:dyDescent="0.25">
      <c r="A17" s="105" t="str">
        <f>'Value Matchup'!A372</f>
        <v>SouthWest</v>
      </c>
      <c r="B17" s="14">
        <f>'Value Matchup'!C372</f>
        <v>1</v>
      </c>
      <c r="C17" s="15" t="str">
        <f>'Value Matchup'!D372</f>
        <v>Michigan</v>
      </c>
      <c r="D17" s="16">
        <f>'Value Matchup'!E372</f>
        <v>675.18237244788747</v>
      </c>
      <c r="E17" s="16">
        <f ca="1">RAND()*(D17+D18)</f>
        <v>490.29652400163576</v>
      </c>
      <c r="F17" s="17">
        <f ca="1">IF(G17=C17,B17,B18)</f>
        <v>1</v>
      </c>
      <c r="G17" s="17" t="str">
        <f ca="1">IF(E17&lt;D17,C17,C18)</f>
        <v>Michigan</v>
      </c>
      <c r="H17" s="6">
        <f ca="1">OFFSET('Value Matchup'!$D$355,MATCH(G17,'Value Matchup'!$D$356:$D$420,0),2)</f>
        <v>501.17214748908299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8"/>
      <c r="AD17" s="14"/>
      <c r="AE17" s="15"/>
      <c r="AF17" s="15"/>
      <c r="AG17" s="15"/>
      <c r="AH17" s="15"/>
      <c r="AI17" s="15"/>
      <c r="AJ17" s="15">
        <f t="shared" ref="AJ17:AK17" ca="1" si="23">F49</f>
        <v>1</v>
      </c>
      <c r="AK17" s="17" t="str">
        <f t="shared" ca="1" si="23"/>
        <v>Illinois</v>
      </c>
      <c r="AL17" s="15">
        <f t="shared" ref="AL17:AM17" si="24">B49</f>
        <v>1</v>
      </c>
      <c r="AM17" s="18" t="str">
        <f t="shared" si="24"/>
        <v>Illinois</v>
      </c>
      <c r="AN17" s="105" t="str">
        <f>A49</f>
        <v>SouthEast</v>
      </c>
    </row>
    <row r="18" spans="1:40" x14ac:dyDescent="0.25">
      <c r="A18" s="105"/>
      <c r="B18" s="19">
        <f>'Value Matchup'!C373</f>
        <v>16</v>
      </c>
      <c r="C18" t="str">
        <f>'Value Matchup'!D373</f>
        <v>Texas Southern</v>
      </c>
      <c r="D18" s="6">
        <f>'Value Matchup'!E373</f>
        <v>6.1474769524812194</v>
      </c>
      <c r="I18" s="6">
        <f ca="1">RAND()*(H17+H19)</f>
        <v>587.30447275621771</v>
      </c>
      <c r="J18" s="7">
        <f ca="1">IF(K18=G17,F17,F19)</f>
        <v>8</v>
      </c>
      <c r="K18" s="7" t="str">
        <f ca="1">IF(I18&lt;H17,G17,G19)</f>
        <v>LSU</v>
      </c>
      <c r="L18" s="6">
        <f ca="1">OFFSET('Value Matchup'!$D$355,MATCH(K18,'Value Matchup'!$D$356:$D$420,0),3)</f>
        <v>77.975921291387976</v>
      </c>
      <c r="S18" s="20"/>
      <c r="Z18" s="8" t="s">
        <v>74</v>
      </c>
      <c r="AA18" s="8"/>
      <c r="AD18" s="19"/>
      <c r="AH18">
        <f ca="1">J50</f>
        <v>1</v>
      </c>
      <c r="AI18" s="7" t="str">
        <f t="shared" ref="AI18" ca="1" si="25">K50</f>
        <v>Illinois</v>
      </c>
      <c r="AL18">
        <f t="shared" ref="AL18:AM18" si="26">B50</f>
        <v>16</v>
      </c>
      <c r="AM18" s="20" t="str">
        <f t="shared" si="26"/>
        <v>Drexel</v>
      </c>
      <c r="AN18" s="105"/>
    </row>
    <row r="19" spans="1:40" x14ac:dyDescent="0.25">
      <c r="A19" s="105"/>
      <c r="B19" s="19">
        <f>'Value Matchup'!C374</f>
        <v>8</v>
      </c>
      <c r="C19" t="str">
        <f>'Value Matchup'!D374</f>
        <v>LSU</v>
      </c>
      <c r="D19" s="6">
        <f>'Value Matchup'!E374</f>
        <v>184.05547121413585</v>
      </c>
      <c r="E19" s="6">
        <f ca="1">RAND()*(D19+D20)</f>
        <v>131.44449518936418</v>
      </c>
      <c r="F19" s="7">
        <f ca="1">IF(G19=C19,B19,B20)</f>
        <v>8</v>
      </c>
      <c r="G19" s="7" t="str">
        <f ca="1">IF(E19&lt;D19,C19,C20)</f>
        <v>LSU</v>
      </c>
      <c r="H19" s="6">
        <f ca="1">OFFSET('Value Matchup'!$D$355,MATCH(G19,'Value Matchup'!$D$356:$D$420,0),2)</f>
        <v>87.066511760166094</v>
      </c>
      <c r="S19" s="20"/>
      <c r="Z19" s="8">
        <f ca="1">IF(AA19=W16,V16,V48)</f>
        <v>1</v>
      </c>
      <c r="AA19" s="8" t="str">
        <f ca="1">IF(Y33&lt;X16,W16,W48)</f>
        <v>Gonzaga</v>
      </c>
      <c r="AD19" s="19"/>
      <c r="AJ19">
        <f t="shared" ref="AJ19:AK19" ca="1" si="27">F51</f>
        <v>8</v>
      </c>
      <c r="AK19" s="7" t="str">
        <f t="shared" ca="1" si="27"/>
        <v>Loyola Chicago</v>
      </c>
      <c r="AL19">
        <f t="shared" ref="AL19:AM19" si="28">B51</f>
        <v>8</v>
      </c>
      <c r="AM19" s="20" t="str">
        <f t="shared" si="28"/>
        <v>Loyola Chicago</v>
      </c>
      <c r="AN19" s="105"/>
    </row>
    <row r="20" spans="1:40" x14ac:dyDescent="0.25">
      <c r="A20" s="105"/>
      <c r="B20" s="19">
        <f>'Value Matchup'!C375</f>
        <v>9</v>
      </c>
      <c r="C20" t="str">
        <f>'Value Matchup'!D375</f>
        <v>St. Bonaventure</v>
      </c>
      <c r="D20" s="6">
        <f>'Value Matchup'!E375</f>
        <v>58.282967372886525</v>
      </c>
      <c r="M20" s="6">
        <f ca="1">RAND()*(L18+L22)</f>
        <v>43.975914179445383</v>
      </c>
      <c r="N20" s="7">
        <f ca="1">IF(O20=K18,J18,J22)</f>
        <v>8</v>
      </c>
      <c r="O20" s="7" t="str">
        <f ca="1">IF(M20&lt;L18,K18,K22)</f>
        <v>LSU</v>
      </c>
      <c r="P20" s="6">
        <f ca="1">OFFSET('Value Matchup'!$D$355,MATCH(O20,'Value Matchup'!$D$356:$D$420,0),4)</f>
        <v>70.719015054945274</v>
      </c>
      <c r="S20" s="20"/>
      <c r="AD20" s="19"/>
      <c r="AF20">
        <f ca="1">N52</f>
        <v>1</v>
      </c>
      <c r="AG20" s="7" t="str">
        <f ca="1">O52</f>
        <v>Illinois</v>
      </c>
      <c r="AL20">
        <f t="shared" ref="AL20:AM20" si="29">B52</f>
        <v>9</v>
      </c>
      <c r="AM20" s="20" t="str">
        <f t="shared" si="29"/>
        <v>Georgia Tech</v>
      </c>
      <c r="AN20" s="105"/>
    </row>
    <row r="21" spans="1:40" x14ac:dyDescent="0.25">
      <c r="A21" s="105"/>
      <c r="B21" s="19">
        <f>'Value Matchup'!C376</f>
        <v>5</v>
      </c>
      <c r="C21" t="str">
        <f>'Value Matchup'!D376</f>
        <v>Colorado</v>
      </c>
      <c r="D21" s="6">
        <f>'Value Matchup'!E376</f>
        <v>119.99851680164834</v>
      </c>
      <c r="E21" s="6">
        <f ca="1">RAND()*(D21+D22)</f>
        <v>76.39361277530395</v>
      </c>
      <c r="F21" s="7">
        <f ca="1">IF(G21=C21,B21,B22)</f>
        <v>5</v>
      </c>
      <c r="G21" s="7" t="str">
        <f ca="1">IF(E21&lt;D21,C21,C22)</f>
        <v>Colorado</v>
      </c>
      <c r="H21" s="6">
        <f ca="1">OFFSET('Value Matchup'!$D$355,MATCH(G21,'Value Matchup'!$D$356:$D$420,0),2)</f>
        <v>46.607475420695827</v>
      </c>
      <c r="S21" s="20"/>
      <c r="AD21" s="19"/>
      <c r="AJ21">
        <f t="shared" ref="AJ21:AK21" ca="1" si="30">F53</f>
        <v>5</v>
      </c>
      <c r="AK21" s="7" t="str">
        <f t="shared" ca="1" si="30"/>
        <v>Tennessee</v>
      </c>
      <c r="AL21">
        <f t="shared" ref="AL21:AM21" si="31">B53</f>
        <v>5</v>
      </c>
      <c r="AM21" s="20" t="str">
        <f t="shared" si="31"/>
        <v>Tennessee</v>
      </c>
      <c r="AN21" s="105"/>
    </row>
    <row r="22" spans="1:40" x14ac:dyDescent="0.25">
      <c r="A22" s="105"/>
      <c r="B22" s="19">
        <f>'Value Matchup'!C377</f>
        <v>12</v>
      </c>
      <c r="C22" t="str">
        <f>'Value Matchup'!D377</f>
        <v>Georgetown</v>
      </c>
      <c r="D22" s="6">
        <f>'Value Matchup'!E377</f>
        <v>141.36534382582161</v>
      </c>
      <c r="I22" s="6">
        <f ca="1">RAND()*(H21+H23)</f>
        <v>209.11722372292661</v>
      </c>
      <c r="J22" s="7">
        <f ca="1">IF(K22=G21,F21,F23)</f>
        <v>4</v>
      </c>
      <c r="K22" s="7" t="str">
        <f ca="1">IF(I22&lt;H21,G21,G23)</f>
        <v>Florida St.</v>
      </c>
      <c r="L22" s="6">
        <f ca="1">OFFSET('Value Matchup'!$D$355,MATCH(K22,'Value Matchup'!$D$356:$D$420,0),3)</f>
        <v>81.933495377163794</v>
      </c>
      <c r="S22" s="20"/>
      <c r="AD22" s="19"/>
      <c r="AH22">
        <f ca="1">J54</f>
        <v>4</v>
      </c>
      <c r="AI22" s="7" t="str">
        <f t="shared" ref="AI22" ca="1" si="32">K54</f>
        <v>Oklahoma St.</v>
      </c>
      <c r="AL22">
        <f t="shared" ref="AL22:AM22" si="33">B54</f>
        <v>12</v>
      </c>
      <c r="AM22" s="20" t="str">
        <f t="shared" si="33"/>
        <v>Oregon St.</v>
      </c>
      <c r="AN22" s="105"/>
    </row>
    <row r="23" spans="1:40" x14ac:dyDescent="0.25">
      <c r="A23" s="105"/>
      <c r="B23" s="19">
        <f>'Value Matchup'!C378</f>
        <v>4</v>
      </c>
      <c r="C23" t="str">
        <f>'Value Matchup'!D378</f>
        <v>Florida St.</v>
      </c>
      <c r="D23" s="6">
        <f>'Value Matchup'!E378</f>
        <v>321.01478536192053</v>
      </c>
      <c r="E23" s="6">
        <f ca="1">RAND()*(D23+D24)</f>
        <v>281.20279973270254</v>
      </c>
      <c r="F23" s="7">
        <f ca="1">IF(G23=C23,B23,B24)</f>
        <v>4</v>
      </c>
      <c r="G23" s="7" t="str">
        <f ca="1">IF(E23&lt;D23,C23,C24)</f>
        <v>Florida St.</v>
      </c>
      <c r="H23" s="6">
        <f ca="1">OFFSET('Value Matchup'!$D$355,MATCH(G23,'Value Matchup'!$D$356:$D$420,0),2)</f>
        <v>165.48799935025696</v>
      </c>
      <c r="S23" s="20"/>
      <c r="AD23" s="19"/>
      <c r="AJ23">
        <f t="shared" ref="AJ23:AK23" ca="1" si="34">F55</f>
        <v>4</v>
      </c>
      <c r="AK23" s="7" t="str">
        <f t="shared" ca="1" si="34"/>
        <v>Oklahoma St.</v>
      </c>
      <c r="AL23">
        <f t="shared" ref="AL23:AM23" si="35">B55</f>
        <v>4</v>
      </c>
      <c r="AM23" s="20" t="str">
        <f t="shared" si="35"/>
        <v>Oklahoma St.</v>
      </c>
      <c r="AN23" s="105"/>
    </row>
    <row r="24" spans="1:40" x14ac:dyDescent="0.25">
      <c r="A24" s="105"/>
      <c r="B24" s="19">
        <f>'Value Matchup'!C379</f>
        <v>13</v>
      </c>
      <c r="C24" t="str">
        <f>'Value Matchup'!D379</f>
        <v>UNC Greensboro</v>
      </c>
      <c r="D24" s="6">
        <f>'Value Matchup'!E379</f>
        <v>12.325896351116098</v>
      </c>
      <c r="Q24" s="6">
        <f ca="1">RAND()*(P20+P28)</f>
        <v>34.252852775400434</v>
      </c>
      <c r="R24" s="7">
        <f ca="1">IF(S24=O20,N20,N28)</f>
        <v>8</v>
      </c>
      <c r="S24" s="21" t="str">
        <f ca="1">IF(Q24&lt;P20,O20,O28)</f>
        <v>LSU</v>
      </c>
      <c r="T24" s="6">
        <f ca="1">OFFSET('Value Matchup'!$D$355,MATCH(S24,'Value Matchup'!$D$356:$D$420,0),5)</f>
        <v>63.867307454758219</v>
      </c>
      <c r="AD24" s="19">
        <f ca="1">R56</f>
        <v>2</v>
      </c>
      <c r="AE24" s="7" t="str">
        <f ca="1">S56</f>
        <v>Houston</v>
      </c>
      <c r="AL24">
        <f t="shared" ref="AL24:AM24" si="36">B56</f>
        <v>13</v>
      </c>
      <c r="AM24" s="20" t="str">
        <f t="shared" si="36"/>
        <v>Liberty</v>
      </c>
      <c r="AN24" s="105"/>
    </row>
    <row r="25" spans="1:40" x14ac:dyDescent="0.25">
      <c r="A25" s="105"/>
      <c r="B25" s="19">
        <f>'Value Matchup'!C380</f>
        <v>6</v>
      </c>
      <c r="C25" t="str">
        <f>'Value Matchup'!D380</f>
        <v>BYU</v>
      </c>
      <c r="D25" s="6">
        <f>'Value Matchup'!E380</f>
        <v>139.33761174605155</v>
      </c>
      <c r="E25" s="6">
        <f ca="1">RAND()*(D25+D26)</f>
        <v>238.25701429824917</v>
      </c>
      <c r="F25" s="7">
        <f ca="1">IF(G25=C25,B25,B26)</f>
        <v>11</v>
      </c>
      <c r="G25" s="7" t="str">
        <f ca="1">IF(E25&lt;D25,C25,C26)</f>
        <v>UCLA</v>
      </c>
      <c r="H25" s="6">
        <f ca="1">OFFSET('Value Matchup'!$D$355,MATCH(G25,'Value Matchup'!$D$356:$D$420,0),2)</f>
        <v>172.75495710738852</v>
      </c>
      <c r="S25" s="20"/>
      <c r="AD25" s="19"/>
      <c r="AJ25">
        <f t="shared" ref="AJ25:AK25" ca="1" si="37">F57</f>
        <v>11</v>
      </c>
      <c r="AK25" s="7" t="str">
        <f t="shared" ca="1" si="37"/>
        <v>Syracuse</v>
      </c>
      <c r="AL25">
        <f t="shared" ref="AL25:AM25" si="38">B57</f>
        <v>6</v>
      </c>
      <c r="AM25" s="20" t="str">
        <f t="shared" si="38"/>
        <v>San Diego St.</v>
      </c>
      <c r="AN25" s="105"/>
    </row>
    <row r="26" spans="1:40" x14ac:dyDescent="0.25">
      <c r="A26" s="105"/>
      <c r="B26" s="19">
        <f>'Value Matchup'!C381</f>
        <v>11</v>
      </c>
      <c r="C26" t="str">
        <f>'Value Matchup'!D381</f>
        <v>UCLA</v>
      </c>
      <c r="D26" s="6">
        <f>'Value Matchup'!E381</f>
        <v>223.34455422741729</v>
      </c>
      <c r="I26" s="6">
        <f ca="1">RAND()*(H25+H27)</f>
        <v>264.63089510183943</v>
      </c>
      <c r="J26" s="7">
        <f ca="1">IF(K26=G25,F25,F27)</f>
        <v>3</v>
      </c>
      <c r="K26" s="7" t="str">
        <f ca="1">IF(I26&lt;H25,G25,G27)</f>
        <v>Texas</v>
      </c>
      <c r="L26" s="6">
        <f ca="1">OFFSET('Value Matchup'!$D$355,MATCH(K26,'Value Matchup'!$D$356:$D$420,0),3)</f>
        <v>134.78391824371658</v>
      </c>
      <c r="S26" s="20"/>
      <c r="AD26" s="19"/>
      <c r="AH26">
        <f ca="1">J58</f>
        <v>3</v>
      </c>
      <c r="AI26" s="7" t="str">
        <f t="shared" ref="AI26" ca="1" si="39">K58</f>
        <v>West Virginia</v>
      </c>
      <c r="AL26">
        <f t="shared" ref="AL26:AM26" si="40">B58</f>
        <v>11</v>
      </c>
      <c r="AM26" s="20" t="str">
        <f t="shared" si="40"/>
        <v>Syracuse</v>
      </c>
      <c r="AN26" s="105"/>
    </row>
    <row r="27" spans="1:40" x14ac:dyDescent="0.25">
      <c r="A27" s="105"/>
      <c r="B27" s="19">
        <f>'Value Matchup'!C382</f>
        <v>3</v>
      </c>
      <c r="C27" t="str">
        <f>'Value Matchup'!D382</f>
        <v>Texas</v>
      </c>
      <c r="D27" s="6">
        <f>'Value Matchup'!E382</f>
        <v>411.59694953342199</v>
      </c>
      <c r="E27" s="6">
        <f ca="1">RAND()*(D27+D28)</f>
        <v>250.01649190812029</v>
      </c>
      <c r="F27" s="7">
        <f ca="1">IF(G27=C27,B27,B28)</f>
        <v>3</v>
      </c>
      <c r="G27" s="7" t="str">
        <f ca="1">IF(E27&lt;D27,C27,C28)</f>
        <v>Texas</v>
      </c>
      <c r="H27" s="6">
        <f ca="1">OFFSET('Value Matchup'!$D$355,MATCH(G27,'Value Matchup'!$D$356:$D$420,0),2)</f>
        <v>216.983900382516</v>
      </c>
      <c r="S27" s="20"/>
      <c r="AD27" s="19"/>
      <c r="AJ27">
        <f t="shared" ref="AJ27:AK27" ca="1" si="41">F59</f>
        <v>3</v>
      </c>
      <c r="AK27" s="7" t="str">
        <f t="shared" ca="1" si="41"/>
        <v>West Virginia</v>
      </c>
      <c r="AL27">
        <f t="shared" ref="AL27:AM27" si="42">B59</f>
        <v>3</v>
      </c>
      <c r="AM27" s="20" t="str">
        <f t="shared" si="42"/>
        <v>West Virginia</v>
      </c>
      <c r="AN27" s="105"/>
    </row>
    <row r="28" spans="1:40" x14ac:dyDescent="0.25">
      <c r="A28" s="105"/>
      <c r="B28" s="19">
        <f>'Value Matchup'!C383</f>
        <v>14</v>
      </c>
      <c r="C28" t="str">
        <f>'Value Matchup'!D383</f>
        <v>Abilene Christian</v>
      </c>
      <c r="D28" s="6">
        <f>'Value Matchup'!E383</f>
        <v>5.8669873969856425</v>
      </c>
      <c r="M28" s="6">
        <f ca="1">RAND()*(L26+L30)</f>
        <v>88.276302636866589</v>
      </c>
      <c r="N28" s="7">
        <f ca="1">IF(O28=K26,J26,J30)</f>
        <v>3</v>
      </c>
      <c r="O28" s="7" t="str">
        <f ca="1">IF(M28&lt;L26,K26,K30)</f>
        <v>Texas</v>
      </c>
      <c r="P28" s="6">
        <f ca="1">OFFSET('Value Matchup'!$D$355,MATCH(O28,'Value Matchup'!$D$356:$D$420,0),4)</f>
        <v>102.05097608880516</v>
      </c>
      <c r="S28" s="20"/>
      <c r="AD28" s="19"/>
      <c r="AF28">
        <f ca="1">N60</f>
        <v>2</v>
      </c>
      <c r="AG28" s="7" t="str">
        <f ca="1">O60</f>
        <v>Houston</v>
      </c>
      <c r="AL28">
        <f t="shared" ref="AL28:AM28" si="43">B60</f>
        <v>14</v>
      </c>
      <c r="AM28" s="20" t="str">
        <f t="shared" si="43"/>
        <v>Morehead St.</v>
      </c>
      <c r="AN28" s="105"/>
    </row>
    <row r="29" spans="1:40" x14ac:dyDescent="0.25">
      <c r="A29" s="105"/>
      <c r="B29" s="19">
        <f>'Value Matchup'!C384</f>
        <v>7</v>
      </c>
      <c r="C29" t="str">
        <f>'Value Matchup'!D384</f>
        <v>Connecticut</v>
      </c>
      <c r="D29" s="6">
        <f>'Value Matchup'!E384</f>
        <v>225.77230460077135</v>
      </c>
      <c r="E29" s="6">
        <f ca="1">RAND()*(D29+D30)</f>
        <v>80.765499439264616</v>
      </c>
      <c r="F29" s="7">
        <f ca="1">IF(G29=C29,B29,B30)</f>
        <v>7</v>
      </c>
      <c r="G29" s="7" t="str">
        <f ca="1">IF(E29&lt;D29,C29,C30)</f>
        <v>Connecticut</v>
      </c>
      <c r="H29" s="6">
        <f ca="1">OFFSET('Value Matchup'!$D$355,MATCH(G29,'Value Matchup'!$D$356:$D$420,0),2)</f>
        <v>109.94809008007695</v>
      </c>
      <c r="S29" s="20"/>
      <c r="AD29" s="19"/>
      <c r="AJ29">
        <f t="shared" ref="AJ29:AK29" ca="1" si="44">F61</f>
        <v>7</v>
      </c>
      <c r="AK29" s="7" t="str">
        <f t="shared" ca="1" si="44"/>
        <v>Clemson</v>
      </c>
      <c r="AL29">
        <f t="shared" ref="AL29:AM29" si="45">B61</f>
        <v>7</v>
      </c>
      <c r="AM29" s="20" t="str">
        <f t="shared" si="45"/>
        <v>Clemson</v>
      </c>
      <c r="AN29" s="105"/>
    </row>
    <row r="30" spans="1:40" x14ac:dyDescent="0.25">
      <c r="A30" s="105"/>
      <c r="B30" s="19">
        <f>'Value Matchup'!C385</f>
        <v>10</v>
      </c>
      <c r="C30" t="str">
        <f>'Value Matchup'!D385</f>
        <v>Maryland</v>
      </c>
      <c r="D30" s="6">
        <f>'Value Matchup'!E385</f>
        <v>179.11813332484166</v>
      </c>
      <c r="I30" s="6">
        <f ca="1">RAND()*(H29+H31)</f>
        <v>139.73608482742637</v>
      </c>
      <c r="J30" s="7">
        <f ca="1">IF(K30=G29,F29,F31)</f>
        <v>2</v>
      </c>
      <c r="K30" s="7" t="str">
        <f ca="1">IF(I30&lt;H29,G29,G31)</f>
        <v>Alabama</v>
      </c>
      <c r="L30" s="6">
        <f ca="1">OFFSET('Value Matchup'!$D$355,MATCH(K30,'Value Matchup'!$D$356:$D$420,0),3)</f>
        <v>168.03270445563152</v>
      </c>
      <c r="S30" s="20"/>
      <c r="AD30" s="19"/>
      <c r="AH30">
        <f ca="1">J62</f>
        <v>2</v>
      </c>
      <c r="AI30" s="7" t="str">
        <f t="shared" ref="AI30" ca="1" si="46">K62</f>
        <v>Houston</v>
      </c>
      <c r="AL30">
        <f t="shared" ref="AL30:AM30" si="47">B62</f>
        <v>10</v>
      </c>
      <c r="AM30" s="20" t="str">
        <f t="shared" si="47"/>
        <v>Rutgers</v>
      </c>
      <c r="AN30" s="105"/>
    </row>
    <row r="31" spans="1:40" x14ac:dyDescent="0.25">
      <c r="A31" s="105"/>
      <c r="B31" s="19">
        <f>'Value Matchup'!C386</f>
        <v>2</v>
      </c>
      <c r="C31" t="str">
        <f>'Value Matchup'!D386</f>
        <v>Alabama</v>
      </c>
      <c r="D31" s="6">
        <f>'Value Matchup'!E386</f>
        <v>449.33969657663215</v>
      </c>
      <c r="E31" s="6">
        <f ca="1">RAND()*(D31+D32)</f>
        <v>145.98149736235061</v>
      </c>
      <c r="F31" s="7">
        <f ca="1">IF(G31=C31,B31,B32)</f>
        <v>2</v>
      </c>
      <c r="G31" s="7" t="str">
        <f ca="1">IF(E31&lt;D31,C31,C32)</f>
        <v>Alabama</v>
      </c>
      <c r="H31" s="6">
        <f ca="1">OFFSET('Value Matchup'!$D$355,MATCH(G31,'Value Matchup'!$D$356:$D$420,0),2)</f>
        <v>232.93939597949776</v>
      </c>
      <c r="S31" s="20"/>
      <c r="AD31" s="19"/>
      <c r="AJ31">
        <f t="shared" ref="AJ31:AK31" ca="1" si="48">F63</f>
        <v>2</v>
      </c>
      <c r="AK31" s="7" t="str">
        <f t="shared" ca="1" si="48"/>
        <v>Houston</v>
      </c>
      <c r="AL31">
        <f t="shared" ref="AL31:AM31" si="49">B63</f>
        <v>2</v>
      </c>
      <c r="AM31" s="20" t="str">
        <f t="shared" si="49"/>
        <v>Houston</v>
      </c>
      <c r="AN31" s="105"/>
    </row>
    <row r="32" spans="1:40" x14ac:dyDescent="0.25">
      <c r="A32" s="105"/>
      <c r="B32" s="22">
        <f>'Value Matchup'!C387</f>
        <v>15</v>
      </c>
      <c r="C32" s="23" t="str">
        <f>'Value Matchup'!D387</f>
        <v>Iona</v>
      </c>
      <c r="D32" s="24">
        <f>'Value Matchup'!E387</f>
        <v>9.2356058948214415</v>
      </c>
      <c r="E32" s="23"/>
      <c r="F32" s="23"/>
      <c r="G32" s="23"/>
      <c r="H32" s="24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5"/>
      <c r="AD32" s="22"/>
      <c r="AE32" s="23"/>
      <c r="AF32" s="23"/>
      <c r="AG32" s="23"/>
      <c r="AH32" s="23"/>
      <c r="AI32" s="23"/>
      <c r="AJ32" s="23"/>
      <c r="AK32" s="23"/>
      <c r="AL32" s="23">
        <f t="shared" ref="AL32:AM32" si="50">B64</f>
        <v>15</v>
      </c>
      <c r="AM32" s="25" t="str">
        <f t="shared" si="50"/>
        <v>Cleveland St.</v>
      </c>
      <c r="AN32" s="105"/>
    </row>
    <row r="33" spans="1:28" ht="15" hidden="1" customHeight="1" x14ac:dyDescent="0.25">
      <c r="A33" s="102" t="str">
        <f>'Value Matchup'!A388</f>
        <v>NorthEast</v>
      </c>
      <c r="B33" s="14">
        <f>'Value Matchup'!C388</f>
        <v>1</v>
      </c>
      <c r="C33" s="15" t="str">
        <f>'Value Matchup'!D388</f>
        <v>Baylor</v>
      </c>
      <c r="D33" s="16">
        <f>'Value Matchup'!E388</f>
        <v>426.01329466329287</v>
      </c>
      <c r="E33" s="16">
        <f ca="1">RAND()*(D33+D34)</f>
        <v>79.390778231956318</v>
      </c>
      <c r="F33" s="17">
        <f ca="1">IF(G33=C33,B33,B34)</f>
        <v>1</v>
      </c>
      <c r="G33" s="17" t="str">
        <f ca="1">IF(E33&lt;D33,C33,C34)</f>
        <v>Baylor</v>
      </c>
      <c r="H33" s="6">
        <f ca="1">OFFSET('Value Matchup'!$D$355,MATCH(G33,'Value Matchup'!$D$356:$D$420,0),2)</f>
        <v>307.39404939494415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8"/>
      <c r="Y33" s="6">
        <f ca="1">RAND()*(X16+X48)</f>
        <v>144.66722548456934</v>
      </c>
      <c r="AB33" s="6"/>
    </row>
    <row r="34" spans="1:28" hidden="1" x14ac:dyDescent="0.25">
      <c r="A34" s="102"/>
      <c r="B34" s="19">
        <f>'Value Matchup'!C389</f>
        <v>16</v>
      </c>
      <c r="C34" t="str">
        <f>'Value Matchup'!D389</f>
        <v>Hartford</v>
      </c>
      <c r="D34" s="6">
        <f>'Value Matchup'!E389</f>
        <v>6.7717326206848836E-3</v>
      </c>
      <c r="I34" s="6">
        <f ca="1">RAND()*(H33+H35)</f>
        <v>133.52118107775252</v>
      </c>
      <c r="J34" s="7">
        <f ca="1">IF(K34=G33,F33,F35)</f>
        <v>1</v>
      </c>
      <c r="K34" s="7" t="str">
        <f ca="1">IF(I34&lt;H33,G33,G35)</f>
        <v>Baylor</v>
      </c>
      <c r="L34" s="6">
        <f ca="1">OFFSET('Value Matchup'!$D$355,MATCH(K34,'Value Matchup'!$D$356:$D$420,0),3)</f>
        <v>225.54290732717755</v>
      </c>
      <c r="S34" s="20"/>
    </row>
    <row r="35" spans="1:28" hidden="1" x14ac:dyDescent="0.25">
      <c r="A35" s="102"/>
      <c r="B35" s="19">
        <f>'Value Matchup'!C390</f>
        <v>8</v>
      </c>
      <c r="C35" t="str">
        <f>'Value Matchup'!D390</f>
        <v>North Carolina</v>
      </c>
      <c r="D35" s="6">
        <f>'Value Matchup'!E390</f>
        <v>373.32640989390217</v>
      </c>
      <c r="E35" s="6">
        <f ca="1">RAND()*(D35+D36)</f>
        <v>456.93914823053029</v>
      </c>
      <c r="F35" s="7">
        <f ca="1">IF(G35=C35,B35,B36)</f>
        <v>9</v>
      </c>
      <c r="G35" s="7" t="str">
        <f ca="1">IF(E35&lt;D35,C35,C36)</f>
        <v>Wisconsin</v>
      </c>
      <c r="H35" s="6">
        <f ca="1">OFFSET('Value Matchup'!$D$355,MATCH(G35,'Value Matchup'!$D$356:$D$420,0),2)</f>
        <v>173.94334162038686</v>
      </c>
      <c r="S35" s="20"/>
    </row>
    <row r="36" spans="1:28" hidden="1" x14ac:dyDescent="0.25">
      <c r="A36" s="102"/>
      <c r="B36" s="19">
        <f>'Value Matchup'!C391</f>
        <v>9</v>
      </c>
      <c r="C36" t="str">
        <f>'Value Matchup'!D391</f>
        <v>Wisconsin</v>
      </c>
      <c r="D36" s="6">
        <f>'Value Matchup'!E391</f>
        <v>304.09756896959505</v>
      </c>
      <c r="M36" s="6">
        <f ca="1">RAND()*(L34+L38)</f>
        <v>22.29151186054705</v>
      </c>
      <c r="N36" s="7">
        <f ca="1">IF(O36=K34,J34,J38)</f>
        <v>1</v>
      </c>
      <c r="O36" s="7" t="str">
        <f ca="1">IF(M36&lt;L34,K34,K38)</f>
        <v>Baylor</v>
      </c>
      <c r="P36" s="6">
        <f ca="1">OFFSET('Value Matchup'!$D$355,MATCH(O36,'Value Matchup'!$D$356:$D$420,0),4)</f>
        <v>113.85279152876504</v>
      </c>
      <c r="S36" s="20"/>
    </row>
    <row r="37" spans="1:28" hidden="1" x14ac:dyDescent="0.25">
      <c r="A37" s="102"/>
      <c r="B37" s="19">
        <f>'Value Matchup'!C392</f>
        <v>5</v>
      </c>
      <c r="C37" t="str">
        <f>'Value Matchup'!D392</f>
        <v>Villanova</v>
      </c>
      <c r="D37" s="6">
        <f>'Value Matchup'!E392</f>
        <v>237.7098870838027</v>
      </c>
      <c r="E37" s="6">
        <f ca="1">RAND()*(D37+D38)</f>
        <v>63.084461181578298</v>
      </c>
      <c r="F37" s="7">
        <f ca="1">IF(G37=C37,B37,B38)</f>
        <v>5</v>
      </c>
      <c r="G37" s="7" t="str">
        <f ca="1">IF(E37&lt;D37,C37,C38)</f>
        <v>Villanova</v>
      </c>
      <c r="H37" s="6">
        <f ca="1">OFFSET('Value Matchup'!$D$355,MATCH(G37,'Value Matchup'!$D$356:$D$420,0),2)</f>
        <v>126.69424462606952</v>
      </c>
      <c r="S37" s="20"/>
    </row>
    <row r="38" spans="1:28" hidden="1" x14ac:dyDescent="0.25">
      <c r="A38" s="102"/>
      <c r="B38" s="19">
        <f>'Value Matchup'!C393</f>
        <v>12</v>
      </c>
      <c r="C38" t="str">
        <f>'Value Matchup'!D393</f>
        <v>Winthrop</v>
      </c>
      <c r="D38" s="6">
        <f>'Value Matchup'!E393</f>
        <v>41.82055807277527</v>
      </c>
      <c r="I38" s="6">
        <f ca="1">RAND()*(H37+H39)</f>
        <v>152.67481827012136</v>
      </c>
      <c r="J38" s="7">
        <f ca="1">IF(K38=G37,F37,F39)</f>
        <v>4</v>
      </c>
      <c r="K38" s="7" t="str">
        <f ca="1">IF(I38&lt;H37,G37,G39)</f>
        <v>Purdue</v>
      </c>
      <c r="L38" s="6">
        <f ca="1">OFFSET('Value Matchup'!$D$355,MATCH(K38,'Value Matchup'!$D$356:$D$420,0),3)</f>
        <v>104.37690229230014</v>
      </c>
      <c r="S38" s="20"/>
    </row>
    <row r="39" spans="1:28" hidden="1" x14ac:dyDescent="0.25">
      <c r="A39" s="102"/>
      <c r="B39" s="19">
        <f>'Value Matchup'!C394</f>
        <v>4</v>
      </c>
      <c r="C39" t="str">
        <f>'Value Matchup'!D394</f>
        <v>Purdue</v>
      </c>
      <c r="D39" s="6">
        <f>'Value Matchup'!E394</f>
        <v>353.57168131255355</v>
      </c>
      <c r="E39" s="6">
        <f ca="1">RAND()*(D39+D40)</f>
        <v>14.708437791957227</v>
      </c>
      <c r="F39" s="7">
        <f ca="1">IF(G39=C39,B39,B40)</f>
        <v>4</v>
      </c>
      <c r="G39" s="7" t="str">
        <f ca="1">IF(E39&lt;D39,C39,C40)</f>
        <v>Purdue</v>
      </c>
      <c r="H39" s="6">
        <f ca="1">OFFSET('Value Matchup'!$D$355,MATCH(G39,'Value Matchup'!$D$356:$D$420,0),2)</f>
        <v>188.80251872314483</v>
      </c>
      <c r="S39" s="20"/>
    </row>
    <row r="40" spans="1:28" hidden="1" x14ac:dyDescent="0.25">
      <c r="A40" s="102"/>
      <c r="B40" s="19">
        <f>'Value Matchup'!C395</f>
        <v>13</v>
      </c>
      <c r="C40" t="str">
        <f>'Value Matchup'!D395</f>
        <v>North Texas</v>
      </c>
      <c r="D40" s="6">
        <f>'Value Matchup'!E395</f>
        <v>14.430992124023598</v>
      </c>
      <c r="Q40" s="6">
        <f ca="1">RAND()*(P36+P44)</f>
        <v>213.73306625197958</v>
      </c>
      <c r="R40" s="7">
        <f ca="1">IF(S40=O36,N36,N44)</f>
        <v>2</v>
      </c>
      <c r="S40" s="21" t="str">
        <f ca="1">IF(Q40&lt;P36,O36,O44)</f>
        <v>Ohio St.</v>
      </c>
      <c r="T40" s="6">
        <f ca="1">OFFSET('Value Matchup'!$D$355,MATCH(S40,'Value Matchup'!$D$356:$D$420,0),5)</f>
        <v>106.47833787485841</v>
      </c>
    </row>
    <row r="41" spans="1:28" ht="15" hidden="1" customHeight="1" x14ac:dyDescent="0.25">
      <c r="A41" s="102"/>
      <c r="B41" s="19">
        <f>'Value Matchup'!C396</f>
        <v>6</v>
      </c>
      <c r="C41" t="str">
        <f>'Value Matchup'!D396</f>
        <v>Texas Tech</v>
      </c>
      <c r="D41" s="6">
        <f>'Value Matchup'!E396</f>
        <v>212.352999774887</v>
      </c>
      <c r="E41" s="6">
        <f ca="1">RAND()*(D41+D42)</f>
        <v>30.609749474705193</v>
      </c>
      <c r="F41" s="7">
        <f ca="1">IF(G41=C41,B41,B42)</f>
        <v>6</v>
      </c>
      <c r="G41" s="7" t="str">
        <f ca="1">IF(E41&lt;D41,C41,C42)</f>
        <v>Texas Tech</v>
      </c>
      <c r="H41" s="6">
        <f ca="1">OFFSET('Value Matchup'!$D$355,MATCH(G41,'Value Matchup'!$D$356:$D$420,0),2)</f>
        <v>110.0310941781492</v>
      </c>
      <c r="S41" s="20"/>
    </row>
    <row r="42" spans="1:28" ht="15" hidden="1" customHeight="1" x14ac:dyDescent="0.25">
      <c r="A42" s="102"/>
      <c r="B42" s="19">
        <f>'Value Matchup'!C397</f>
        <v>11</v>
      </c>
      <c r="C42" t="str">
        <f>'Value Matchup'!D397</f>
        <v>Utah St.</v>
      </c>
      <c r="D42" s="6">
        <f>'Value Matchup'!E397</f>
        <v>33.647567779688522</v>
      </c>
      <c r="I42" s="6">
        <f ca="1">RAND()*(H41+H43)</f>
        <v>89.951664220865695</v>
      </c>
      <c r="J42" s="7">
        <f ca="1">IF(K42=G41,F41,F43)</f>
        <v>6</v>
      </c>
      <c r="K42" s="7" t="str">
        <f ca="1">IF(I42&lt;H41,G41,G43)</f>
        <v>Texas Tech</v>
      </c>
      <c r="L42" s="6">
        <f ca="1">OFFSET('Value Matchup'!$D$355,MATCH(K42,'Value Matchup'!$D$356:$D$420,0),3)</f>
        <v>70.932879584266573</v>
      </c>
      <c r="S42" s="20"/>
    </row>
    <row r="43" spans="1:28" ht="15" hidden="1" customHeight="1" x14ac:dyDescent="0.25">
      <c r="A43" s="102"/>
      <c r="B43" s="19">
        <f>'Value Matchup'!C398</f>
        <v>3</v>
      </c>
      <c r="C43" t="str">
        <f>'Value Matchup'!D398</f>
        <v>Arkansas</v>
      </c>
      <c r="D43" s="6">
        <f>'Value Matchup'!E398</f>
        <v>401.97160370625033</v>
      </c>
      <c r="E43" s="6">
        <f ca="1">RAND()*(D43+D44)</f>
        <v>222.00603406870059</v>
      </c>
      <c r="F43" s="7">
        <f ca="1">IF(G43=C43,B43,B44)</f>
        <v>3</v>
      </c>
      <c r="G43" s="7" t="str">
        <f ca="1">IF(E43&lt;D43,C43,C44)</f>
        <v>Arkansas</v>
      </c>
      <c r="H43" s="6">
        <f ca="1">OFFSET('Value Matchup'!$D$355,MATCH(G43,'Value Matchup'!$D$356:$D$420,0),2)</f>
        <v>202.89349543022311</v>
      </c>
      <c r="S43" s="20"/>
    </row>
    <row r="44" spans="1:28" hidden="1" x14ac:dyDescent="0.25">
      <c r="A44" s="102"/>
      <c r="B44" s="19">
        <f>'Value Matchup'!C399</f>
        <v>14</v>
      </c>
      <c r="C44" t="str">
        <f>'Value Matchup'!D399</f>
        <v>Colgate</v>
      </c>
      <c r="D44" s="6">
        <f>'Value Matchup'!E399</f>
        <v>9.5516360803608258</v>
      </c>
      <c r="M44" s="6">
        <f ca="1">RAND()*(L42+L46)</f>
        <v>133.81839116610703</v>
      </c>
      <c r="N44" s="7">
        <f ca="1">IF(O44=K42,J42,J46)</f>
        <v>2</v>
      </c>
      <c r="O44" s="7" t="str">
        <f ca="1">IF(M44&lt;L42,K42,K46)</f>
        <v>Ohio St.</v>
      </c>
      <c r="P44" s="6">
        <f ca="1">OFFSET('Value Matchup'!$D$355,MATCH(O44,'Value Matchup'!$D$356:$D$420,0),4)</f>
        <v>126.15803000291811</v>
      </c>
      <c r="S44" s="20"/>
    </row>
    <row r="45" spans="1:28" hidden="1" x14ac:dyDescent="0.25">
      <c r="A45" s="102"/>
      <c r="B45" s="19">
        <f>'Value Matchup'!C400</f>
        <v>7</v>
      </c>
      <c r="C45" t="str">
        <f>'Value Matchup'!D400</f>
        <v>Florida</v>
      </c>
      <c r="D45" s="6">
        <f>'Value Matchup'!E400</f>
        <v>337.92635152978335</v>
      </c>
      <c r="E45" s="6">
        <f ca="1">RAND()*(D45+D46)</f>
        <v>294.92872736599668</v>
      </c>
      <c r="F45" s="7">
        <f ca="1">IF(G45=C45,B45,B46)</f>
        <v>7</v>
      </c>
      <c r="G45" s="7" t="str">
        <f ca="1">IF(E45&lt;D45,C45,C46)</f>
        <v>Florida</v>
      </c>
      <c r="H45" s="6">
        <f ca="1">OFFSET('Value Matchup'!$D$355,MATCH(G45,'Value Matchup'!$D$356:$D$420,0),2)</f>
        <v>186.94673966260964</v>
      </c>
      <c r="S45" s="20"/>
    </row>
    <row r="46" spans="1:28" hidden="1" x14ac:dyDescent="0.25">
      <c r="A46" s="102"/>
      <c r="B46" s="19">
        <f>'Value Matchup'!C401</f>
        <v>10</v>
      </c>
      <c r="C46" t="str">
        <f>'Value Matchup'!D401</f>
        <v>Virginia Tech</v>
      </c>
      <c r="D46" s="6">
        <f>'Value Matchup'!E401</f>
        <v>43.941601988818277</v>
      </c>
      <c r="I46" s="6">
        <f ca="1">RAND()*(H45+H47)</f>
        <v>371.45748447535925</v>
      </c>
      <c r="J46" s="7">
        <f ca="1">IF(K46=G45,F45,F47)</f>
        <v>2</v>
      </c>
      <c r="K46" s="7" t="str">
        <f ca="1">IF(I46&lt;H45,G45,G47)</f>
        <v>Ohio St.</v>
      </c>
      <c r="L46" s="6">
        <f ca="1">OFFSET('Value Matchup'!$D$355,MATCH(K46,'Value Matchup'!$D$356:$D$420,0),3)</f>
        <v>197.41332609862195</v>
      </c>
      <c r="S46" s="20"/>
    </row>
    <row r="47" spans="1:28" hidden="1" x14ac:dyDescent="0.25">
      <c r="A47" s="102"/>
      <c r="B47" s="19">
        <f>'Value Matchup'!C402</f>
        <v>2</v>
      </c>
      <c r="C47" t="str">
        <f>'Value Matchup'!D402</f>
        <v>Ohio St.</v>
      </c>
      <c r="D47" s="6">
        <f>'Value Matchup'!E402</f>
        <v>476.64658806121759</v>
      </c>
      <c r="E47" s="6">
        <f ca="1">RAND()*(D47+D48)</f>
        <v>448.92767283791738</v>
      </c>
      <c r="F47" s="7">
        <f ca="1">IF(G47=C47,B47,B48)</f>
        <v>2</v>
      </c>
      <c r="G47" s="7" t="str">
        <f ca="1">IF(E47&lt;D47,C47,C48)</f>
        <v>Ohio St.</v>
      </c>
      <c r="H47" s="6">
        <f ca="1">OFFSET('Value Matchup'!$D$355,MATCH(G47,'Value Matchup'!$D$356:$D$420,0),2)</f>
        <v>262.73041923056746</v>
      </c>
      <c r="S47" s="20"/>
    </row>
    <row r="48" spans="1:28" hidden="1" x14ac:dyDescent="0.25">
      <c r="A48" s="102"/>
      <c r="B48" s="22">
        <f>'Value Matchup'!C403</f>
        <v>15</v>
      </c>
      <c r="C48" s="23" t="str">
        <f>'Value Matchup'!D403</f>
        <v>Oral Roberts</v>
      </c>
      <c r="D48" s="24">
        <f>'Value Matchup'!E403</f>
        <v>3.1421282588608626</v>
      </c>
      <c r="E48" s="23"/>
      <c r="F48" s="23"/>
      <c r="G48" s="23"/>
      <c r="H48" s="24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5"/>
      <c r="U48" s="6">
        <f ca="1">RAND()*(T40+T56)</f>
        <v>21.798192081374303</v>
      </c>
      <c r="V48">
        <f ca="1">IF(W48=S40,R40,R56)</f>
        <v>2</v>
      </c>
      <c r="W48" s="7" t="str">
        <f ca="1">IF(U48&lt;T40,S40,S56)</f>
        <v>Ohio St.</v>
      </c>
      <c r="X48" s="6">
        <f ca="1">OFFSET('Value Matchup'!$D$355,MATCH(W48,'Value Matchup'!$D$356:$D$420,0),6)</f>
        <v>96.003153658955782</v>
      </c>
    </row>
    <row r="49" spans="1:20" ht="15" hidden="1" customHeight="1" x14ac:dyDescent="0.25">
      <c r="A49" s="105" t="str">
        <f>'Value Matchup'!A404</f>
        <v>SouthEast</v>
      </c>
      <c r="B49" s="14">
        <f>'Value Matchup'!C404</f>
        <v>1</v>
      </c>
      <c r="C49" s="15" t="str">
        <f>'Value Matchup'!D404</f>
        <v>Illinois</v>
      </c>
      <c r="D49" s="16">
        <f>'Value Matchup'!E404</f>
        <v>448.77389253216194</v>
      </c>
      <c r="E49" s="16">
        <f ca="1">RAND()*(D49+D50)</f>
        <v>387.45610735617186</v>
      </c>
      <c r="F49" s="17">
        <f ca="1">IF(G49=C49,B49,B50)</f>
        <v>1</v>
      </c>
      <c r="G49" s="17" t="str">
        <f ca="1">IF(E49&lt;D49,C49,C50)</f>
        <v>Illinois</v>
      </c>
      <c r="H49" s="6">
        <f ca="1">OFFSET('Value Matchup'!$D$355,MATCH(G49,'Value Matchup'!$D$356:$D$420,0),2)</f>
        <v>312.35272692087761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8"/>
    </row>
    <row r="50" spans="1:20" hidden="1" x14ac:dyDescent="0.25">
      <c r="A50" s="105"/>
      <c r="B50" s="19">
        <f>'Value Matchup'!C405</f>
        <v>16</v>
      </c>
      <c r="C50" t="str">
        <f>'Value Matchup'!D405</f>
        <v>Drexel</v>
      </c>
      <c r="D50" s="6">
        <f>'Value Matchup'!E405</f>
        <v>6.8136160641760251</v>
      </c>
      <c r="I50" s="6">
        <f ca="1">RAND()*(H49+H51)</f>
        <v>195.19316085013898</v>
      </c>
      <c r="J50" s="7">
        <f ca="1">IF(K50=G49,F49,F51)</f>
        <v>1</v>
      </c>
      <c r="K50" s="7" t="str">
        <f ca="1">IF(I50&lt;H49,G49,G51)</f>
        <v>Illinois</v>
      </c>
      <c r="L50" s="6">
        <f ca="1">OFFSET('Value Matchup'!$D$355,MATCH(K50,'Value Matchup'!$D$356:$D$420,0),3)</f>
        <v>232.65838238923575</v>
      </c>
      <c r="S50" s="20"/>
    </row>
    <row r="51" spans="1:20" hidden="1" x14ac:dyDescent="0.25">
      <c r="A51" s="105"/>
      <c r="B51" s="19">
        <f>'Value Matchup'!C406</f>
        <v>8</v>
      </c>
      <c r="C51" t="str">
        <f>'Value Matchup'!D406</f>
        <v>Loyola Chicago</v>
      </c>
      <c r="D51" s="6">
        <f>'Value Matchup'!E406</f>
        <v>122.19563892772612</v>
      </c>
      <c r="E51" s="6">
        <f ca="1">RAND()*(D51+D52)</f>
        <v>57.135161836096799</v>
      </c>
      <c r="F51" s="7">
        <f ca="1">IF(G51=C51,B51,B52)</f>
        <v>8</v>
      </c>
      <c r="G51" s="7" t="str">
        <f ca="1">IF(E51&lt;D51,C51,C52)</f>
        <v>Loyola Chicago</v>
      </c>
      <c r="H51" s="6">
        <f ca="1">OFFSET('Value Matchup'!$D$355,MATCH(G51,'Value Matchup'!$D$356:$D$420,0),2)</f>
        <v>36.260392311809369</v>
      </c>
      <c r="S51" s="20"/>
    </row>
    <row r="52" spans="1:20" hidden="1" x14ac:dyDescent="0.25">
      <c r="A52" s="105"/>
      <c r="B52" s="19">
        <f>'Value Matchup'!C407</f>
        <v>9</v>
      </c>
      <c r="C52" t="str">
        <f>'Value Matchup'!D407</f>
        <v>Georgia Tech</v>
      </c>
      <c r="D52" s="6">
        <f>'Value Matchup'!E407</f>
        <v>185.09907620257971</v>
      </c>
      <c r="M52" s="6">
        <f ca="1">RAND()*(L50+L54)</f>
        <v>130.5380455641785</v>
      </c>
      <c r="N52" s="7">
        <f ca="1">IF(O52=K50,J50,J54)</f>
        <v>1</v>
      </c>
      <c r="O52" s="7" t="str">
        <f ca="1">IF(M52&lt;L50,K50,K54)</f>
        <v>Illinois</v>
      </c>
      <c r="P52" s="6">
        <f ca="1">OFFSET('Value Matchup'!$D$355,MATCH(O52,'Value Matchup'!$D$356:$D$420,0),4)</f>
        <v>132.06572124186908</v>
      </c>
      <c r="S52" s="20"/>
    </row>
    <row r="53" spans="1:20" hidden="1" x14ac:dyDescent="0.25">
      <c r="A53" s="105"/>
      <c r="B53" s="19">
        <f>'Value Matchup'!C408</f>
        <v>5</v>
      </c>
      <c r="C53" t="str">
        <f>'Value Matchup'!D408</f>
        <v>Tennessee</v>
      </c>
      <c r="D53" s="6">
        <f>'Value Matchup'!E408</f>
        <v>210.78958647615022</v>
      </c>
      <c r="E53" s="6">
        <f ca="1">RAND()*(D53+D54)</f>
        <v>164.82160962359458</v>
      </c>
      <c r="F53" s="7">
        <f ca="1">IF(G53=C53,B53,B54)</f>
        <v>5</v>
      </c>
      <c r="G53" s="7" t="str">
        <f ca="1">IF(E53&lt;D53,C53,C54)</f>
        <v>Tennessee</v>
      </c>
      <c r="H53" s="6">
        <f ca="1">OFFSET('Value Matchup'!$D$355,MATCH(G53,'Value Matchup'!$D$356:$D$420,0),2)</f>
        <v>113.7214815222887</v>
      </c>
      <c r="S53" s="20"/>
    </row>
    <row r="54" spans="1:20" hidden="1" x14ac:dyDescent="0.25">
      <c r="A54" s="105"/>
      <c r="B54" s="19">
        <f>'Value Matchup'!C409</f>
        <v>12</v>
      </c>
      <c r="C54" t="str">
        <f>'Value Matchup'!D409</f>
        <v>Oregon St.</v>
      </c>
      <c r="D54" s="6">
        <f>'Value Matchup'!E409</f>
        <v>25.067246010824626</v>
      </c>
      <c r="I54" s="6">
        <f ca="1">RAND()*(H53+H55)</f>
        <v>127.71713971804736</v>
      </c>
      <c r="J54" s="7">
        <f ca="1">IF(K54=G53,F53,F55)</f>
        <v>4</v>
      </c>
      <c r="K54" s="7" t="str">
        <f ca="1">IF(I54&lt;H53,G53,G55)</f>
        <v>Oklahoma St.</v>
      </c>
      <c r="L54" s="6">
        <f ca="1">OFFSET('Value Matchup'!$D$355,MATCH(K54,'Value Matchup'!$D$356:$D$420,0),3)</f>
        <v>82.455626483058523</v>
      </c>
      <c r="S54" s="20"/>
    </row>
    <row r="55" spans="1:20" hidden="1" x14ac:dyDescent="0.25">
      <c r="A55" s="105"/>
      <c r="B55" s="19">
        <f>'Value Matchup'!C410</f>
        <v>4</v>
      </c>
      <c r="C55" t="str">
        <f>'Value Matchup'!D410</f>
        <v>Oklahoma St.</v>
      </c>
      <c r="D55" s="6">
        <f>'Value Matchup'!E410</f>
        <v>320.02325695953124</v>
      </c>
      <c r="E55" s="6">
        <f ca="1">RAND()*(D55+D56)</f>
        <v>136.42875385350106</v>
      </c>
      <c r="F55" s="7">
        <f ca="1">IF(G55=C55,B55,B56)</f>
        <v>4</v>
      </c>
      <c r="G55" s="7" t="str">
        <f ca="1">IF(E55&lt;D55,C55,C56)</f>
        <v>Oklahoma St.</v>
      </c>
      <c r="H55" s="6">
        <f ca="1">OFFSET('Value Matchup'!$D$355,MATCH(G55,'Value Matchup'!$D$356:$D$420,0),2)</f>
        <v>158.89823117600963</v>
      </c>
      <c r="S55" s="20"/>
    </row>
    <row r="56" spans="1:20" hidden="1" x14ac:dyDescent="0.25">
      <c r="A56" s="105"/>
      <c r="B56" s="19">
        <f>'Value Matchup'!C411</f>
        <v>13</v>
      </c>
      <c r="C56" t="str">
        <f>'Value Matchup'!D411</f>
        <v>Liberty</v>
      </c>
      <c r="D56" s="6">
        <f>'Value Matchup'!E411</f>
        <v>23.599915579198864</v>
      </c>
      <c r="Q56" s="6">
        <f ca="1">RAND()*(P52+P60)</f>
        <v>134.69149725856352</v>
      </c>
      <c r="R56" s="7">
        <f ca="1">IF(S56=O52,N52,N60)</f>
        <v>2</v>
      </c>
      <c r="S56" s="21" t="str">
        <f ca="1">IF(Q56&lt;P52,O52,O60)</f>
        <v>Houston</v>
      </c>
      <c r="T56" s="6">
        <f ca="1">OFFSET('Value Matchup'!$D$355,MATCH(S56,'Value Matchup'!$D$356:$D$420,0),5)</f>
        <v>21.052800636992949</v>
      </c>
    </row>
    <row r="57" spans="1:20" hidden="1" x14ac:dyDescent="0.25">
      <c r="A57" s="105"/>
      <c r="B57" s="19">
        <f>'Value Matchup'!C412</f>
        <v>6</v>
      </c>
      <c r="C57" t="str">
        <f>'Value Matchup'!D412</f>
        <v>San Diego St.</v>
      </c>
      <c r="D57" s="6">
        <f>'Value Matchup'!E412</f>
        <v>140.16483296732082</v>
      </c>
      <c r="E57" s="6">
        <f ca="1">RAND()*(D57+D58)</f>
        <v>289.98168936596807</v>
      </c>
      <c r="F57" s="7">
        <f ca="1">IF(G57=C57,B57,B58)</f>
        <v>11</v>
      </c>
      <c r="G57" s="7" t="str">
        <f ca="1">IF(E57&lt;D57,C57,C58)</f>
        <v>Syracuse</v>
      </c>
      <c r="H57" s="6">
        <f ca="1">OFFSET('Value Matchup'!$D$355,MATCH(G57,'Value Matchup'!$D$356:$D$420,0),2)</f>
        <v>208.23261461864848</v>
      </c>
      <c r="S57" s="20"/>
    </row>
    <row r="58" spans="1:20" hidden="1" x14ac:dyDescent="0.25">
      <c r="A58" s="105"/>
      <c r="B58" s="19">
        <f>'Value Matchup'!C413</f>
        <v>11</v>
      </c>
      <c r="C58" t="str">
        <f>'Value Matchup'!D413</f>
        <v>Syracuse</v>
      </c>
      <c r="D58" s="6">
        <f>'Value Matchup'!E413</f>
        <v>269.15124439331618</v>
      </c>
      <c r="I58" s="6">
        <f ca="1">RAND()*(H57+H59)</f>
        <v>367.30432248483294</v>
      </c>
      <c r="J58" s="7">
        <f ca="1">IF(K58=G57,F57,F59)</f>
        <v>3</v>
      </c>
      <c r="K58" s="7" t="str">
        <f ca="1">IF(I58&lt;H57,G57,G59)</f>
        <v>West Virginia</v>
      </c>
      <c r="L58" s="6">
        <f ca="1">OFFSET('Value Matchup'!$D$355,MATCH(K58,'Value Matchup'!$D$356:$D$420,0),3)</f>
        <v>137.25444768777353</v>
      </c>
      <c r="S58" s="20"/>
    </row>
    <row r="59" spans="1:20" hidden="1" x14ac:dyDescent="0.25">
      <c r="A59" s="105"/>
      <c r="B59" s="19">
        <f>'Value Matchup'!C414</f>
        <v>3</v>
      </c>
      <c r="C59" t="str">
        <f>'Value Matchup'!D414</f>
        <v>West Virginia</v>
      </c>
      <c r="D59" s="6">
        <f>'Value Matchup'!E414</f>
        <v>430.98842198113101</v>
      </c>
      <c r="E59" s="6">
        <f ca="1">RAND()*(D59+D60)</f>
        <v>17.445246387338745</v>
      </c>
      <c r="F59" s="7">
        <f ca="1">IF(G59=C59,B59,B60)</f>
        <v>3</v>
      </c>
      <c r="G59" s="7" t="str">
        <f ca="1">IF(E59&lt;D59,C59,C60)</f>
        <v>West Virginia</v>
      </c>
      <c r="H59" s="6">
        <f ca="1">OFFSET('Value Matchup'!$D$355,MATCH(G59,'Value Matchup'!$D$356:$D$420,0),2)</f>
        <v>233.92162652396664</v>
      </c>
      <c r="S59" s="20"/>
    </row>
    <row r="60" spans="1:20" hidden="1" x14ac:dyDescent="0.25">
      <c r="A60" s="105"/>
      <c r="B60" s="19">
        <f>'Value Matchup'!C415</f>
        <v>14</v>
      </c>
      <c r="C60" t="str">
        <f>'Value Matchup'!D415</f>
        <v>Morehead St.</v>
      </c>
      <c r="D60" s="6">
        <f>'Value Matchup'!E415</f>
        <v>13.829233442900616</v>
      </c>
      <c r="M60" s="6">
        <f ca="1">RAND()*(L58+L62)</f>
        <v>181.77841379544816</v>
      </c>
      <c r="N60" s="7">
        <f ca="1">IF(O60=K58,J58,J62)</f>
        <v>2</v>
      </c>
      <c r="O60" s="7" t="str">
        <f ca="1">IF(M60&lt;L58,K58,K62)</f>
        <v>Houston</v>
      </c>
      <c r="P60" s="6">
        <f ca="1">OFFSET('Value Matchup'!$D$355,MATCH(O60,'Value Matchup'!$D$356:$D$420,0),4)</f>
        <v>31.943960873215342</v>
      </c>
      <c r="S60" s="20"/>
    </row>
    <row r="61" spans="1:20" hidden="1" x14ac:dyDescent="0.25">
      <c r="A61" s="105"/>
      <c r="B61" s="19">
        <f>'Value Matchup'!C416</f>
        <v>7</v>
      </c>
      <c r="C61" t="str">
        <f>'Value Matchup'!D416</f>
        <v>Clemson</v>
      </c>
      <c r="D61" s="6">
        <f>'Value Matchup'!E416</f>
        <v>118.83221839920921</v>
      </c>
      <c r="E61" s="6">
        <f ca="1">RAND()*(D61+D62)</f>
        <v>53.285106123364884</v>
      </c>
      <c r="F61" s="7">
        <f ca="1">IF(G61=C61,B61,B62)</f>
        <v>7</v>
      </c>
      <c r="G61" s="7" t="str">
        <f ca="1">IF(E61&lt;D61,C61,C62)</f>
        <v>Clemson</v>
      </c>
      <c r="H61" s="6">
        <f ca="1">OFFSET('Value Matchup'!$D$355,MATCH(G61,'Value Matchup'!$D$356:$D$420,0),2)</f>
        <v>38.480834171886109</v>
      </c>
      <c r="S61" s="20"/>
    </row>
    <row r="62" spans="1:20" hidden="1" x14ac:dyDescent="0.25">
      <c r="A62" s="105"/>
      <c r="B62" s="19">
        <f>'Value Matchup'!C417</f>
        <v>10</v>
      </c>
      <c r="C62" t="str">
        <f>'Value Matchup'!D417</f>
        <v>Rutgers</v>
      </c>
      <c r="D62" s="6">
        <f>'Value Matchup'!E417</f>
        <v>36.791416447985078</v>
      </c>
      <c r="I62" s="6">
        <f ca="1">RAND()*(H61+H63)</f>
        <v>149.01799905596329</v>
      </c>
      <c r="J62" s="7">
        <f ca="1">IF(K62=G61,F61,F63)</f>
        <v>2</v>
      </c>
      <c r="K62" s="7" t="str">
        <f ca="1">IF(I62&lt;H61,G61,G63)</f>
        <v>Houston</v>
      </c>
      <c r="L62" s="6">
        <f ca="1">OFFSET('Value Matchup'!$D$355,MATCH(K62,'Value Matchup'!$D$356:$D$420,0),3)</f>
        <v>85.358968874101507</v>
      </c>
      <c r="S62" s="20"/>
    </row>
    <row r="63" spans="1:20" hidden="1" x14ac:dyDescent="0.25">
      <c r="A63" s="105"/>
      <c r="B63" s="19">
        <f>'Value Matchup'!C418</f>
        <v>2</v>
      </c>
      <c r="C63" t="str">
        <f>'Value Matchup'!D418</f>
        <v>Houston</v>
      </c>
      <c r="D63" s="6">
        <f>'Value Matchup'!E418</f>
        <v>282.6587403705654</v>
      </c>
      <c r="E63" s="6">
        <f ca="1">RAND()*(D63+D64)</f>
        <v>25.484760544718117</v>
      </c>
      <c r="F63" s="7">
        <f ca="1">IF(G63=C63,B63,B64)</f>
        <v>2</v>
      </c>
      <c r="G63" s="7" t="str">
        <f ca="1">IF(E63&lt;D63,C63,C64)</f>
        <v>Houston</v>
      </c>
      <c r="H63" s="6">
        <f ca="1">OFFSET('Value Matchup'!$D$355,MATCH(G63,'Value Matchup'!$D$356:$D$420,0),2)</f>
        <v>128.67723918035642</v>
      </c>
      <c r="S63" s="20"/>
    </row>
    <row r="64" spans="1:20" hidden="1" x14ac:dyDescent="0.25">
      <c r="A64" s="105"/>
      <c r="B64" s="22">
        <f>'Value Matchup'!C419</f>
        <v>15</v>
      </c>
      <c r="C64" s="23" t="str">
        <f>'Value Matchup'!D419</f>
        <v>Cleveland St.</v>
      </c>
      <c r="D64" s="24">
        <f>'Value Matchup'!E419</f>
        <v>12.345538593200423</v>
      </c>
      <c r="E64" s="23"/>
      <c r="F64" s="23"/>
      <c r="G64" s="23"/>
      <c r="H64" s="24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5"/>
    </row>
    <row r="66" spans="3:33" x14ac:dyDescent="0.25">
      <c r="D66">
        <f t="shared" ref="D66:E66" si="51">AVERAGE(D1:D64)</f>
        <v>187.4717432500683</v>
      </c>
      <c r="E66">
        <f t="shared" ca="1" si="51"/>
        <v>177.68051456105715</v>
      </c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B66" s="63"/>
    </row>
    <row r="72" spans="3:33" x14ac:dyDescent="0.25">
      <c r="C72">
        <f ca="1">SUM(F1:F32)</f>
        <v>77</v>
      </c>
      <c r="G72">
        <f ca="1">SUM(J1:J32)</f>
        <v>28</v>
      </c>
      <c r="K72">
        <f ca="1">SUM(N1:N32)</f>
        <v>14</v>
      </c>
      <c r="O72">
        <f ca="1">SUM(R1:R32)</f>
        <v>9</v>
      </c>
      <c r="S72">
        <f ca="1">SUM(V1:V32)</f>
        <v>1</v>
      </c>
      <c r="W72">
        <f ca="1">SUM(Z1:Z32)</f>
        <v>1</v>
      </c>
      <c r="AA72">
        <f ca="1">SUM(AD1:AD32)</f>
        <v>4</v>
      </c>
      <c r="AC72">
        <f ca="1">SUM(AF1:AF32)</f>
        <v>6</v>
      </c>
      <c r="AE72">
        <f ca="1">SUM(AH1:AH32)</f>
        <v>23</v>
      </c>
      <c r="AG72">
        <f ca="1">SUM(AJ1:AJ32)</f>
        <v>78</v>
      </c>
    </row>
    <row r="74" spans="3:33" x14ac:dyDescent="0.25">
      <c r="C74">
        <f ca="1">SUM(C72:AG72)</f>
        <v>241</v>
      </c>
    </row>
  </sheetData>
  <mergeCells count="6">
    <mergeCell ref="AN1:AN16"/>
    <mergeCell ref="AN17:AN32"/>
    <mergeCell ref="A17:A32"/>
    <mergeCell ref="A33:A48"/>
    <mergeCell ref="A49:A64"/>
    <mergeCell ref="A1:A16"/>
  </mergeCells>
  <conditionalFormatting sqref="F1:F1048576 J1:J1048576 N1:N1048576 R1:R1048576 V1:V1048576 AB1:AB1048576 AD1:AD19 AF1:AF19 AH1:AH1048576 AJ1:AJ1048576 AF29:AF1048576 AD29:AD1048576">
    <cfRule type="colorScale" priority="2">
      <colorScale>
        <cfvo type="percent" val="0"/>
        <cfvo type="percentile" val="70"/>
        <cfvo type="percentile" val="99"/>
        <color theme="0"/>
        <color theme="0"/>
        <color theme="9" tint="-0.499984740745262"/>
      </colorScale>
    </cfRule>
  </conditionalFormatting>
  <conditionalFormatting sqref="AD20:AD28 AF20:AF28">
    <cfRule type="colorScale" priority="1">
      <colorScale>
        <cfvo type="percent" val="0"/>
        <cfvo type="percentile" val="70"/>
        <cfvo type="percentile" val="99"/>
        <color theme="0"/>
        <color theme="0"/>
        <color theme="9" tint="-0.499984740745262"/>
      </colorScale>
    </cfRule>
  </conditionalFormatting>
  <pageMargins left="0.7" right="0.7" top="0.75" bottom="0.75" header="0.3" footer="0.3"/>
  <pageSetup scale="70" orientation="portrait" r:id="rId1"/>
  <headerFooter>
    <oddHeader>&amp;R&amp;D        &amp;T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X66"/>
  <sheetViews>
    <sheetView zoomScale="55" zoomScaleNormal="55" workbookViewId="0">
      <selection activeCell="E1" sqref="E1:E1048576"/>
    </sheetView>
  </sheetViews>
  <sheetFormatPr defaultRowHeight="15" x14ac:dyDescent="0.25"/>
  <cols>
    <col min="1" max="1" width="3.42578125" bestFit="1" customWidth="1"/>
    <col min="2" max="2" width="22.7109375" bestFit="1" customWidth="1"/>
    <col min="3" max="3" width="6.42578125" style="6" customWidth="1"/>
    <col min="4" max="4" width="3.42578125" bestFit="1" customWidth="1"/>
    <col min="5" max="5" width="22.7109375" bestFit="1" customWidth="1"/>
    <col min="6" max="6" width="5.85546875" style="6" customWidth="1"/>
    <col min="7" max="7" width="3.42578125" bestFit="1" customWidth="1"/>
    <col min="8" max="8" width="16.5703125" customWidth="1"/>
    <col min="9" max="9" width="5.85546875" customWidth="1"/>
    <col min="10" max="10" width="3.42578125" bestFit="1" customWidth="1"/>
    <col min="11" max="11" width="16.5703125" customWidth="1"/>
    <col min="12" max="12" width="5.85546875" customWidth="1"/>
    <col min="13" max="13" width="3.42578125" bestFit="1" customWidth="1"/>
    <col min="14" max="14" width="16.5703125" customWidth="1"/>
    <col min="15" max="15" width="5.5703125" customWidth="1"/>
    <col min="16" max="16" width="3.42578125" bestFit="1" customWidth="1"/>
    <col min="17" max="17" width="16.5703125" customWidth="1"/>
    <col min="18" max="18" width="5.5703125" customWidth="1"/>
    <col min="19" max="19" width="3.42578125" customWidth="1"/>
    <col min="20" max="21" width="16.5703125" customWidth="1"/>
    <col min="22" max="22" width="6.28515625" style="1" bestFit="1" customWidth="1"/>
    <col min="23" max="23" width="5.140625" style="1" bestFit="1" customWidth="1"/>
    <col min="24" max="24" width="6.85546875" style="1" bestFit="1" customWidth="1"/>
  </cols>
  <sheetData>
    <row r="1" spans="1:24" ht="15.75" thickBot="1" x14ac:dyDescent="0.3">
      <c r="V1" s="1" t="s">
        <v>75</v>
      </c>
      <c r="W1" s="1" t="s">
        <v>76</v>
      </c>
      <c r="X1" s="1" t="s">
        <v>12</v>
      </c>
    </row>
    <row r="2" spans="1:24" x14ac:dyDescent="0.25">
      <c r="A2" s="29">
        <f>'Value Matchup'!C356</f>
        <v>1</v>
      </c>
      <c r="B2" s="30" t="str">
        <f>'Value Matchup'!D356</f>
        <v>Gonzaga</v>
      </c>
      <c r="C2" s="31"/>
      <c r="D2" s="32" t="str">
        <f>IF(E2=B2,A2,IF(E2=B3,A3,""))</f>
        <v/>
      </c>
      <c r="E2" s="32"/>
      <c r="F2" s="31"/>
      <c r="G2" s="30"/>
      <c r="H2" s="30"/>
      <c r="I2" s="30"/>
      <c r="J2" s="30"/>
      <c r="K2" s="30"/>
      <c r="L2" s="30"/>
      <c r="M2" s="30"/>
      <c r="N2" s="33"/>
      <c r="U2" t="str">
        <f>B2</f>
        <v>Gonzaga</v>
      </c>
      <c r="V2" s="1">
        <f>COUNTIF($A$2:$T$66,B2)-1</f>
        <v>0</v>
      </c>
      <c r="W2" s="1">
        <f>VLOOKUP(A2,'Seed History'!$Q$4:$R$19,2,)</f>
        <v>0.99305555555555558</v>
      </c>
      <c r="X2" s="1">
        <f>'Value Matchup'!E356</f>
        <v>647.09698051936311</v>
      </c>
    </row>
    <row r="3" spans="1:24" x14ac:dyDescent="0.25">
      <c r="A3" s="34">
        <f>'Value Matchup'!C357</f>
        <v>16</v>
      </c>
      <c r="B3" t="str">
        <f>'Value Matchup'!D357</f>
        <v>Norfolk St.</v>
      </c>
      <c r="G3" s="7" t="str">
        <f>IF(H3=E2,D2,IF(H3=E4,D4,""))</f>
        <v/>
      </c>
      <c r="H3" s="7">
        <f>E4</f>
        <v>0</v>
      </c>
      <c r="I3" s="6"/>
      <c r="N3" s="35"/>
      <c r="U3" t="str">
        <f t="shared" ref="U3:U65" si="0">B3</f>
        <v>Norfolk St.</v>
      </c>
      <c r="V3" s="1">
        <f t="shared" ref="V3:V65" si="1">COUNTIF($A$2:$T$66,B3)-1</f>
        <v>0</v>
      </c>
      <c r="W3" s="1">
        <f>VLOOKUP(A3,'Seed History'!$Q$4:$R$19,2,)</f>
        <v>6.9444444444444441E-3</v>
      </c>
      <c r="X3" s="1">
        <f>'Value Matchup'!E357</f>
        <v>5.6951079598707812</v>
      </c>
    </row>
    <row r="4" spans="1:24" x14ac:dyDescent="0.25">
      <c r="A4" s="34">
        <f>'Value Matchup'!C358</f>
        <v>8</v>
      </c>
      <c r="B4" t="str">
        <f>'Value Matchup'!D358</f>
        <v>Oklahoma</v>
      </c>
      <c r="D4" s="7" t="str">
        <f>IF(E4=B4,A4,IF(E4=B5,A5,""))</f>
        <v/>
      </c>
      <c r="E4" s="7"/>
      <c r="N4" s="35"/>
      <c r="U4" t="str">
        <f t="shared" si="0"/>
        <v>Oklahoma</v>
      </c>
      <c r="V4" s="1">
        <f t="shared" si="1"/>
        <v>0</v>
      </c>
      <c r="W4" s="1">
        <f>VLOOKUP(A4,'Seed History'!$Q$4:$R$19,2,)</f>
        <v>0.49305555555555558</v>
      </c>
      <c r="X4" s="1">
        <f>'Value Matchup'!E358</f>
        <v>195.88651735821233</v>
      </c>
    </row>
    <row r="5" spans="1:24" x14ac:dyDescent="0.25">
      <c r="A5" s="34">
        <f>'Value Matchup'!C359</f>
        <v>9</v>
      </c>
      <c r="B5" t="str">
        <f>'Value Matchup'!D359</f>
        <v>Missouri</v>
      </c>
      <c r="J5" s="7" t="str">
        <f>IF(K5=H3,G3,IF(K5=H7,G7,""))</f>
        <v/>
      </c>
      <c r="K5" s="7">
        <f>H3</f>
        <v>0</v>
      </c>
      <c r="L5" s="6"/>
      <c r="N5" s="35"/>
      <c r="U5" t="str">
        <f t="shared" si="0"/>
        <v>Missouri</v>
      </c>
      <c r="V5" s="1">
        <f t="shared" si="1"/>
        <v>0</v>
      </c>
      <c r="W5" s="1">
        <f>VLOOKUP(A5,'Seed History'!$Q$4:$R$19,2,)</f>
        <v>0.50694444444444442</v>
      </c>
      <c r="X5" s="1">
        <f>'Value Matchup'!E359</f>
        <v>128.02825828054924</v>
      </c>
    </row>
    <row r="6" spans="1:24" x14ac:dyDescent="0.25">
      <c r="A6" s="34">
        <f>'Value Matchup'!C360</f>
        <v>5</v>
      </c>
      <c r="B6" t="str">
        <f>'Value Matchup'!D360</f>
        <v>Creighton</v>
      </c>
      <c r="D6" s="7" t="str">
        <f>IF(E6=B6,A6,IF(E6=B7,A7,""))</f>
        <v/>
      </c>
      <c r="E6" s="7"/>
      <c r="N6" s="35"/>
      <c r="U6" t="str">
        <f t="shared" si="0"/>
        <v>Creighton</v>
      </c>
      <c r="V6" s="1">
        <f t="shared" si="1"/>
        <v>0</v>
      </c>
      <c r="W6" s="1">
        <f>VLOOKUP(A6,'Seed History'!$Q$4:$R$19,2,)</f>
        <v>0.64583333333333337</v>
      </c>
      <c r="X6" s="1">
        <f>'Value Matchup'!E360</f>
        <v>154.12807927887269</v>
      </c>
    </row>
    <row r="7" spans="1:24" x14ac:dyDescent="0.25">
      <c r="A7" s="34">
        <f>'Value Matchup'!C361</f>
        <v>12</v>
      </c>
      <c r="B7" t="str">
        <f>'Value Matchup'!D361</f>
        <v>UC Santa Barbara</v>
      </c>
      <c r="G7" s="7" t="str">
        <f>IF(H7=E6,D6,IF(H7=E8,D8,""))</f>
        <v/>
      </c>
      <c r="H7" s="7">
        <f>E6</f>
        <v>0</v>
      </c>
      <c r="I7" s="6"/>
      <c r="N7" s="35"/>
      <c r="U7" t="str">
        <f t="shared" si="0"/>
        <v>UC Santa Barbara</v>
      </c>
      <c r="V7" s="1">
        <f t="shared" si="1"/>
        <v>0</v>
      </c>
      <c r="W7" s="1">
        <f>VLOOKUP(A7,'Seed History'!$Q$4:$R$19,2,)</f>
        <v>0.35416666666666669</v>
      </c>
      <c r="X7" s="1">
        <f>'Value Matchup'!E361</f>
        <v>35.302036953345791</v>
      </c>
    </row>
    <row r="8" spans="1:24" x14ac:dyDescent="0.25">
      <c r="A8" s="34">
        <f>'Value Matchup'!C362</f>
        <v>4</v>
      </c>
      <c r="B8" t="str">
        <f>'Value Matchup'!D362</f>
        <v>Virginia</v>
      </c>
      <c r="D8" s="7" t="str">
        <f>IF(E8=B8,A8,IF(E8=B9,A9,""))</f>
        <v/>
      </c>
      <c r="E8" s="7"/>
      <c r="N8" s="35"/>
      <c r="U8" t="str">
        <f t="shared" si="0"/>
        <v>Virginia</v>
      </c>
      <c r="V8" s="1">
        <f t="shared" si="1"/>
        <v>0</v>
      </c>
      <c r="W8" s="1">
        <f>VLOOKUP(A8,'Seed History'!$Q$4:$R$19,2,)</f>
        <v>0.79166666666666663</v>
      </c>
      <c r="X8" s="1">
        <f>'Value Matchup'!E362</f>
        <v>251.35059003235006</v>
      </c>
    </row>
    <row r="9" spans="1:24" x14ac:dyDescent="0.25">
      <c r="A9" s="34">
        <f>'Value Matchup'!C363</f>
        <v>13</v>
      </c>
      <c r="B9" t="str">
        <f>'Value Matchup'!D363</f>
        <v>Ohio</v>
      </c>
      <c r="M9" s="7" t="str">
        <f>IF(N9=K5,J5,IF(N9=K13,J13,""))</f>
        <v/>
      </c>
      <c r="N9" s="36">
        <f>K13</f>
        <v>0</v>
      </c>
      <c r="O9" s="6"/>
      <c r="U9" t="str">
        <f t="shared" si="0"/>
        <v>Ohio</v>
      </c>
      <c r="V9" s="1">
        <f t="shared" si="1"/>
        <v>0</v>
      </c>
      <c r="W9" s="1">
        <f>VLOOKUP(A9,'Seed History'!$Q$4:$R$19,2,)</f>
        <v>0.21527777777777779</v>
      </c>
      <c r="X9" s="1">
        <f>'Value Matchup'!E363</f>
        <v>37.836767999105852</v>
      </c>
    </row>
    <row r="10" spans="1:24" x14ac:dyDescent="0.25">
      <c r="A10" s="34">
        <f>'Value Matchup'!C364</f>
        <v>6</v>
      </c>
      <c r="B10" t="str">
        <f>'Value Matchup'!D364</f>
        <v>USC</v>
      </c>
      <c r="D10" s="7" t="str">
        <f>IF(E10=B10,A10,IF(E10=B11,A11,""))</f>
        <v/>
      </c>
      <c r="E10" s="7"/>
      <c r="N10" s="35"/>
      <c r="U10" t="str">
        <f t="shared" si="0"/>
        <v>USC</v>
      </c>
      <c r="V10" s="1">
        <f t="shared" si="1"/>
        <v>0</v>
      </c>
      <c r="W10" s="1">
        <f>VLOOKUP(A10,'Seed History'!$Q$4:$R$19,2,)</f>
        <v>0.61805555555555558</v>
      </c>
      <c r="X10" s="1">
        <f>'Value Matchup'!E364</f>
        <v>140.46074722181811</v>
      </c>
    </row>
    <row r="11" spans="1:24" x14ac:dyDescent="0.25">
      <c r="A11" s="34">
        <f>'Value Matchup'!C365</f>
        <v>11</v>
      </c>
      <c r="B11" t="str">
        <f>'Value Matchup'!D365</f>
        <v>Drake</v>
      </c>
      <c r="G11" s="7" t="str">
        <f>IF(H11=E10,D10,IF(H11=E12,D12,""))</f>
        <v/>
      </c>
      <c r="H11" s="7">
        <f>E10</f>
        <v>0</v>
      </c>
      <c r="I11" s="6"/>
      <c r="N11" s="35"/>
      <c r="U11" t="str">
        <f t="shared" si="0"/>
        <v>Drake</v>
      </c>
      <c r="V11" s="1">
        <f t="shared" si="1"/>
        <v>0</v>
      </c>
      <c r="W11" s="1">
        <f>VLOOKUP(A11,'Seed History'!$Q$4:$R$19,2,)</f>
        <v>0.375</v>
      </c>
      <c r="X11" s="1">
        <f>'Value Matchup'!E365</f>
        <v>20.88550572003582</v>
      </c>
    </row>
    <row r="12" spans="1:24" x14ac:dyDescent="0.25">
      <c r="A12" s="34">
        <f>'Value Matchup'!C366</f>
        <v>3</v>
      </c>
      <c r="B12" t="str">
        <f>'Value Matchup'!D366</f>
        <v>Kansas</v>
      </c>
      <c r="D12" s="7" t="str">
        <f>IF(E12=B12,A12,IF(E12=B13,A13,""))</f>
        <v/>
      </c>
      <c r="E12" s="7"/>
      <c r="N12" s="35"/>
      <c r="U12" t="str">
        <f t="shared" si="0"/>
        <v>Kansas</v>
      </c>
      <c r="V12" s="1">
        <f t="shared" si="1"/>
        <v>0</v>
      </c>
      <c r="W12" s="1">
        <f>VLOOKUP(A12,'Seed History'!$Q$4:$R$19,2,)</f>
        <v>0.84722222222222221</v>
      </c>
      <c r="X12" s="1">
        <f>'Value Matchup'!E366</f>
        <v>550.55544252874097</v>
      </c>
    </row>
    <row r="13" spans="1:24" x14ac:dyDescent="0.25">
      <c r="A13" s="34">
        <f>'Value Matchup'!C367</f>
        <v>14</v>
      </c>
      <c r="B13" t="str">
        <f>'Value Matchup'!D367</f>
        <v>Eastern Washington</v>
      </c>
      <c r="J13" s="7" t="str">
        <f>IF(K13=H11,G11,IF(K13=H15,G15,""))</f>
        <v/>
      </c>
      <c r="K13" s="7">
        <f>H11</f>
        <v>0</v>
      </c>
      <c r="L13" s="6"/>
      <c r="N13" s="35"/>
      <c r="U13" t="str">
        <f t="shared" si="0"/>
        <v>Eastern Washington</v>
      </c>
      <c r="V13" s="1">
        <f t="shared" si="1"/>
        <v>0</v>
      </c>
      <c r="W13" s="1">
        <f>VLOOKUP(A13,'Seed History'!$Q$4:$R$19,2,)</f>
        <v>0.15277777777777779</v>
      </c>
      <c r="X13" s="1">
        <f>'Value Matchup'!E367</f>
        <v>6.0903453274764194</v>
      </c>
    </row>
    <row r="14" spans="1:24" x14ac:dyDescent="0.25">
      <c r="A14" s="34">
        <f>'Value Matchup'!C368</f>
        <v>7</v>
      </c>
      <c r="B14" t="str">
        <f>'Value Matchup'!D368</f>
        <v>Oregon</v>
      </c>
      <c r="D14" s="7" t="str">
        <f>IF(E14=B14,A14,IF(E14=B15,A15,""))</f>
        <v/>
      </c>
      <c r="E14" s="7"/>
      <c r="N14" s="35"/>
      <c r="U14" t="str">
        <f t="shared" si="0"/>
        <v>Oregon</v>
      </c>
      <c r="V14" s="1">
        <f t="shared" si="1"/>
        <v>0</v>
      </c>
      <c r="W14" s="1">
        <f>VLOOKUP(A14,'Seed History'!$Q$4:$R$19,2,)</f>
        <v>0.60416666666666663</v>
      </c>
      <c r="X14" s="1">
        <f>'Value Matchup'!E368</f>
        <v>246.29655748821577</v>
      </c>
    </row>
    <row r="15" spans="1:24" x14ac:dyDescent="0.25">
      <c r="A15" s="34">
        <f>'Value Matchup'!C369</f>
        <v>10</v>
      </c>
      <c r="B15" t="str">
        <f>'Value Matchup'!D369</f>
        <v>VCU</v>
      </c>
      <c r="G15" s="7" t="str">
        <f>IF(H15=E14,D14,IF(H15=E16,D16,""))</f>
        <v/>
      </c>
      <c r="H15" s="7">
        <f>E14</f>
        <v>0</v>
      </c>
      <c r="I15" s="6"/>
      <c r="N15" s="35"/>
      <c r="U15" t="str">
        <f t="shared" si="0"/>
        <v>VCU</v>
      </c>
      <c r="V15" s="1">
        <f t="shared" si="1"/>
        <v>0</v>
      </c>
      <c r="W15" s="1">
        <f>VLOOKUP(A15,'Seed History'!$Q$4:$R$19,2,)</f>
        <v>0.39583333333333331</v>
      </c>
      <c r="X15" s="1">
        <f>'Value Matchup'!E369</f>
        <v>94.097596776167279</v>
      </c>
    </row>
    <row r="16" spans="1:24" x14ac:dyDescent="0.25">
      <c r="A16" s="34">
        <f>'Value Matchup'!C370</f>
        <v>2</v>
      </c>
      <c r="B16" t="str">
        <f>'Value Matchup'!D370</f>
        <v>Iowa</v>
      </c>
      <c r="D16" s="7" t="str">
        <f>IF(E16=B16,A16,IF(E16=B17,A17,""))</f>
        <v/>
      </c>
      <c r="E16" s="7"/>
      <c r="N16" s="35"/>
      <c r="U16" t="str">
        <f t="shared" si="0"/>
        <v>Iowa</v>
      </c>
      <c r="V16" s="1">
        <f t="shared" si="1"/>
        <v>0</v>
      </c>
      <c r="W16" s="1">
        <f>VLOOKUP(A16,'Seed History'!$Q$4:$R$19,2,)</f>
        <v>0.9375</v>
      </c>
      <c r="X16" s="1">
        <f>'Value Matchup'!E370</f>
        <v>404.45479428023987</v>
      </c>
    </row>
    <row r="17" spans="1:24" ht="15.75" thickBot="1" x14ac:dyDescent="0.3">
      <c r="A17" s="37">
        <f>'Value Matchup'!C371</f>
        <v>15</v>
      </c>
      <c r="B17" s="38" t="str">
        <f>'Value Matchup'!D371</f>
        <v>Grand Canyon</v>
      </c>
      <c r="C17" s="39"/>
      <c r="D17" s="38"/>
      <c r="E17" s="38"/>
      <c r="F17" s="39"/>
      <c r="G17" s="38"/>
      <c r="H17" s="38"/>
      <c r="I17" s="38"/>
      <c r="J17" s="38"/>
      <c r="K17" s="38"/>
      <c r="L17" s="38"/>
      <c r="M17" s="38"/>
      <c r="N17" s="40"/>
      <c r="P17" s="7" t="str">
        <f>IF(Q17=N9,M9,IF(Q17=N25,M25,""))</f>
        <v/>
      </c>
      <c r="Q17" s="7"/>
      <c r="R17" s="6"/>
      <c r="U17" t="str">
        <f t="shared" si="0"/>
        <v>Grand Canyon</v>
      </c>
      <c r="V17" s="1">
        <f t="shared" si="1"/>
        <v>0</v>
      </c>
      <c r="W17" s="1">
        <f>VLOOKUP(A17,'Seed History'!$Q$4:$R$19,2,)</f>
        <v>6.25E-2</v>
      </c>
      <c r="X17" s="1">
        <f>'Value Matchup'!E371</f>
        <v>0.76005027075289255</v>
      </c>
    </row>
    <row r="18" spans="1:24" x14ac:dyDescent="0.25">
      <c r="A18" s="34">
        <f>'Value Matchup'!C372</f>
        <v>1</v>
      </c>
      <c r="B18" t="str">
        <f>'Value Matchup'!D372</f>
        <v>Michigan</v>
      </c>
      <c r="D18" s="32" t="str">
        <f>IF(E18=B18,A18,IF(E18=B19,A19,""))</f>
        <v/>
      </c>
      <c r="E18" s="7"/>
      <c r="N18" s="35"/>
      <c r="U18" t="str">
        <f t="shared" si="0"/>
        <v>Michigan</v>
      </c>
      <c r="V18" s="1">
        <f t="shared" si="1"/>
        <v>0</v>
      </c>
      <c r="W18" s="1">
        <f>VLOOKUP(A18,'Seed History'!$Q$4:$R$19,2,)</f>
        <v>0.99305555555555558</v>
      </c>
      <c r="X18" s="1">
        <f>'Value Matchup'!E372</f>
        <v>675.18237244788747</v>
      </c>
    </row>
    <row r="19" spans="1:24" x14ac:dyDescent="0.25">
      <c r="A19" s="34">
        <f>'Value Matchup'!C373</f>
        <v>16</v>
      </c>
      <c r="B19" t="str">
        <f>'Value Matchup'!D373</f>
        <v>Texas Southern</v>
      </c>
      <c r="G19" s="7" t="str">
        <f>IF(H19=E18,D18,IF(H19=E20,D20,""))</f>
        <v/>
      </c>
      <c r="H19" s="7">
        <f>E20</f>
        <v>0</v>
      </c>
      <c r="I19" s="6"/>
      <c r="N19" s="35"/>
      <c r="U19" t="str">
        <f t="shared" si="0"/>
        <v>Texas Southern</v>
      </c>
      <c r="V19" s="1">
        <f t="shared" si="1"/>
        <v>0</v>
      </c>
      <c r="W19" s="1">
        <f>VLOOKUP(A19,'Seed History'!$Q$4:$R$19,2,)</f>
        <v>6.9444444444444441E-3</v>
      </c>
      <c r="X19" s="1">
        <f>'Value Matchup'!E373</f>
        <v>6.1474769524812194</v>
      </c>
    </row>
    <row r="20" spans="1:24" x14ac:dyDescent="0.25">
      <c r="A20" s="34">
        <f>'Value Matchup'!C374</f>
        <v>8</v>
      </c>
      <c r="B20" t="str">
        <f>'Value Matchup'!D374</f>
        <v>LSU</v>
      </c>
      <c r="D20" s="7" t="str">
        <f>IF(E20=B20,A20,IF(E20=B21,A21,""))</f>
        <v/>
      </c>
      <c r="E20" s="7"/>
      <c r="N20" s="35"/>
      <c r="U20" t="str">
        <f t="shared" si="0"/>
        <v>LSU</v>
      </c>
      <c r="V20" s="1">
        <f t="shared" si="1"/>
        <v>0</v>
      </c>
      <c r="W20" s="1">
        <f>VLOOKUP(A20,'Seed History'!$Q$4:$R$19,2,)</f>
        <v>0.49305555555555558</v>
      </c>
      <c r="X20" s="1">
        <f>'Value Matchup'!E374</f>
        <v>184.05547121413585</v>
      </c>
    </row>
    <row r="21" spans="1:24" x14ac:dyDescent="0.25">
      <c r="A21" s="34">
        <f>'Value Matchup'!C375</f>
        <v>9</v>
      </c>
      <c r="B21" t="str">
        <f>'Value Matchup'!D375</f>
        <v>St. Bonaventure</v>
      </c>
      <c r="J21" s="7" t="str">
        <f>IF(K21=H19,G19,IF(K21=H23,G23,""))</f>
        <v/>
      </c>
      <c r="K21" s="7">
        <f>H19</f>
        <v>0</v>
      </c>
      <c r="L21" s="6"/>
      <c r="N21" s="35"/>
      <c r="U21" t="str">
        <f t="shared" si="0"/>
        <v>St. Bonaventure</v>
      </c>
      <c r="V21" s="1">
        <f t="shared" si="1"/>
        <v>0</v>
      </c>
      <c r="W21" s="1">
        <f>VLOOKUP(A21,'Seed History'!$Q$4:$R$19,2,)</f>
        <v>0.50694444444444442</v>
      </c>
      <c r="X21" s="1">
        <f>'Value Matchup'!E375</f>
        <v>58.282967372886525</v>
      </c>
    </row>
    <row r="22" spans="1:24" x14ac:dyDescent="0.25">
      <c r="A22" s="34">
        <f>'Value Matchup'!C376</f>
        <v>5</v>
      </c>
      <c r="B22" t="str">
        <f>'Value Matchup'!D376</f>
        <v>Colorado</v>
      </c>
      <c r="D22" s="7" t="str">
        <f>IF(E22=B22,A22,IF(E22=B23,A23,""))</f>
        <v/>
      </c>
      <c r="E22" s="7"/>
      <c r="N22" s="35"/>
      <c r="U22" t="str">
        <f t="shared" si="0"/>
        <v>Colorado</v>
      </c>
      <c r="V22" s="1">
        <f t="shared" si="1"/>
        <v>0</v>
      </c>
      <c r="W22" s="1">
        <f>VLOOKUP(A22,'Seed History'!$Q$4:$R$19,2,)</f>
        <v>0.64583333333333337</v>
      </c>
      <c r="X22" s="1">
        <f>'Value Matchup'!E376</f>
        <v>119.99851680164834</v>
      </c>
    </row>
    <row r="23" spans="1:24" x14ac:dyDescent="0.25">
      <c r="A23" s="34">
        <f>'Value Matchup'!C377</f>
        <v>12</v>
      </c>
      <c r="B23" t="str">
        <f>'Value Matchup'!D377</f>
        <v>Georgetown</v>
      </c>
      <c r="G23" s="7" t="str">
        <f>IF(H23=E22,D22,IF(H23=E24,D24,""))</f>
        <v/>
      </c>
      <c r="H23" s="7">
        <f>E24</f>
        <v>0</v>
      </c>
      <c r="I23" s="6"/>
      <c r="N23" s="35"/>
      <c r="U23" t="str">
        <f t="shared" si="0"/>
        <v>Georgetown</v>
      </c>
      <c r="V23" s="1">
        <f t="shared" si="1"/>
        <v>0</v>
      </c>
      <c r="W23" s="1">
        <f>VLOOKUP(A23,'Seed History'!$Q$4:$R$19,2,)</f>
        <v>0.35416666666666669</v>
      </c>
      <c r="X23" s="1">
        <f>'Value Matchup'!E377</f>
        <v>141.36534382582161</v>
      </c>
    </row>
    <row r="24" spans="1:24" x14ac:dyDescent="0.25">
      <c r="A24" s="34">
        <f>'Value Matchup'!C378</f>
        <v>4</v>
      </c>
      <c r="B24" t="str">
        <f>'Value Matchup'!D378</f>
        <v>Florida St.</v>
      </c>
      <c r="D24" s="7" t="str">
        <f>IF(E24=B24,A24,IF(E24=B25,A25,""))</f>
        <v/>
      </c>
      <c r="E24" s="7"/>
      <c r="N24" s="35"/>
      <c r="U24" t="str">
        <f t="shared" si="0"/>
        <v>Florida St.</v>
      </c>
      <c r="V24" s="1">
        <f t="shared" si="1"/>
        <v>0</v>
      </c>
      <c r="W24" s="1">
        <f>VLOOKUP(A24,'Seed History'!$Q$4:$R$19,2,)</f>
        <v>0.79166666666666663</v>
      </c>
      <c r="X24" s="1">
        <f>'Value Matchup'!E378</f>
        <v>321.01478536192053</v>
      </c>
    </row>
    <row r="25" spans="1:24" x14ac:dyDescent="0.25">
      <c r="A25" s="34">
        <f>'Value Matchup'!C379</f>
        <v>13</v>
      </c>
      <c r="B25" t="str">
        <f>'Value Matchup'!D379</f>
        <v>UNC Greensboro</v>
      </c>
      <c r="M25" s="7" t="str">
        <f>IF(N25=K21,J21,IF(N25=K29,J29,""))</f>
        <v/>
      </c>
      <c r="N25" s="36">
        <f>K29</f>
        <v>0</v>
      </c>
      <c r="O25" s="6"/>
      <c r="U25" t="str">
        <f t="shared" si="0"/>
        <v>UNC Greensboro</v>
      </c>
      <c r="V25" s="1">
        <f t="shared" si="1"/>
        <v>0</v>
      </c>
      <c r="W25" s="1">
        <f>VLOOKUP(A25,'Seed History'!$Q$4:$R$19,2,)</f>
        <v>0.21527777777777779</v>
      </c>
      <c r="X25" s="1">
        <f>'Value Matchup'!E379</f>
        <v>12.325896351116098</v>
      </c>
    </row>
    <row r="26" spans="1:24" x14ac:dyDescent="0.25">
      <c r="A26" s="34">
        <f>'Value Matchup'!C380</f>
        <v>6</v>
      </c>
      <c r="B26" t="str">
        <f>'Value Matchup'!D380</f>
        <v>BYU</v>
      </c>
      <c r="D26" s="7" t="str">
        <f>IF(E26=B26,A26,IF(E26=B27,A27,""))</f>
        <v/>
      </c>
      <c r="E26" s="7"/>
      <c r="N26" s="35"/>
      <c r="U26" t="str">
        <f t="shared" si="0"/>
        <v>BYU</v>
      </c>
      <c r="V26" s="1">
        <f t="shared" si="1"/>
        <v>0</v>
      </c>
      <c r="W26" s="1">
        <f>VLOOKUP(A26,'Seed History'!$Q$4:$R$19,2,)</f>
        <v>0.61805555555555558</v>
      </c>
      <c r="X26" s="1">
        <f>'Value Matchup'!E380</f>
        <v>139.33761174605155</v>
      </c>
    </row>
    <row r="27" spans="1:24" x14ac:dyDescent="0.25">
      <c r="A27" s="34">
        <f>'Value Matchup'!C381</f>
        <v>11</v>
      </c>
      <c r="B27" t="str">
        <f>'Value Matchup'!D381</f>
        <v>UCLA</v>
      </c>
      <c r="G27" s="7" t="str">
        <f>IF(H27=E26,D26,IF(H27=E28,D28,""))</f>
        <v/>
      </c>
      <c r="H27" s="7">
        <f>E28</f>
        <v>0</v>
      </c>
      <c r="I27" s="6"/>
      <c r="N27" s="35"/>
      <c r="U27" t="str">
        <f t="shared" si="0"/>
        <v>UCLA</v>
      </c>
      <c r="V27" s="1">
        <f t="shared" si="1"/>
        <v>0</v>
      </c>
      <c r="W27" s="1">
        <f>VLOOKUP(A27,'Seed History'!$Q$4:$R$19,2,)</f>
        <v>0.375</v>
      </c>
      <c r="X27" s="1">
        <f>'Value Matchup'!E381</f>
        <v>223.34455422741729</v>
      </c>
    </row>
    <row r="28" spans="1:24" x14ac:dyDescent="0.25">
      <c r="A28" s="34">
        <f>'Value Matchup'!C382</f>
        <v>3</v>
      </c>
      <c r="B28" t="str">
        <f>'Value Matchup'!D382</f>
        <v>Texas</v>
      </c>
      <c r="D28" s="7" t="str">
        <f>IF(E28=B28,A28,IF(E28=B29,A29,""))</f>
        <v/>
      </c>
      <c r="E28" s="7"/>
      <c r="N28" s="35"/>
      <c r="U28" t="str">
        <f t="shared" si="0"/>
        <v>Texas</v>
      </c>
      <c r="V28" s="1">
        <f t="shared" si="1"/>
        <v>0</v>
      </c>
      <c r="W28" s="1">
        <f>VLOOKUP(A28,'Seed History'!$Q$4:$R$19,2,)</f>
        <v>0.84722222222222221</v>
      </c>
      <c r="X28" s="1">
        <f>'Value Matchup'!E382</f>
        <v>411.59694953342199</v>
      </c>
    </row>
    <row r="29" spans="1:24" x14ac:dyDescent="0.25">
      <c r="A29" s="34">
        <f>'Value Matchup'!C383</f>
        <v>14</v>
      </c>
      <c r="B29" t="str">
        <f>'Value Matchup'!D383</f>
        <v>Abilene Christian</v>
      </c>
      <c r="J29" s="7" t="str">
        <f>IF(K29=H27,G27,IF(K29=H31,G31,""))</f>
        <v/>
      </c>
      <c r="K29" s="7">
        <f>H27</f>
        <v>0</v>
      </c>
      <c r="L29" s="6"/>
      <c r="N29" s="35"/>
      <c r="U29" t="str">
        <f t="shared" si="0"/>
        <v>Abilene Christian</v>
      </c>
      <c r="V29" s="1">
        <f t="shared" si="1"/>
        <v>0</v>
      </c>
      <c r="W29" s="1">
        <f>VLOOKUP(A29,'Seed History'!$Q$4:$R$19,2,)</f>
        <v>0.15277777777777779</v>
      </c>
      <c r="X29" s="1">
        <f>'Value Matchup'!E383</f>
        <v>5.8669873969856425</v>
      </c>
    </row>
    <row r="30" spans="1:24" x14ac:dyDescent="0.25">
      <c r="A30" s="34">
        <f>'Value Matchup'!C384</f>
        <v>7</v>
      </c>
      <c r="B30" t="str">
        <f>'Value Matchup'!D384</f>
        <v>Connecticut</v>
      </c>
      <c r="D30" s="7" t="str">
        <f>IF(E30=B30,A30,IF(E30=B31,A31,""))</f>
        <v/>
      </c>
      <c r="E30" s="7"/>
      <c r="N30" s="35"/>
      <c r="U30" t="str">
        <f t="shared" si="0"/>
        <v>Connecticut</v>
      </c>
      <c r="V30" s="1">
        <f t="shared" si="1"/>
        <v>0</v>
      </c>
      <c r="W30" s="1">
        <f>VLOOKUP(A30,'Seed History'!$Q$4:$R$19,2,)</f>
        <v>0.60416666666666663</v>
      </c>
      <c r="X30" s="1">
        <f>'Value Matchup'!E384</f>
        <v>225.77230460077135</v>
      </c>
    </row>
    <row r="31" spans="1:24" x14ac:dyDescent="0.25">
      <c r="A31" s="34">
        <f>'Value Matchup'!C385</f>
        <v>10</v>
      </c>
      <c r="B31" t="str">
        <f>'Value Matchup'!D385</f>
        <v>Maryland</v>
      </c>
      <c r="G31" s="7" t="str">
        <f>IF(H31=E30,D30,IF(H31=E32,D32,""))</f>
        <v/>
      </c>
      <c r="H31" s="7">
        <f>E30</f>
        <v>0</v>
      </c>
      <c r="I31" s="6"/>
      <c r="N31" s="35"/>
      <c r="U31" t="str">
        <f t="shared" si="0"/>
        <v>Maryland</v>
      </c>
      <c r="V31" s="1">
        <f t="shared" si="1"/>
        <v>0</v>
      </c>
      <c r="W31" s="1">
        <f>VLOOKUP(A31,'Seed History'!$Q$4:$R$19,2,)</f>
        <v>0.39583333333333331</v>
      </c>
      <c r="X31" s="1">
        <f>'Value Matchup'!E385</f>
        <v>179.11813332484166</v>
      </c>
    </row>
    <row r="32" spans="1:24" x14ac:dyDescent="0.25">
      <c r="A32" s="34">
        <f>'Value Matchup'!C386</f>
        <v>2</v>
      </c>
      <c r="B32" t="str">
        <f>'Value Matchup'!D386</f>
        <v>Alabama</v>
      </c>
      <c r="D32" s="7" t="str">
        <f>IF(E32=B32,A32,IF(E32=B33,A33,""))</f>
        <v/>
      </c>
      <c r="E32" s="7"/>
      <c r="N32" s="35"/>
      <c r="U32" t="str">
        <f t="shared" si="0"/>
        <v>Alabama</v>
      </c>
      <c r="V32" s="1">
        <f t="shared" si="1"/>
        <v>0</v>
      </c>
      <c r="W32" s="1">
        <f>VLOOKUP(A32,'Seed History'!$Q$4:$R$19,2,)</f>
        <v>0.9375</v>
      </c>
      <c r="X32" s="1">
        <f>'Value Matchup'!E386</f>
        <v>449.33969657663215</v>
      </c>
    </row>
    <row r="33" spans="1:24" ht="15.75" thickBot="1" x14ac:dyDescent="0.3">
      <c r="A33" s="37">
        <f>'Value Matchup'!C387</f>
        <v>15</v>
      </c>
      <c r="B33" s="38" t="str">
        <f>'Value Matchup'!D387</f>
        <v>Iona</v>
      </c>
      <c r="C33" s="39"/>
      <c r="D33" s="38"/>
      <c r="E33" s="38"/>
      <c r="F33" s="39"/>
      <c r="G33" s="38"/>
      <c r="H33" s="38"/>
      <c r="I33" s="38"/>
      <c r="J33" s="38"/>
      <c r="K33" s="38"/>
      <c r="L33" s="38"/>
      <c r="M33" s="38"/>
      <c r="N33" s="40"/>
      <c r="S33" s="8" t="s">
        <v>74</v>
      </c>
      <c r="T33" s="8"/>
      <c r="U33" t="str">
        <f t="shared" si="0"/>
        <v>Iona</v>
      </c>
      <c r="V33" s="1">
        <f t="shared" si="1"/>
        <v>0</v>
      </c>
      <c r="W33" s="1">
        <f>VLOOKUP(A33,'Seed History'!$Q$4:$R$19,2,)</f>
        <v>6.25E-2</v>
      </c>
      <c r="X33" s="1">
        <f>'Value Matchup'!E387</f>
        <v>9.2356058948214415</v>
      </c>
    </row>
    <row r="34" spans="1:24" x14ac:dyDescent="0.25">
      <c r="A34" s="29">
        <f>'Value Matchup'!C388</f>
        <v>1</v>
      </c>
      <c r="B34" s="30" t="str">
        <f>'Value Matchup'!D388</f>
        <v>Baylor</v>
      </c>
      <c r="C34" s="31"/>
      <c r="D34" s="32" t="str">
        <f>IF(E34=B34,A34,IF(E34=B35,A35,""))</f>
        <v/>
      </c>
      <c r="E34" s="32"/>
      <c r="F34" s="31"/>
      <c r="G34" s="30"/>
      <c r="H34" s="30"/>
      <c r="I34" s="30"/>
      <c r="J34" s="30"/>
      <c r="K34" s="30"/>
      <c r="L34" s="30"/>
      <c r="M34" s="30"/>
      <c r="N34" s="33"/>
      <c r="S34" s="7" t="str">
        <f>IF(T34=Q17,P17,IF(T34=Q49,P49,""))</f>
        <v/>
      </c>
      <c r="T34" s="8">
        <f>Q49</f>
        <v>0</v>
      </c>
      <c r="U34" t="str">
        <f t="shared" si="0"/>
        <v>Baylor</v>
      </c>
      <c r="V34" s="1">
        <f t="shared" si="1"/>
        <v>0</v>
      </c>
      <c r="W34" s="1">
        <f>VLOOKUP(A34,'Seed History'!$Q$4:$R$19,2,)</f>
        <v>0.99305555555555558</v>
      </c>
      <c r="X34" s="1">
        <f>'Value Matchup'!E388</f>
        <v>426.01329466329287</v>
      </c>
    </row>
    <row r="35" spans="1:24" x14ac:dyDescent="0.25">
      <c r="A35" s="34">
        <f>'Value Matchup'!C389</f>
        <v>16</v>
      </c>
      <c r="B35" t="str">
        <f>'Value Matchup'!D389</f>
        <v>Hartford</v>
      </c>
      <c r="G35" s="7" t="str">
        <f>IF(H35=E34,D34,IF(H35=E36,D36,""))</f>
        <v/>
      </c>
      <c r="H35" s="7">
        <f>E34</f>
        <v>0</v>
      </c>
      <c r="I35" s="6"/>
      <c r="N35" s="35"/>
      <c r="U35" t="str">
        <f t="shared" si="0"/>
        <v>Hartford</v>
      </c>
      <c r="V35" s="1">
        <f t="shared" si="1"/>
        <v>0</v>
      </c>
      <c r="W35" s="1">
        <f>VLOOKUP(A35,'Seed History'!$Q$4:$R$19,2,)</f>
        <v>6.9444444444444441E-3</v>
      </c>
      <c r="X35" s="1">
        <f>'Value Matchup'!E389</f>
        <v>6.7717326206848836E-3</v>
      </c>
    </row>
    <row r="36" spans="1:24" x14ac:dyDescent="0.25">
      <c r="A36" s="34">
        <f>'Value Matchup'!C390</f>
        <v>8</v>
      </c>
      <c r="B36" t="str">
        <f>'Value Matchup'!D390</f>
        <v>North Carolina</v>
      </c>
      <c r="D36" s="7" t="str">
        <f>IF(E36=B36,A36,IF(E36=B37,A37,""))</f>
        <v/>
      </c>
      <c r="E36" s="7"/>
      <c r="N36" s="35"/>
      <c r="U36" t="str">
        <f t="shared" si="0"/>
        <v>North Carolina</v>
      </c>
      <c r="V36" s="1">
        <f t="shared" si="1"/>
        <v>0</v>
      </c>
      <c r="W36" s="1">
        <f>VLOOKUP(A36,'Seed History'!$Q$4:$R$19,2,)</f>
        <v>0.49305555555555558</v>
      </c>
      <c r="X36" s="1">
        <f>'Value Matchup'!E390</f>
        <v>373.32640989390217</v>
      </c>
    </row>
    <row r="37" spans="1:24" x14ac:dyDescent="0.25">
      <c r="A37" s="34">
        <f>'Value Matchup'!C391</f>
        <v>9</v>
      </c>
      <c r="B37" t="str">
        <f>'Value Matchup'!D391</f>
        <v>Wisconsin</v>
      </c>
      <c r="J37" s="7" t="str">
        <f>IF(K37=H35,G35,IF(K37=H39,G39,""))</f>
        <v/>
      </c>
      <c r="K37" s="7">
        <f>H35</f>
        <v>0</v>
      </c>
      <c r="L37" s="6"/>
      <c r="N37" s="35"/>
      <c r="U37" t="str">
        <f t="shared" si="0"/>
        <v>Wisconsin</v>
      </c>
      <c r="V37" s="1">
        <f t="shared" si="1"/>
        <v>0</v>
      </c>
      <c r="W37" s="1">
        <f>VLOOKUP(A37,'Seed History'!$Q$4:$R$19,2,)</f>
        <v>0.50694444444444442</v>
      </c>
      <c r="X37" s="1">
        <f>'Value Matchup'!E391</f>
        <v>304.09756896959505</v>
      </c>
    </row>
    <row r="38" spans="1:24" x14ac:dyDescent="0.25">
      <c r="A38" s="34">
        <f>'Value Matchup'!C392</f>
        <v>5</v>
      </c>
      <c r="B38" t="str">
        <f>'Value Matchup'!D392</f>
        <v>Villanova</v>
      </c>
      <c r="D38" s="7" t="str">
        <f>IF(E38=B38,A38,IF(E38=B39,A39,""))</f>
        <v/>
      </c>
      <c r="E38" s="7"/>
      <c r="N38" s="35"/>
      <c r="U38" t="str">
        <f t="shared" si="0"/>
        <v>Villanova</v>
      </c>
      <c r="V38" s="1">
        <f t="shared" si="1"/>
        <v>0</v>
      </c>
      <c r="W38" s="1">
        <f>VLOOKUP(A38,'Seed History'!$Q$4:$R$19,2,)</f>
        <v>0.64583333333333337</v>
      </c>
      <c r="X38" s="1">
        <f>'Value Matchup'!E392</f>
        <v>237.7098870838027</v>
      </c>
    </row>
    <row r="39" spans="1:24" x14ac:dyDescent="0.25">
      <c r="A39" s="34">
        <f>'Value Matchup'!C393</f>
        <v>12</v>
      </c>
      <c r="B39" t="str">
        <f>'Value Matchup'!D393</f>
        <v>Winthrop</v>
      </c>
      <c r="G39" s="7" t="str">
        <f>IF(H39=E38,D38,IF(H39=E40,D40,""))</f>
        <v/>
      </c>
      <c r="H39" s="7">
        <f>E38</f>
        <v>0</v>
      </c>
      <c r="I39" s="6"/>
      <c r="N39" s="35"/>
      <c r="U39" t="str">
        <f t="shared" si="0"/>
        <v>Winthrop</v>
      </c>
      <c r="V39" s="1">
        <f t="shared" si="1"/>
        <v>0</v>
      </c>
      <c r="W39" s="1">
        <f>VLOOKUP(A39,'Seed History'!$Q$4:$R$19,2,)</f>
        <v>0.35416666666666669</v>
      </c>
      <c r="X39" s="1">
        <f>'Value Matchup'!E393</f>
        <v>41.82055807277527</v>
      </c>
    </row>
    <row r="40" spans="1:24" x14ac:dyDescent="0.25">
      <c r="A40" s="34">
        <f>'Value Matchup'!C394</f>
        <v>4</v>
      </c>
      <c r="B40" t="str">
        <f>'Value Matchup'!D394</f>
        <v>Purdue</v>
      </c>
      <c r="D40" s="7" t="str">
        <f>IF(E40=B40,A40,IF(E40=B41,A41,""))</f>
        <v/>
      </c>
      <c r="E40" s="7"/>
      <c r="N40" s="35"/>
      <c r="U40" t="str">
        <f t="shared" si="0"/>
        <v>Purdue</v>
      </c>
      <c r="V40" s="1">
        <f t="shared" si="1"/>
        <v>0</v>
      </c>
      <c r="W40" s="1">
        <f>VLOOKUP(A40,'Seed History'!$Q$4:$R$19,2,)</f>
        <v>0.79166666666666663</v>
      </c>
      <c r="X40" s="1">
        <f>'Value Matchup'!E394</f>
        <v>353.57168131255355</v>
      </c>
    </row>
    <row r="41" spans="1:24" x14ac:dyDescent="0.25">
      <c r="A41" s="34">
        <f>'Value Matchup'!C395</f>
        <v>13</v>
      </c>
      <c r="B41" t="str">
        <f>'Value Matchup'!D395</f>
        <v>North Texas</v>
      </c>
      <c r="M41" s="7" t="str">
        <f>IF(N41=K37,J37,IF(N41=K45,J45,""))</f>
        <v/>
      </c>
      <c r="N41" s="36">
        <f>K37</f>
        <v>0</v>
      </c>
      <c r="O41" s="6"/>
      <c r="U41" t="str">
        <f t="shared" si="0"/>
        <v>North Texas</v>
      </c>
      <c r="V41" s="1">
        <f t="shared" si="1"/>
        <v>0</v>
      </c>
      <c r="W41" s="1">
        <f>VLOOKUP(A41,'Seed History'!$Q$4:$R$19,2,)</f>
        <v>0.21527777777777779</v>
      </c>
      <c r="X41" s="1">
        <f>'Value Matchup'!E395</f>
        <v>14.430992124023598</v>
      </c>
    </row>
    <row r="42" spans="1:24" x14ac:dyDescent="0.25">
      <c r="A42" s="34">
        <f>'Value Matchup'!C396</f>
        <v>6</v>
      </c>
      <c r="B42" t="str">
        <f>'Value Matchup'!D396</f>
        <v>Texas Tech</v>
      </c>
      <c r="D42" s="7" t="str">
        <f>IF(E42=B42,A42,IF(E42=B43,A43,""))</f>
        <v/>
      </c>
      <c r="E42" s="7"/>
      <c r="N42" s="35"/>
      <c r="U42" t="str">
        <f t="shared" si="0"/>
        <v>Texas Tech</v>
      </c>
      <c r="V42" s="1">
        <f t="shared" si="1"/>
        <v>0</v>
      </c>
      <c r="W42" s="1">
        <f>VLOOKUP(A42,'Seed History'!$Q$4:$R$19,2,)</f>
        <v>0.61805555555555558</v>
      </c>
      <c r="X42" s="1">
        <f>'Value Matchup'!E396</f>
        <v>212.352999774887</v>
      </c>
    </row>
    <row r="43" spans="1:24" x14ac:dyDescent="0.25">
      <c r="A43" s="34">
        <f>'Value Matchup'!C397</f>
        <v>11</v>
      </c>
      <c r="B43" t="str">
        <f>'Value Matchup'!D397</f>
        <v>Utah St.</v>
      </c>
      <c r="G43" s="7" t="str">
        <f>IF(H43=E42,D42,IF(H43=E44,D44,""))</f>
        <v/>
      </c>
      <c r="H43" s="7">
        <f>E44</f>
        <v>0</v>
      </c>
      <c r="I43" s="6"/>
      <c r="N43" s="35"/>
      <c r="U43" t="str">
        <f t="shared" si="0"/>
        <v>Utah St.</v>
      </c>
      <c r="V43" s="1">
        <f t="shared" si="1"/>
        <v>0</v>
      </c>
      <c r="W43" s="1">
        <f>VLOOKUP(A43,'Seed History'!$Q$4:$R$19,2,)</f>
        <v>0.375</v>
      </c>
      <c r="X43" s="1">
        <f>'Value Matchup'!E397</f>
        <v>33.647567779688522</v>
      </c>
    </row>
    <row r="44" spans="1:24" x14ac:dyDescent="0.25">
      <c r="A44" s="34">
        <f>'Value Matchup'!C398</f>
        <v>3</v>
      </c>
      <c r="B44" t="str">
        <f>'Value Matchup'!D398</f>
        <v>Arkansas</v>
      </c>
      <c r="D44" s="7" t="str">
        <f>IF(E44=B44,A44,IF(E44=B45,A45,""))</f>
        <v/>
      </c>
      <c r="E44" s="7"/>
      <c r="N44" s="35"/>
      <c r="U44" t="str">
        <f t="shared" si="0"/>
        <v>Arkansas</v>
      </c>
      <c r="V44" s="1">
        <f t="shared" si="1"/>
        <v>0</v>
      </c>
      <c r="W44" s="1">
        <f>VLOOKUP(A44,'Seed History'!$Q$4:$R$19,2,)</f>
        <v>0.84722222222222221</v>
      </c>
      <c r="X44" s="1">
        <f>'Value Matchup'!E398</f>
        <v>401.97160370625033</v>
      </c>
    </row>
    <row r="45" spans="1:24" x14ac:dyDescent="0.25">
      <c r="A45" s="34">
        <f>'Value Matchup'!C399</f>
        <v>14</v>
      </c>
      <c r="B45" t="str">
        <f>'Value Matchup'!D399</f>
        <v>Colgate</v>
      </c>
      <c r="J45" s="7" t="str">
        <f>IF(K45=H43,G43,IF(K45=H47,G47,""))</f>
        <v/>
      </c>
      <c r="K45" s="7">
        <f>H43</f>
        <v>0</v>
      </c>
      <c r="L45" s="6"/>
      <c r="N45" s="35"/>
      <c r="U45" t="str">
        <f t="shared" si="0"/>
        <v>Colgate</v>
      </c>
      <c r="V45" s="1">
        <f t="shared" si="1"/>
        <v>0</v>
      </c>
      <c r="W45" s="1">
        <f>VLOOKUP(A45,'Seed History'!$Q$4:$R$19,2,)</f>
        <v>0.15277777777777779</v>
      </c>
      <c r="X45" s="1">
        <f>'Value Matchup'!E399</f>
        <v>9.5516360803608258</v>
      </c>
    </row>
    <row r="46" spans="1:24" x14ac:dyDescent="0.25">
      <c r="A46" s="34">
        <f>'Value Matchup'!C400</f>
        <v>7</v>
      </c>
      <c r="B46" t="str">
        <f>'Value Matchup'!D400</f>
        <v>Florida</v>
      </c>
      <c r="D46" s="7" t="str">
        <f>IF(E46=B46,A46,IF(E46=B47,A47,""))</f>
        <v/>
      </c>
      <c r="E46" s="7"/>
      <c r="N46" s="35"/>
      <c r="U46" t="str">
        <f t="shared" si="0"/>
        <v>Florida</v>
      </c>
      <c r="V46" s="1">
        <f t="shared" si="1"/>
        <v>0</v>
      </c>
      <c r="W46" s="1">
        <f>VLOOKUP(A46,'Seed History'!$Q$4:$R$19,2,)</f>
        <v>0.60416666666666663</v>
      </c>
      <c r="X46" s="1">
        <f>'Value Matchup'!E400</f>
        <v>337.92635152978335</v>
      </c>
    </row>
    <row r="47" spans="1:24" x14ac:dyDescent="0.25">
      <c r="A47" s="34">
        <f>'Value Matchup'!C401</f>
        <v>10</v>
      </c>
      <c r="B47" t="str">
        <f>'Value Matchup'!D401</f>
        <v>Virginia Tech</v>
      </c>
      <c r="G47" s="7" t="str">
        <f>IF(H47=E46,D46,IF(H47=E48,D48,""))</f>
        <v/>
      </c>
      <c r="H47" s="7">
        <f>E48</f>
        <v>0</v>
      </c>
      <c r="I47" s="6"/>
      <c r="N47" s="35"/>
      <c r="U47" t="str">
        <f t="shared" si="0"/>
        <v>Virginia Tech</v>
      </c>
      <c r="V47" s="1">
        <f t="shared" si="1"/>
        <v>0</v>
      </c>
      <c r="W47" s="1">
        <f>VLOOKUP(A47,'Seed History'!$Q$4:$R$19,2,)</f>
        <v>0.39583333333333331</v>
      </c>
      <c r="X47" s="1">
        <f>'Value Matchup'!E401</f>
        <v>43.941601988818277</v>
      </c>
    </row>
    <row r="48" spans="1:24" x14ac:dyDescent="0.25">
      <c r="A48" s="34">
        <f>'Value Matchup'!C402</f>
        <v>2</v>
      </c>
      <c r="B48" t="str">
        <f>'Value Matchup'!D402</f>
        <v>Ohio St.</v>
      </c>
      <c r="D48" s="7" t="str">
        <f>IF(E48=B48,A48,IF(E48=B49,A49,""))</f>
        <v/>
      </c>
      <c r="E48" s="7"/>
      <c r="N48" s="35"/>
      <c r="U48" t="str">
        <f t="shared" si="0"/>
        <v>Ohio St.</v>
      </c>
      <c r="V48" s="1">
        <f t="shared" si="1"/>
        <v>0</v>
      </c>
      <c r="W48" s="1">
        <f>VLOOKUP(A48,'Seed History'!$Q$4:$R$19,2,)</f>
        <v>0.9375</v>
      </c>
      <c r="X48" s="1">
        <f>'Value Matchup'!E402</f>
        <v>476.64658806121759</v>
      </c>
    </row>
    <row r="49" spans="1:24" ht="15.75" thickBot="1" x14ac:dyDescent="0.3">
      <c r="A49" s="37">
        <f>'Value Matchup'!C403</f>
        <v>15</v>
      </c>
      <c r="B49" s="38" t="str">
        <f>'Value Matchup'!D403</f>
        <v>Oral Roberts</v>
      </c>
      <c r="C49" s="39"/>
      <c r="D49" s="38"/>
      <c r="E49" s="38"/>
      <c r="F49" s="39"/>
      <c r="G49" s="38"/>
      <c r="H49" s="38"/>
      <c r="I49" s="38"/>
      <c r="J49" s="38"/>
      <c r="K49" s="38"/>
      <c r="L49" s="38"/>
      <c r="M49" s="38"/>
      <c r="N49" s="40"/>
      <c r="P49" s="7" t="str">
        <f>IF(Q49=N41,M41,IF(Q49=N57,M57,""))</f>
        <v/>
      </c>
      <c r="Q49" s="7"/>
      <c r="R49" s="6"/>
      <c r="U49" t="str">
        <f t="shared" si="0"/>
        <v>Oral Roberts</v>
      </c>
      <c r="V49" s="1">
        <f t="shared" si="1"/>
        <v>0</v>
      </c>
      <c r="W49" s="1">
        <f>VLOOKUP(A49,'Seed History'!$Q$4:$R$19,2,)</f>
        <v>6.25E-2</v>
      </c>
      <c r="X49" s="1">
        <f>'Value Matchup'!E403</f>
        <v>3.1421282588608626</v>
      </c>
    </row>
    <row r="50" spans="1:24" x14ac:dyDescent="0.25">
      <c r="A50" s="29">
        <f>'Value Matchup'!C404</f>
        <v>1</v>
      </c>
      <c r="B50" s="30" t="str">
        <f>'Value Matchup'!D404</f>
        <v>Illinois</v>
      </c>
      <c r="C50" s="31"/>
      <c r="D50" s="32" t="str">
        <f>IF(E50=B50,A50,IF(E50=B51,A51,""))</f>
        <v/>
      </c>
      <c r="E50" s="32"/>
      <c r="F50" s="31"/>
      <c r="H50" s="30"/>
      <c r="I50" s="30"/>
      <c r="J50" s="30"/>
      <c r="K50" s="30"/>
      <c r="L50" s="30"/>
      <c r="M50" s="30"/>
      <c r="N50" s="33"/>
      <c r="U50" t="str">
        <f t="shared" si="0"/>
        <v>Illinois</v>
      </c>
      <c r="V50" s="1">
        <f t="shared" si="1"/>
        <v>0</v>
      </c>
      <c r="W50" s="1">
        <f>VLOOKUP(A50,'Seed History'!$Q$4:$R$19,2,)</f>
        <v>0.99305555555555558</v>
      </c>
      <c r="X50" s="1">
        <f>'Value Matchup'!E404</f>
        <v>448.77389253216194</v>
      </c>
    </row>
    <row r="51" spans="1:24" x14ac:dyDescent="0.25">
      <c r="A51" s="34">
        <f>'Value Matchup'!C405</f>
        <v>16</v>
      </c>
      <c r="B51" t="str">
        <f>'Value Matchup'!D405</f>
        <v>Drexel</v>
      </c>
      <c r="G51" s="7" t="str">
        <f>IF(H51=E50,D50,IF(H51=E52,D52,""))</f>
        <v/>
      </c>
      <c r="H51" s="7">
        <f>E50</f>
        <v>0</v>
      </c>
      <c r="I51" s="6"/>
      <c r="N51" s="35"/>
      <c r="U51" t="str">
        <f t="shared" si="0"/>
        <v>Drexel</v>
      </c>
      <c r="V51" s="1">
        <f t="shared" si="1"/>
        <v>0</v>
      </c>
      <c r="W51" s="1">
        <f>VLOOKUP(A51,'Seed History'!$Q$4:$R$19,2,)</f>
        <v>6.9444444444444441E-3</v>
      </c>
      <c r="X51" s="1">
        <f>'Value Matchup'!E405</f>
        <v>6.8136160641760251</v>
      </c>
    </row>
    <row r="52" spans="1:24" x14ac:dyDescent="0.25">
      <c r="A52" s="34">
        <f>'Value Matchup'!C406</f>
        <v>8</v>
      </c>
      <c r="B52" t="str">
        <f>'Value Matchup'!D406</f>
        <v>Loyola Chicago</v>
      </c>
      <c r="D52" s="7" t="str">
        <f>IF(E52=B52,A52,IF(E52=B53,A53,""))</f>
        <v/>
      </c>
      <c r="E52" s="7"/>
      <c r="N52" s="35"/>
      <c r="U52" t="str">
        <f t="shared" si="0"/>
        <v>Loyola Chicago</v>
      </c>
      <c r="V52" s="1">
        <f t="shared" si="1"/>
        <v>0</v>
      </c>
      <c r="W52" s="1">
        <f>VLOOKUP(A52,'Seed History'!$Q$4:$R$19,2,)</f>
        <v>0.49305555555555558</v>
      </c>
      <c r="X52" s="1">
        <f>'Value Matchup'!E406</f>
        <v>122.19563892772612</v>
      </c>
    </row>
    <row r="53" spans="1:24" x14ac:dyDescent="0.25">
      <c r="A53" s="34">
        <f>'Value Matchup'!C407</f>
        <v>9</v>
      </c>
      <c r="B53" t="str">
        <f>'Value Matchup'!D407</f>
        <v>Georgia Tech</v>
      </c>
      <c r="J53" s="7" t="str">
        <f>IF(K53=H51,G51,IF(K53=H55,G55,""))</f>
        <v/>
      </c>
      <c r="K53" s="7">
        <f>H51</f>
        <v>0</v>
      </c>
      <c r="L53" s="6"/>
      <c r="N53" s="35"/>
      <c r="U53" t="str">
        <f t="shared" si="0"/>
        <v>Georgia Tech</v>
      </c>
      <c r="V53" s="1">
        <f t="shared" si="1"/>
        <v>0</v>
      </c>
      <c r="W53" s="1">
        <f>VLOOKUP(A53,'Seed History'!$Q$4:$R$19,2,)</f>
        <v>0.50694444444444442</v>
      </c>
      <c r="X53" s="1">
        <f>'Value Matchup'!E407</f>
        <v>185.09907620257971</v>
      </c>
    </row>
    <row r="54" spans="1:24" x14ac:dyDescent="0.25">
      <c r="A54" s="34">
        <f>'Value Matchup'!C408</f>
        <v>5</v>
      </c>
      <c r="B54" t="str">
        <f>'Value Matchup'!D408</f>
        <v>Tennessee</v>
      </c>
      <c r="D54" s="7" t="str">
        <f>IF(E54=B54,A54,IF(E54=B55,A55,""))</f>
        <v/>
      </c>
      <c r="E54" s="7"/>
      <c r="N54" s="35"/>
      <c r="U54" t="str">
        <f t="shared" si="0"/>
        <v>Tennessee</v>
      </c>
      <c r="V54" s="1">
        <f t="shared" si="1"/>
        <v>0</v>
      </c>
      <c r="W54" s="1">
        <f>VLOOKUP(A54,'Seed History'!$Q$4:$R$19,2,)</f>
        <v>0.64583333333333337</v>
      </c>
      <c r="X54" s="1">
        <f>'Value Matchup'!E408</f>
        <v>210.78958647615022</v>
      </c>
    </row>
    <row r="55" spans="1:24" x14ac:dyDescent="0.25">
      <c r="A55" s="34">
        <f>'Value Matchup'!C409</f>
        <v>12</v>
      </c>
      <c r="B55" t="str">
        <f>'Value Matchup'!D409</f>
        <v>Oregon St.</v>
      </c>
      <c r="G55" s="7" t="str">
        <f>IF(H55=E54,D54,IF(H55=E56,D56,""))</f>
        <v/>
      </c>
      <c r="H55" s="7">
        <f>E54</f>
        <v>0</v>
      </c>
      <c r="I55" s="6"/>
      <c r="N55" s="35"/>
      <c r="U55" t="str">
        <f t="shared" si="0"/>
        <v>Oregon St.</v>
      </c>
      <c r="V55" s="1">
        <f t="shared" si="1"/>
        <v>0</v>
      </c>
      <c r="W55" s="1">
        <f>VLOOKUP(A55,'Seed History'!$Q$4:$R$19,2,)</f>
        <v>0.35416666666666669</v>
      </c>
      <c r="X55" s="1">
        <f>'Value Matchup'!E409</f>
        <v>25.067246010824626</v>
      </c>
    </row>
    <row r="56" spans="1:24" x14ac:dyDescent="0.25">
      <c r="A56" s="34">
        <f>'Value Matchup'!C410</f>
        <v>4</v>
      </c>
      <c r="B56" t="str">
        <f>'Value Matchup'!D410</f>
        <v>Oklahoma St.</v>
      </c>
      <c r="D56" s="7" t="str">
        <f>IF(E56=B56,A56,IF(E56=B57,A57,""))</f>
        <v/>
      </c>
      <c r="E56" s="7"/>
      <c r="N56" s="35"/>
      <c r="U56" t="str">
        <f t="shared" si="0"/>
        <v>Oklahoma St.</v>
      </c>
      <c r="V56" s="1">
        <f t="shared" si="1"/>
        <v>0</v>
      </c>
      <c r="W56" s="1">
        <f>VLOOKUP(A56,'Seed History'!$Q$4:$R$19,2,)</f>
        <v>0.79166666666666663</v>
      </c>
      <c r="X56" s="1">
        <f>'Value Matchup'!E410</f>
        <v>320.02325695953124</v>
      </c>
    </row>
    <row r="57" spans="1:24" x14ac:dyDescent="0.25">
      <c r="A57" s="34">
        <f>'Value Matchup'!C411</f>
        <v>13</v>
      </c>
      <c r="B57" t="str">
        <f>'Value Matchup'!D411</f>
        <v>Liberty</v>
      </c>
      <c r="M57" s="7" t="str">
        <f>IF(N57=K53,J53,IF(N57=K61,J61,""))</f>
        <v/>
      </c>
      <c r="N57" s="36">
        <f>K53</f>
        <v>0</v>
      </c>
      <c r="O57" s="6"/>
      <c r="U57" t="str">
        <f t="shared" si="0"/>
        <v>Liberty</v>
      </c>
      <c r="V57" s="1">
        <f t="shared" si="1"/>
        <v>0</v>
      </c>
      <c r="W57" s="1">
        <f>VLOOKUP(A57,'Seed History'!$Q$4:$R$19,2,)</f>
        <v>0.21527777777777779</v>
      </c>
      <c r="X57" s="1">
        <f>'Value Matchup'!E411</f>
        <v>23.599915579198864</v>
      </c>
    </row>
    <row r="58" spans="1:24" x14ac:dyDescent="0.25">
      <c r="A58" s="34">
        <f>'Value Matchup'!C412</f>
        <v>6</v>
      </c>
      <c r="B58" t="str">
        <f>'Value Matchup'!D412</f>
        <v>San Diego St.</v>
      </c>
      <c r="D58" s="7" t="str">
        <f>IF(E58=B58,A58,IF(E58=B59,A59,""))</f>
        <v/>
      </c>
      <c r="E58" s="41"/>
      <c r="N58" s="35"/>
      <c r="U58" t="str">
        <f t="shared" si="0"/>
        <v>San Diego St.</v>
      </c>
      <c r="V58" s="1">
        <f t="shared" si="1"/>
        <v>0</v>
      </c>
      <c r="W58" s="1">
        <f>VLOOKUP(A58,'Seed History'!$Q$4:$R$19,2,)</f>
        <v>0.61805555555555558</v>
      </c>
      <c r="X58" s="1">
        <f>'Value Matchup'!E412</f>
        <v>140.16483296732082</v>
      </c>
    </row>
    <row r="59" spans="1:24" x14ac:dyDescent="0.25">
      <c r="A59" s="34">
        <f>'Value Matchup'!C413</f>
        <v>11</v>
      </c>
      <c r="B59" t="str">
        <f>'Value Matchup'!D413</f>
        <v>Syracuse</v>
      </c>
      <c r="G59" s="7" t="str">
        <f>IF(H59=E58,D58,IF(H59=E60,D60,""))</f>
        <v/>
      </c>
      <c r="H59" s="41">
        <f>E58</f>
        <v>0</v>
      </c>
      <c r="I59" s="6"/>
      <c r="N59" s="35"/>
      <c r="U59" t="str">
        <f t="shared" si="0"/>
        <v>Syracuse</v>
      </c>
      <c r="V59" s="1">
        <f t="shared" si="1"/>
        <v>0</v>
      </c>
      <c r="W59" s="1">
        <f>VLOOKUP(A59,'Seed History'!$Q$4:$R$19,2,)</f>
        <v>0.375</v>
      </c>
      <c r="X59" s="1">
        <f>'Value Matchup'!E413</f>
        <v>269.15124439331618</v>
      </c>
    </row>
    <row r="60" spans="1:24" x14ac:dyDescent="0.25">
      <c r="A60" s="34">
        <f>'Value Matchup'!C414</f>
        <v>3</v>
      </c>
      <c r="B60" t="str">
        <f>'Value Matchup'!D414</f>
        <v>West Virginia</v>
      </c>
      <c r="D60" s="7" t="str">
        <f>IF(E60=B60,A60,IF(E60=B61,A61,""))</f>
        <v/>
      </c>
      <c r="E60" s="7"/>
      <c r="N60" s="35"/>
      <c r="U60" t="str">
        <f t="shared" si="0"/>
        <v>West Virginia</v>
      </c>
      <c r="V60" s="1">
        <f t="shared" si="1"/>
        <v>0</v>
      </c>
      <c r="W60" s="1">
        <f>VLOOKUP(A60,'Seed History'!$Q$4:$R$19,2,)</f>
        <v>0.84722222222222221</v>
      </c>
      <c r="X60" s="1">
        <f>'Value Matchup'!E414</f>
        <v>430.98842198113101</v>
      </c>
    </row>
    <row r="61" spans="1:24" x14ac:dyDescent="0.25">
      <c r="A61" s="34">
        <f>'Value Matchup'!C415</f>
        <v>14</v>
      </c>
      <c r="B61" t="str">
        <f>'Value Matchup'!D415</f>
        <v>Morehead St.</v>
      </c>
      <c r="J61" s="7" t="str">
        <f>IF(K61=H59,G59,IF(K61=H63,G63,""))</f>
        <v/>
      </c>
      <c r="K61" s="7">
        <f>H63</f>
        <v>0</v>
      </c>
      <c r="L61" s="6"/>
      <c r="N61" s="35"/>
      <c r="U61" t="str">
        <f t="shared" si="0"/>
        <v>Morehead St.</v>
      </c>
      <c r="V61" s="1">
        <f t="shared" si="1"/>
        <v>0</v>
      </c>
      <c r="W61" s="1">
        <f>VLOOKUP(A61,'Seed History'!$Q$4:$R$19,2,)</f>
        <v>0.15277777777777779</v>
      </c>
      <c r="X61" s="1">
        <f>'Value Matchup'!E415</f>
        <v>13.829233442900616</v>
      </c>
    </row>
    <row r="62" spans="1:24" x14ac:dyDescent="0.25">
      <c r="A62" s="34">
        <f>'Value Matchup'!C416</f>
        <v>7</v>
      </c>
      <c r="B62" t="str">
        <f>'Value Matchup'!D416</f>
        <v>Clemson</v>
      </c>
      <c r="D62" s="7" t="str">
        <f>IF(E62=B62,A62,IF(E62=B63,A63,""))</f>
        <v/>
      </c>
      <c r="E62" s="7"/>
      <c r="N62" s="35"/>
      <c r="U62" t="str">
        <f t="shared" si="0"/>
        <v>Clemson</v>
      </c>
      <c r="V62" s="1">
        <f t="shared" si="1"/>
        <v>0</v>
      </c>
      <c r="W62" s="1">
        <f>VLOOKUP(A62,'Seed History'!$Q$4:$R$19,2,)</f>
        <v>0.60416666666666663</v>
      </c>
      <c r="X62" s="1">
        <f>'Value Matchup'!E416</f>
        <v>118.83221839920921</v>
      </c>
    </row>
    <row r="63" spans="1:24" x14ac:dyDescent="0.25">
      <c r="A63" s="34">
        <f>'Value Matchup'!C417</f>
        <v>10</v>
      </c>
      <c r="B63" t="str">
        <f>'Value Matchup'!D417</f>
        <v>Rutgers</v>
      </c>
      <c r="G63" s="7" t="str">
        <f>IF(H63=E62,D62,IF(H63=E64,D64,""))</f>
        <v/>
      </c>
      <c r="H63" s="7">
        <f>E64</f>
        <v>0</v>
      </c>
      <c r="I63" s="6"/>
      <c r="N63" s="35"/>
      <c r="U63" t="str">
        <f t="shared" si="0"/>
        <v>Rutgers</v>
      </c>
      <c r="V63" s="1">
        <f t="shared" si="1"/>
        <v>0</v>
      </c>
      <c r="W63" s="1">
        <f>VLOOKUP(A63,'Seed History'!$Q$4:$R$19,2,)</f>
        <v>0.39583333333333331</v>
      </c>
      <c r="X63" s="1">
        <f>'Value Matchup'!E417</f>
        <v>36.791416447985078</v>
      </c>
    </row>
    <row r="64" spans="1:24" x14ac:dyDescent="0.25">
      <c r="A64" s="34">
        <f>'Value Matchup'!C418</f>
        <v>2</v>
      </c>
      <c r="B64" t="str">
        <f>'Value Matchup'!D418</f>
        <v>Houston</v>
      </c>
      <c r="D64" s="7" t="str">
        <f>IF(E64=B64,A64,IF(E64=B65,A65,""))</f>
        <v/>
      </c>
      <c r="E64" s="7"/>
      <c r="N64" s="35"/>
      <c r="U64" t="str">
        <f t="shared" si="0"/>
        <v>Houston</v>
      </c>
      <c r="V64" s="1">
        <f t="shared" si="1"/>
        <v>0</v>
      </c>
      <c r="W64" s="1">
        <f>VLOOKUP(A64,'Seed History'!$Q$4:$R$19,2,)</f>
        <v>0.9375</v>
      </c>
      <c r="X64" s="1">
        <f>'Value Matchup'!E418</f>
        <v>282.6587403705654</v>
      </c>
    </row>
    <row r="65" spans="1:24" ht="15.75" thickBot="1" x14ac:dyDescent="0.3">
      <c r="A65" s="37">
        <f>'Value Matchup'!C419</f>
        <v>15</v>
      </c>
      <c r="B65" s="38" t="str">
        <f>'Value Matchup'!D419</f>
        <v>Cleveland St.</v>
      </c>
      <c r="C65" s="39"/>
      <c r="D65" s="38"/>
      <c r="E65" s="38"/>
      <c r="F65" s="39"/>
      <c r="G65" s="38"/>
      <c r="H65" s="38"/>
      <c r="I65" s="38"/>
      <c r="J65" s="38"/>
      <c r="K65" s="38"/>
      <c r="L65" s="38"/>
      <c r="M65" s="38"/>
      <c r="N65" s="40"/>
      <c r="U65" t="str">
        <f t="shared" si="0"/>
        <v>Cleveland St.</v>
      </c>
      <c r="V65" s="1">
        <f t="shared" si="1"/>
        <v>0</v>
      </c>
      <c r="W65" s="1">
        <f>VLOOKUP(A65,'Seed History'!$Q$4:$R$19,2,)</f>
        <v>6.25E-2</v>
      </c>
      <c r="X65" s="1">
        <f>'Value Matchup'!E419</f>
        <v>12.345538593200423</v>
      </c>
    </row>
    <row r="66" spans="1:24" x14ac:dyDescent="0.25">
      <c r="W66" s="1" t="e">
        <f>PEARSON($V$2:$V$65,W2:W65)</f>
        <v>#DIV/0!</v>
      </c>
      <c r="X66" s="1" t="e">
        <f>PEARSON($V$2:$V$65,X2:X65)</f>
        <v>#DIV/0!</v>
      </c>
    </row>
  </sheetData>
  <conditionalFormatting sqref="D1:D1048576">
    <cfRule type="colorScale" priority="33">
      <colorScale>
        <cfvo type="num" val="9"/>
        <cfvo type="num" val="16"/>
        <color theme="0"/>
        <color theme="9" tint="-0.499984740745262"/>
      </colorScale>
    </cfRule>
  </conditionalFormatting>
  <conditionalFormatting sqref="G1:G1048576">
    <cfRule type="colorScale" priority="32">
      <colorScale>
        <cfvo type="num" val="5"/>
        <cfvo type="num" val="16"/>
        <color theme="0"/>
        <color theme="9" tint="-0.499984740745262"/>
      </colorScale>
    </cfRule>
  </conditionalFormatting>
  <conditionalFormatting sqref="P1:P16 M1:M8 J1:J4 J6:J12 J14:J20 J22:J28 J30:J36 J38:J44 J46:J52 J54:J60 J62:J1048576 M10:M24 M26:M40 M42:M56 M58:M1048576 P18:P48 P50:P1048576">
    <cfRule type="colorScale" priority="31">
      <colorScale>
        <cfvo type="num" val="3"/>
        <cfvo type="num" val="12"/>
        <color theme="0"/>
        <color theme="9" tint="-0.499984740745262"/>
      </colorScale>
    </cfRule>
  </conditionalFormatting>
  <conditionalFormatting sqref="M25">
    <cfRule type="colorScale" priority="20">
      <colorScale>
        <cfvo type="num" val="5"/>
        <cfvo type="num" val="16"/>
        <color theme="0"/>
        <color theme="9" tint="-0.499984740745262"/>
      </colorScale>
    </cfRule>
  </conditionalFormatting>
  <conditionalFormatting sqref="P17">
    <cfRule type="colorScale" priority="17">
      <colorScale>
        <cfvo type="num" val="5"/>
        <cfvo type="num" val="16"/>
        <color theme="0"/>
        <color theme="9" tint="-0.499984740745262"/>
      </colorScale>
    </cfRule>
  </conditionalFormatting>
  <conditionalFormatting sqref="S34">
    <cfRule type="colorScale" priority="15">
      <colorScale>
        <cfvo type="num" val="5"/>
        <cfvo type="num" val="16"/>
        <color theme="0"/>
        <color theme="9" tint="-0.499984740745262"/>
      </colorScale>
    </cfRule>
  </conditionalFormatting>
  <conditionalFormatting sqref="J13">
    <cfRule type="colorScale" priority="14">
      <colorScale>
        <cfvo type="num" val="5"/>
        <cfvo type="num" val="16"/>
        <color theme="0"/>
        <color theme="9" tint="-0.499984740745262"/>
      </colorScale>
    </cfRule>
  </conditionalFormatting>
  <conditionalFormatting sqref="J5">
    <cfRule type="colorScale" priority="13">
      <colorScale>
        <cfvo type="num" val="5"/>
        <cfvo type="num" val="16"/>
        <color theme="0"/>
        <color theme="9" tint="-0.499984740745262"/>
      </colorScale>
    </cfRule>
  </conditionalFormatting>
  <conditionalFormatting sqref="J21">
    <cfRule type="colorScale" priority="12">
      <colorScale>
        <cfvo type="num" val="5"/>
        <cfvo type="num" val="16"/>
        <color theme="0"/>
        <color theme="9" tint="-0.499984740745262"/>
      </colorScale>
    </cfRule>
  </conditionalFormatting>
  <conditionalFormatting sqref="J29">
    <cfRule type="colorScale" priority="11">
      <colorScale>
        <cfvo type="num" val="5"/>
        <cfvo type="num" val="16"/>
        <color theme="0"/>
        <color theme="9" tint="-0.499984740745262"/>
      </colorScale>
    </cfRule>
  </conditionalFormatting>
  <conditionalFormatting sqref="J37">
    <cfRule type="colorScale" priority="10">
      <colorScale>
        <cfvo type="num" val="5"/>
        <cfvo type="num" val="16"/>
        <color theme="0"/>
        <color theme="9" tint="-0.499984740745262"/>
      </colorScale>
    </cfRule>
  </conditionalFormatting>
  <conditionalFormatting sqref="J45">
    <cfRule type="colorScale" priority="9">
      <colorScale>
        <cfvo type="num" val="5"/>
        <cfvo type="num" val="16"/>
        <color theme="0"/>
        <color theme="9" tint="-0.499984740745262"/>
      </colorScale>
    </cfRule>
  </conditionalFormatting>
  <conditionalFormatting sqref="J53">
    <cfRule type="colorScale" priority="8">
      <colorScale>
        <cfvo type="num" val="5"/>
        <cfvo type="num" val="16"/>
        <color theme="0"/>
        <color theme="9" tint="-0.499984740745262"/>
      </colorScale>
    </cfRule>
  </conditionalFormatting>
  <conditionalFormatting sqref="J61">
    <cfRule type="colorScale" priority="7">
      <colorScale>
        <cfvo type="num" val="5"/>
        <cfvo type="num" val="16"/>
        <color theme="0"/>
        <color theme="9" tint="-0.499984740745262"/>
      </colorScale>
    </cfRule>
  </conditionalFormatting>
  <conditionalFormatting sqref="M9">
    <cfRule type="colorScale" priority="6">
      <colorScale>
        <cfvo type="num" val="5"/>
        <cfvo type="num" val="16"/>
        <color theme="0"/>
        <color theme="9" tint="-0.499984740745262"/>
      </colorScale>
    </cfRule>
  </conditionalFormatting>
  <conditionalFormatting sqref="M57">
    <cfRule type="colorScale" priority="3">
      <colorScale>
        <cfvo type="num" val="5"/>
        <cfvo type="num" val="16"/>
        <color theme="0"/>
        <color theme="9" tint="-0.499984740745262"/>
      </colorScale>
    </cfRule>
  </conditionalFormatting>
  <conditionalFormatting sqref="M41">
    <cfRule type="colorScale" priority="2">
      <colorScale>
        <cfvo type="num" val="5"/>
        <cfvo type="num" val="16"/>
        <color theme="0"/>
        <color theme="9" tint="-0.499984740745262"/>
      </colorScale>
    </cfRule>
  </conditionalFormatting>
  <conditionalFormatting sqref="P49">
    <cfRule type="colorScale" priority="1">
      <colorScale>
        <cfvo type="num" val="5"/>
        <cfvo type="num" val="16"/>
        <color theme="0"/>
        <color theme="9" tint="-0.499984740745262"/>
      </colorScale>
    </cfRule>
  </conditionalFormatting>
  <pageMargins left="0.7" right="0.7" top="0.75" bottom="0.75" header="0.3" footer="0.3"/>
  <pageSetup scale="42" orientation="landscape" r:id="rId1"/>
  <headerFooter>
    <oddHeader>&amp;R&amp;D        &amp;T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65"/>
  <sheetViews>
    <sheetView workbookViewId="0">
      <selection activeCell="V17" sqref="V17"/>
    </sheetView>
  </sheetViews>
  <sheetFormatPr defaultRowHeight="15" x14ac:dyDescent="0.25"/>
  <cols>
    <col min="1" max="1" width="5.42578125" bestFit="1" customWidth="1"/>
    <col min="2" max="2" width="12" bestFit="1" customWidth="1"/>
    <col min="7" max="7" width="12" bestFit="1" customWidth="1"/>
    <col min="22" max="22" width="11" bestFit="1" customWidth="1"/>
  </cols>
  <sheetData>
    <row r="1" spans="1:22" x14ac:dyDescent="0.25">
      <c r="A1" t="s">
        <v>75</v>
      </c>
      <c r="B1" t="s">
        <v>77</v>
      </c>
    </row>
    <row r="2" spans="1:22" x14ac:dyDescent="0.25">
      <c r="A2">
        <v>0</v>
      </c>
      <c r="B2">
        <f>BINOMDIST(A2,63,0.6,0)</f>
        <v>8.5070591730235069E-26</v>
      </c>
    </row>
    <row r="3" spans="1:22" x14ac:dyDescent="0.25">
      <c r="A3">
        <v>1</v>
      </c>
      <c r="B3">
        <f t="shared" ref="B3:B65" si="0">BINOMDIST(A3,63,0.6,0)</f>
        <v>8.0391709185072825E-24</v>
      </c>
    </row>
    <row r="4" spans="1:22" x14ac:dyDescent="0.25">
      <c r="A4">
        <v>2</v>
      </c>
      <c r="B4">
        <f t="shared" si="0"/>
        <v>3.7382144771058279E-22</v>
      </c>
    </row>
    <row r="5" spans="1:22" x14ac:dyDescent="0.25">
      <c r="A5">
        <v>3</v>
      </c>
      <c r="B5">
        <f t="shared" si="0"/>
        <v>1.1401554155172851E-20</v>
      </c>
    </row>
    <row r="6" spans="1:22" x14ac:dyDescent="0.25">
      <c r="A6">
        <v>4</v>
      </c>
      <c r="B6">
        <f t="shared" si="0"/>
        <v>2.5653496849138917E-19</v>
      </c>
    </row>
    <row r="7" spans="1:22" x14ac:dyDescent="0.25">
      <c r="A7">
        <v>5</v>
      </c>
      <c r="B7">
        <f t="shared" si="0"/>
        <v>4.5406689422976087E-18</v>
      </c>
    </row>
    <row r="8" spans="1:22" x14ac:dyDescent="0.25">
      <c r="A8">
        <v>6</v>
      </c>
      <c r="B8">
        <f t="shared" si="0"/>
        <v>6.5839699663314763E-17</v>
      </c>
    </row>
    <row r="9" spans="1:22" x14ac:dyDescent="0.25">
      <c r="A9">
        <v>7</v>
      </c>
      <c r="B9">
        <f t="shared" si="0"/>
        <v>8.0418490303048913E-16</v>
      </c>
    </row>
    <row r="10" spans="1:22" x14ac:dyDescent="0.25">
      <c r="A10">
        <v>8</v>
      </c>
      <c r="B10">
        <f t="shared" si="0"/>
        <v>8.4439414818201816E-15</v>
      </c>
    </row>
    <row r="11" spans="1:22" x14ac:dyDescent="0.25">
      <c r="A11">
        <v>9</v>
      </c>
      <c r="B11">
        <f t="shared" si="0"/>
        <v>7.7402796916684321E-14</v>
      </c>
    </row>
    <row r="12" spans="1:22" x14ac:dyDescent="0.25">
      <c r="A12">
        <v>10</v>
      </c>
      <c r="B12">
        <f t="shared" si="0"/>
        <v>6.2696265502514393E-13</v>
      </c>
    </row>
    <row r="13" spans="1:22" x14ac:dyDescent="0.25">
      <c r="A13">
        <v>11</v>
      </c>
      <c r="B13">
        <f t="shared" si="0"/>
        <v>4.5312300976817491E-12</v>
      </c>
    </row>
    <row r="14" spans="1:22" x14ac:dyDescent="0.25">
      <c r="A14">
        <v>12</v>
      </c>
      <c r="B14">
        <f t="shared" si="0"/>
        <v>2.9452995634931052E-11</v>
      </c>
    </row>
    <row r="15" spans="1:22" x14ac:dyDescent="0.25">
      <c r="A15">
        <v>13</v>
      </c>
      <c r="B15">
        <f t="shared" si="0"/>
        <v>1.7331955123632616E-10</v>
      </c>
    </row>
    <row r="16" spans="1:22" x14ac:dyDescent="0.25">
      <c r="A16">
        <v>14</v>
      </c>
      <c r="B16">
        <f t="shared" si="0"/>
        <v>9.2849759590889322E-10</v>
      </c>
      <c r="V16">
        <f>4^16</f>
        <v>4294967296</v>
      </c>
    </row>
    <row r="17" spans="1:18" x14ac:dyDescent="0.25">
      <c r="A17">
        <v>15</v>
      </c>
      <c r="B17">
        <f t="shared" si="0"/>
        <v>4.5496382199535517E-9</v>
      </c>
    </row>
    <row r="18" spans="1:18" x14ac:dyDescent="0.25">
      <c r="A18">
        <v>16</v>
      </c>
      <c r="B18">
        <f t="shared" si="0"/>
        <v>2.0473371989791056E-8</v>
      </c>
    </row>
    <row r="19" spans="1:18" ht="28.5" x14ac:dyDescent="0.45">
      <c r="A19">
        <v>17</v>
      </c>
      <c r="B19">
        <f t="shared" si="0"/>
        <v>8.4904277957662825E-8</v>
      </c>
      <c r="G19" s="106">
        <f>72*60*60</f>
        <v>259200</v>
      </c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</row>
    <row r="20" spans="1:18" ht="28.5" x14ac:dyDescent="0.45">
      <c r="A20">
        <v>18</v>
      </c>
      <c r="B20">
        <f t="shared" si="0"/>
        <v>3.2546639883770793E-7</v>
      </c>
      <c r="G20" s="106">
        <f>2^43</f>
        <v>8796093022208</v>
      </c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</row>
    <row r="21" spans="1:18" ht="28.5" x14ac:dyDescent="0.45">
      <c r="A21">
        <v>19</v>
      </c>
      <c r="B21">
        <f t="shared" si="0"/>
        <v>1.1562622063971182E-6</v>
      </c>
      <c r="G21" s="106">
        <f>G20/G19</f>
        <v>33935544.067160495</v>
      </c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</row>
    <row r="22" spans="1:18" ht="28.5" x14ac:dyDescent="0.45">
      <c r="A22">
        <v>20</v>
      </c>
      <c r="B22">
        <f t="shared" si="0"/>
        <v>3.8156652811105085E-6</v>
      </c>
      <c r="G22" s="106">
        <f>2^63</f>
        <v>9.2233720368547758E+18</v>
      </c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</row>
    <row r="23" spans="1:18" x14ac:dyDescent="0.25">
      <c r="A23">
        <v>21</v>
      </c>
      <c r="B23">
        <f t="shared" si="0"/>
        <v>1.171954336341081E-5</v>
      </c>
    </row>
    <row r="24" spans="1:18" x14ac:dyDescent="0.25">
      <c r="A24">
        <v>22</v>
      </c>
      <c r="B24">
        <f t="shared" si="0"/>
        <v>3.3560510540676308E-5</v>
      </c>
    </row>
    <row r="25" spans="1:18" x14ac:dyDescent="0.25">
      <c r="A25">
        <v>23</v>
      </c>
      <c r="B25">
        <f t="shared" si="0"/>
        <v>8.9737886880504107E-5</v>
      </c>
    </row>
    <row r="26" spans="1:18" x14ac:dyDescent="0.25">
      <c r="A26">
        <v>24</v>
      </c>
      <c r="B26">
        <f t="shared" si="0"/>
        <v>2.2434471720125996E-4</v>
      </c>
    </row>
    <row r="27" spans="1:18" x14ac:dyDescent="0.25">
      <c r="A27">
        <v>25</v>
      </c>
      <c r="B27">
        <f t="shared" si="0"/>
        <v>5.2496663825095141E-4</v>
      </c>
    </row>
    <row r="28" spans="1:18" x14ac:dyDescent="0.25">
      <c r="A28">
        <v>26</v>
      </c>
      <c r="B28">
        <f t="shared" si="0"/>
        <v>1.1508883992424653E-3</v>
      </c>
    </row>
    <row r="29" spans="1:18" x14ac:dyDescent="0.25">
      <c r="A29">
        <v>27</v>
      </c>
      <c r="B29">
        <f t="shared" si="0"/>
        <v>2.3657150428872888E-3</v>
      </c>
    </row>
    <row r="30" spans="1:18" x14ac:dyDescent="0.25">
      <c r="A30">
        <v>28</v>
      </c>
      <c r="B30">
        <f t="shared" si="0"/>
        <v>4.5624504398540499E-3</v>
      </c>
    </row>
    <row r="31" spans="1:18" x14ac:dyDescent="0.25">
      <c r="A31">
        <v>29</v>
      </c>
      <c r="B31">
        <f t="shared" si="0"/>
        <v>8.2596085549082165E-3</v>
      </c>
    </row>
    <row r="32" spans="1:18" x14ac:dyDescent="0.25">
      <c r="A32">
        <v>30</v>
      </c>
      <c r="B32">
        <f t="shared" si="0"/>
        <v>1.4041334543343935E-2</v>
      </c>
    </row>
    <row r="33" spans="1:2" x14ac:dyDescent="0.25">
      <c r="A33">
        <v>31</v>
      </c>
      <c r="B33">
        <f t="shared" si="0"/>
        <v>2.2420840641791149E-2</v>
      </c>
    </row>
    <row r="34" spans="1:2" x14ac:dyDescent="0.25">
      <c r="A34">
        <v>32</v>
      </c>
      <c r="B34">
        <f t="shared" si="0"/>
        <v>3.3631260962686725E-2</v>
      </c>
    </row>
    <row r="35" spans="1:2" x14ac:dyDescent="0.25">
      <c r="A35">
        <v>33</v>
      </c>
      <c r="B35">
        <f t="shared" si="0"/>
        <v>4.7389504083785769E-2</v>
      </c>
    </row>
    <row r="36" spans="1:2" x14ac:dyDescent="0.25">
      <c r="A36">
        <v>34</v>
      </c>
      <c r="B36">
        <f t="shared" si="0"/>
        <v>6.2721402463834106E-2</v>
      </c>
    </row>
    <row r="37" spans="1:2" x14ac:dyDescent="0.25">
      <c r="A37">
        <v>35</v>
      </c>
      <c r="B37">
        <f t="shared" si="0"/>
        <v>7.7953743062193853E-2</v>
      </c>
    </row>
    <row r="38" spans="1:2" x14ac:dyDescent="0.25">
      <c r="A38">
        <v>36</v>
      </c>
      <c r="B38">
        <f t="shared" si="0"/>
        <v>9.0946033572559482E-2</v>
      </c>
    </row>
    <row r="39" spans="1:2" x14ac:dyDescent="0.25">
      <c r="A39">
        <v>37</v>
      </c>
      <c r="B39">
        <f t="shared" si="0"/>
        <v>9.9549036748342062E-2</v>
      </c>
    </row>
    <row r="40" spans="1:2" x14ac:dyDescent="0.25">
      <c r="A40">
        <v>38</v>
      </c>
      <c r="B40">
        <f t="shared" si="0"/>
        <v>0.1021687482417195</v>
      </c>
    </row>
    <row r="41" spans="1:2" x14ac:dyDescent="0.25">
      <c r="A41">
        <v>39</v>
      </c>
      <c r="B41">
        <f t="shared" si="0"/>
        <v>9.8239181001653311E-2</v>
      </c>
    </row>
    <row r="42" spans="1:2" x14ac:dyDescent="0.25">
      <c r="A42">
        <v>40</v>
      </c>
      <c r="B42">
        <f t="shared" si="0"/>
        <v>8.8415262901487976E-2</v>
      </c>
    </row>
    <row r="43" spans="1:2" x14ac:dyDescent="0.25">
      <c r="A43">
        <v>41</v>
      </c>
      <c r="B43">
        <f t="shared" si="0"/>
        <v>7.4398209026861797E-2</v>
      </c>
    </row>
    <row r="44" spans="1:2" x14ac:dyDescent="0.25">
      <c r="A44">
        <v>42</v>
      </c>
      <c r="B44">
        <f t="shared" si="0"/>
        <v>5.8455735663962817E-2</v>
      </c>
    </row>
    <row r="45" spans="1:2" x14ac:dyDescent="0.25">
      <c r="A45">
        <v>43</v>
      </c>
      <c r="B45">
        <f t="shared" si="0"/>
        <v>4.2822224963135598E-2</v>
      </c>
    </row>
    <row r="46" spans="1:2" x14ac:dyDescent="0.25">
      <c r="A46">
        <v>44</v>
      </c>
      <c r="B46">
        <f t="shared" si="0"/>
        <v>2.9196971565774218E-2</v>
      </c>
    </row>
    <row r="47" spans="1:2" x14ac:dyDescent="0.25">
      <c r="A47">
        <v>45</v>
      </c>
      <c r="B47">
        <f t="shared" si="0"/>
        <v>1.8491415324990351E-2</v>
      </c>
    </row>
    <row r="48" spans="1:2" x14ac:dyDescent="0.25">
      <c r="A48">
        <v>46</v>
      </c>
      <c r="B48">
        <f t="shared" si="0"/>
        <v>1.0853656821189996E-2</v>
      </c>
    </row>
    <row r="49" spans="1:2" x14ac:dyDescent="0.25">
      <c r="A49">
        <v>47</v>
      </c>
      <c r="B49">
        <f t="shared" si="0"/>
        <v>5.8886861476669097E-3</v>
      </c>
    </row>
    <row r="50" spans="1:2" x14ac:dyDescent="0.25">
      <c r="A50">
        <v>48</v>
      </c>
      <c r="B50">
        <f t="shared" si="0"/>
        <v>2.9443430738334575E-3</v>
      </c>
    </row>
    <row r="51" spans="1:2" x14ac:dyDescent="0.25">
      <c r="A51">
        <v>49</v>
      </c>
      <c r="B51">
        <f t="shared" si="0"/>
        <v>1.3519942685969938E-3</v>
      </c>
    </row>
    <row r="52" spans="1:2" x14ac:dyDescent="0.25">
      <c r="A52">
        <v>50</v>
      </c>
      <c r="B52">
        <f t="shared" si="0"/>
        <v>5.6783759281073666E-4</v>
      </c>
    </row>
    <row r="53" spans="1:2" x14ac:dyDescent="0.25">
      <c r="A53">
        <v>51</v>
      </c>
      <c r="B53">
        <f t="shared" si="0"/>
        <v>2.1711437372175192E-4</v>
      </c>
    </row>
    <row r="54" spans="1:2" x14ac:dyDescent="0.25">
      <c r="A54">
        <v>52</v>
      </c>
      <c r="B54">
        <f t="shared" si="0"/>
        <v>7.5154975519068092E-5</v>
      </c>
    </row>
    <row r="55" spans="1:2" x14ac:dyDescent="0.25">
      <c r="A55">
        <v>53</v>
      </c>
      <c r="B55">
        <f t="shared" si="0"/>
        <v>2.3397303699332538E-5</v>
      </c>
    </row>
    <row r="56" spans="1:2" x14ac:dyDescent="0.25">
      <c r="A56">
        <v>54</v>
      </c>
      <c r="B56">
        <f t="shared" si="0"/>
        <v>6.4992510275923523E-6</v>
      </c>
    </row>
    <row r="57" spans="1:2" x14ac:dyDescent="0.25">
      <c r="A57">
        <v>55</v>
      </c>
      <c r="B57">
        <f t="shared" si="0"/>
        <v>1.5952707067726688E-6</v>
      </c>
    </row>
    <row r="58" spans="1:2" x14ac:dyDescent="0.25">
      <c r="A58">
        <v>56</v>
      </c>
      <c r="B58">
        <f t="shared" si="0"/>
        <v>3.4184372287985775E-7</v>
      </c>
    </row>
    <row r="59" spans="1:2" x14ac:dyDescent="0.25">
      <c r="A59">
        <v>57</v>
      </c>
      <c r="B59">
        <f t="shared" si="0"/>
        <v>6.297121210944738E-8</v>
      </c>
    </row>
    <row r="60" spans="1:2" x14ac:dyDescent="0.25">
      <c r="A60">
        <v>58</v>
      </c>
      <c r="B60">
        <f t="shared" si="0"/>
        <v>9.7713949825005413E-9</v>
      </c>
    </row>
    <row r="61" spans="1:2" x14ac:dyDescent="0.25">
      <c r="A61">
        <v>59</v>
      </c>
      <c r="B61">
        <f t="shared" si="0"/>
        <v>1.2421264808263331E-9</v>
      </c>
    </row>
    <row r="62" spans="1:2" x14ac:dyDescent="0.25">
      <c r="A62">
        <v>60</v>
      </c>
      <c r="B62">
        <f t="shared" si="0"/>
        <v>1.2421264808263266E-10</v>
      </c>
    </row>
    <row r="63" spans="1:2" x14ac:dyDescent="0.25">
      <c r="A63">
        <v>61</v>
      </c>
      <c r="B63">
        <f t="shared" si="0"/>
        <v>9.163228137243419E-12</v>
      </c>
    </row>
    <row r="64" spans="1:2" x14ac:dyDescent="0.25">
      <c r="A64">
        <v>62</v>
      </c>
      <c r="B64">
        <f t="shared" si="0"/>
        <v>4.4338200664081378E-13</v>
      </c>
    </row>
    <row r="65" spans="1:2" x14ac:dyDescent="0.25">
      <c r="A65">
        <v>63</v>
      </c>
      <c r="B65">
        <f t="shared" si="0"/>
        <v>1.0556714443828832E-14</v>
      </c>
    </row>
  </sheetData>
  <mergeCells count="4">
    <mergeCell ref="G21:R21"/>
    <mergeCell ref="G22:R22"/>
    <mergeCell ref="G20:R20"/>
    <mergeCell ref="G19:R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  <pageSetUpPr fitToPage="1"/>
  </sheetPr>
  <dimension ref="A1:AE46"/>
  <sheetViews>
    <sheetView workbookViewId="0">
      <selection activeCell="R4" sqref="R4"/>
    </sheetView>
  </sheetViews>
  <sheetFormatPr defaultColWidth="9.140625" defaultRowHeight="15" x14ac:dyDescent="0.25"/>
  <cols>
    <col min="1" max="1" width="3" style="1" bestFit="1" customWidth="1"/>
    <col min="2" max="2" width="5.42578125" style="1" customWidth="1"/>
    <col min="3" max="3" width="5" style="1" bestFit="1" customWidth="1"/>
    <col min="4" max="14" width="4.42578125" style="1" customWidth="1"/>
    <col min="15" max="16" width="9.140625" style="1"/>
    <col min="17" max="17" width="3" style="1" bestFit="1" customWidth="1"/>
    <col min="18" max="18" width="8.140625" style="1" customWidth="1"/>
    <col min="19" max="24" width="9.140625" style="1"/>
    <col min="25" max="25" width="3" style="1" bestFit="1" customWidth="1"/>
    <col min="26" max="16384" width="9.140625" style="1"/>
  </cols>
  <sheetData>
    <row r="1" spans="1:31" x14ac:dyDescent="0.25">
      <c r="A1" s="96" t="s">
        <v>1046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O1" s="1">
        <f>4*(2021-1985)</f>
        <v>144</v>
      </c>
    </row>
    <row r="2" spans="1:31" ht="17.25" customHeight="1" x14ac:dyDescent="0.25">
      <c r="B2" s="97" t="s">
        <v>0</v>
      </c>
      <c r="C2" s="97"/>
      <c r="D2" s="98" t="s">
        <v>1</v>
      </c>
      <c r="E2" s="98"/>
      <c r="F2" s="98" t="s">
        <v>2</v>
      </c>
      <c r="G2" s="98"/>
      <c r="H2" s="98" t="s">
        <v>3</v>
      </c>
      <c r="I2" s="98"/>
      <c r="J2" s="98" t="s">
        <v>4</v>
      </c>
      <c r="K2" s="98"/>
      <c r="L2" s="98" t="s">
        <v>5</v>
      </c>
      <c r="M2" s="98"/>
    </row>
    <row r="3" spans="1:31" x14ac:dyDescent="0.25">
      <c r="B3" s="3" t="s">
        <v>6</v>
      </c>
      <c r="C3" s="2" t="s">
        <v>7</v>
      </c>
      <c r="D3" s="3" t="s">
        <v>6</v>
      </c>
      <c r="E3" s="2" t="s">
        <v>7</v>
      </c>
      <c r="F3" s="3" t="s">
        <v>6</v>
      </c>
      <c r="G3" s="2" t="s">
        <v>7</v>
      </c>
      <c r="H3" s="3" t="s">
        <v>6</v>
      </c>
      <c r="I3" s="2" t="s">
        <v>7</v>
      </c>
      <c r="J3" s="3" t="s">
        <v>6</v>
      </c>
      <c r="K3" s="2" t="s">
        <v>7</v>
      </c>
      <c r="L3" s="3" t="s">
        <v>6</v>
      </c>
      <c r="M3" s="2" t="s">
        <v>7</v>
      </c>
      <c r="O3" s="1" t="s">
        <v>473</v>
      </c>
      <c r="R3" s="1" t="s">
        <v>0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  <c r="Z3" s="1" t="s">
        <v>0</v>
      </c>
      <c r="AA3" s="1" t="s">
        <v>1</v>
      </c>
      <c r="AB3" s="1" t="s">
        <v>2</v>
      </c>
      <c r="AC3" s="1" t="s">
        <v>3</v>
      </c>
      <c r="AD3" s="1" t="s">
        <v>4</v>
      </c>
      <c r="AE3" s="1" t="s">
        <v>5</v>
      </c>
    </row>
    <row r="4" spans="1:31" x14ac:dyDescent="0.25">
      <c r="A4" s="1">
        <v>1</v>
      </c>
      <c r="B4" s="4">
        <f>COUNTIFS('2022 Bracket Picker'!E:E,'Seed History'!A4,'2022 Bracket Picker'!C:C,1)</f>
        <v>143</v>
      </c>
      <c r="C4" s="2">
        <f>$O$1-B4</f>
        <v>1</v>
      </c>
      <c r="D4" s="4">
        <f>COUNTIFS('2022 Bracket Picker'!E:E,'Seed History'!A4,'2022 Bracket Picker'!C:C,2)</f>
        <v>123</v>
      </c>
      <c r="E4" s="2">
        <f>B4-D4</f>
        <v>20</v>
      </c>
      <c r="F4" s="4">
        <f>COUNTIFS('2022 Bracket Picker'!E:E,'Seed History'!A4,'2022 Bracket Picker'!C:C,3)</f>
        <v>100</v>
      </c>
      <c r="G4" s="2">
        <f>D4-F4</f>
        <v>23</v>
      </c>
      <c r="H4" s="4">
        <f>COUNTIFS('2022 Bracket Picker'!E:E,'Seed History'!A4,'2022 Bracket Picker'!C:C,4)</f>
        <v>57</v>
      </c>
      <c r="I4" s="2">
        <f>F4-H4</f>
        <v>43</v>
      </c>
      <c r="J4" s="4">
        <f>COUNTIFS('2022 Bracket Picker'!E:E,'Seed History'!A4,'2022 Bracket Picker'!C:C,5)</f>
        <v>34</v>
      </c>
      <c r="K4" s="2">
        <f>H4-J4</f>
        <v>23</v>
      </c>
      <c r="L4" s="4">
        <f>COUNTIFS('2022 Bracket Picker'!E:E,'Seed History'!A4,'2022 Bracket Picker'!C:C,6)</f>
        <v>22</v>
      </c>
      <c r="M4" s="2">
        <f>J4-L4</f>
        <v>12</v>
      </c>
      <c r="N4" s="1">
        <v>1</v>
      </c>
      <c r="O4" s="1">
        <f>SUM(B4,D4,F4,H4,J4,L4)/$O$1</f>
        <v>3.3263888888888888</v>
      </c>
      <c r="Q4" s="1">
        <v>1</v>
      </c>
      <c r="R4" s="61">
        <f>B4/(B4+C4)</f>
        <v>0.99305555555555558</v>
      </c>
      <c r="S4" s="61">
        <f>D4/(D4+E4)</f>
        <v>0.8601398601398601</v>
      </c>
      <c r="T4" s="61">
        <f>F4/(F4+G4)</f>
        <v>0.81300813008130079</v>
      </c>
      <c r="U4" s="61">
        <f>H4/(H4+I4)</f>
        <v>0.56999999999999995</v>
      </c>
      <c r="V4" s="61">
        <f>J4/(J4+K4)</f>
        <v>0.59649122807017541</v>
      </c>
      <c r="W4" s="61">
        <f>L4/(L4+M4)</f>
        <v>0.6470588235294118</v>
      </c>
      <c r="Y4" s="1">
        <v>1</v>
      </c>
      <c r="Z4" s="28">
        <f t="shared" ref="Z4:Z19" si="0">B4^2/(B4+C4)</f>
        <v>142.00694444444446</v>
      </c>
      <c r="AA4" s="28">
        <f t="shared" ref="AA4:AA18" si="1">D4^2/(D4+E4)</f>
        <v>105.7972027972028</v>
      </c>
      <c r="AB4" s="28">
        <f t="shared" ref="AB4:AB18" si="2">F4^2/(F4+G4)</f>
        <v>81.300813008130078</v>
      </c>
      <c r="AC4" s="28">
        <f t="shared" ref="AC4:AC15" si="3">H4^2/(H4+I4)</f>
        <v>32.49</v>
      </c>
      <c r="AD4" s="28">
        <f t="shared" ref="AD4:AD12" si="4">J4^2/(J4+K4)</f>
        <v>20.280701754385966</v>
      </c>
      <c r="AE4" s="28">
        <f t="shared" ref="AE4:AE11" si="5">L4^2/(L4+M4)</f>
        <v>14.235294117647058</v>
      </c>
    </row>
    <row r="5" spans="1:31" x14ac:dyDescent="0.25">
      <c r="A5" s="1">
        <v>2</v>
      </c>
      <c r="B5" s="4">
        <f>COUNTIFS('2022 Bracket Picker'!E:E,'Seed History'!A5,'2022 Bracket Picker'!C:C,1)</f>
        <v>135</v>
      </c>
      <c r="C5" s="2">
        <f t="shared" ref="C5:C19" si="6">$O$1-B5</f>
        <v>9</v>
      </c>
      <c r="D5" s="4">
        <f>COUNTIFS('2022 Bracket Picker'!E:E,'Seed History'!A5,'2022 Bracket Picker'!C:C,2)</f>
        <v>91</v>
      </c>
      <c r="E5" s="2">
        <f t="shared" ref="E5:E19" si="7">B5-D5</f>
        <v>44</v>
      </c>
      <c r="F5" s="4">
        <f>COUNTIFS('2022 Bracket Picker'!E:E,'Seed History'!A5,'2022 Bracket Picker'!C:C,3)</f>
        <v>65</v>
      </c>
      <c r="G5" s="2">
        <f t="shared" ref="G5:G19" si="8">D5-F5</f>
        <v>26</v>
      </c>
      <c r="H5" s="4">
        <f>COUNTIFS('2022 Bracket Picker'!E:E,'Seed History'!A5,'2022 Bracket Picker'!C:C,4)</f>
        <v>29</v>
      </c>
      <c r="I5" s="2">
        <f t="shared" ref="I5:I19" si="9">F5-H5</f>
        <v>36</v>
      </c>
      <c r="J5" s="4">
        <f>COUNTIFS('2022 Bracket Picker'!E:E,'Seed History'!A5,'2022 Bracket Picker'!C:C,5)</f>
        <v>13</v>
      </c>
      <c r="K5" s="2">
        <f t="shared" ref="K5:K19" si="10">H5-J5</f>
        <v>16</v>
      </c>
      <c r="L5" s="4">
        <f>COUNTIFS('2022 Bracket Picker'!E:E,'Seed History'!A5,'2022 Bracket Picker'!C:C,6)</f>
        <v>5</v>
      </c>
      <c r="M5" s="2">
        <f t="shared" ref="M5:M19" si="11">J5-L5</f>
        <v>8</v>
      </c>
      <c r="N5" s="1">
        <v>2</v>
      </c>
      <c r="O5" s="1">
        <f t="shared" ref="O5:O19" si="12">SUM(B5,D5,F5,H5,J5,L5)/$O$1</f>
        <v>2.3472222222222223</v>
      </c>
      <c r="Q5" s="1">
        <v>2</v>
      </c>
      <c r="R5" s="61">
        <f t="shared" ref="R5:R19" si="13">B5/(B5+C5)</f>
        <v>0.9375</v>
      </c>
      <c r="S5" s="61">
        <f t="shared" ref="S5:S17" si="14">D5/(D5+E5)</f>
        <v>0.67407407407407405</v>
      </c>
      <c r="T5" s="61">
        <f t="shared" ref="T5:T18" si="15">F5/(F5+G5)</f>
        <v>0.7142857142857143</v>
      </c>
      <c r="U5" s="61">
        <f t="shared" ref="U5:U15" si="16">H5/(H5+I5)</f>
        <v>0.44615384615384618</v>
      </c>
      <c r="V5" s="61">
        <f t="shared" ref="V5:V14" si="17">J5/(J5+K5)</f>
        <v>0.44827586206896552</v>
      </c>
      <c r="W5" s="61">
        <f t="shared" ref="W5:W11" si="18">L5/(L5+M5)</f>
        <v>0.38461538461538464</v>
      </c>
      <c r="Y5" s="1">
        <v>2</v>
      </c>
      <c r="Z5" s="28">
        <f t="shared" si="0"/>
        <v>126.5625</v>
      </c>
      <c r="AA5" s="28">
        <f t="shared" si="1"/>
        <v>61.340740740740742</v>
      </c>
      <c r="AB5" s="28">
        <f t="shared" si="2"/>
        <v>46.428571428571431</v>
      </c>
      <c r="AC5" s="28">
        <f t="shared" si="3"/>
        <v>12.938461538461539</v>
      </c>
      <c r="AD5" s="28">
        <f t="shared" si="4"/>
        <v>5.8275862068965516</v>
      </c>
      <c r="AE5" s="28">
        <f t="shared" si="5"/>
        <v>1.9230769230769231</v>
      </c>
    </row>
    <row r="6" spans="1:31" x14ac:dyDescent="0.25">
      <c r="A6" s="1">
        <v>3</v>
      </c>
      <c r="B6" s="4">
        <f>COUNTIFS('2022 Bracket Picker'!E:E,'Seed History'!A6,'2022 Bracket Picker'!C:C,1)</f>
        <v>122</v>
      </c>
      <c r="C6" s="2">
        <f t="shared" si="6"/>
        <v>22</v>
      </c>
      <c r="D6" s="4">
        <f>COUNTIFS('2022 Bracket Picker'!E:E,'Seed History'!A6,'2022 Bracket Picker'!C:C,2)</f>
        <v>75</v>
      </c>
      <c r="E6" s="2">
        <f t="shared" si="7"/>
        <v>47</v>
      </c>
      <c r="F6" s="4">
        <f>COUNTIFS('2022 Bracket Picker'!E:E,'Seed History'!A6,'2022 Bracket Picker'!C:C,3)</f>
        <v>37</v>
      </c>
      <c r="G6" s="2">
        <f t="shared" si="8"/>
        <v>38</v>
      </c>
      <c r="H6" s="4">
        <f>COUNTIFS('2022 Bracket Picker'!E:E,'Seed History'!A6,'2022 Bracket Picker'!C:C,4)</f>
        <v>17</v>
      </c>
      <c r="I6" s="2">
        <f t="shared" si="9"/>
        <v>20</v>
      </c>
      <c r="J6" s="4">
        <f>COUNTIFS('2022 Bracket Picker'!E:E,'Seed History'!A6,'2022 Bracket Picker'!C:C,5)</f>
        <v>11</v>
      </c>
      <c r="K6" s="2">
        <f t="shared" si="10"/>
        <v>6</v>
      </c>
      <c r="L6" s="4">
        <f>COUNTIFS('2022 Bracket Picker'!E:E,'Seed History'!A6,'2022 Bracket Picker'!C:C,6)</f>
        <v>4</v>
      </c>
      <c r="M6" s="2">
        <f t="shared" si="11"/>
        <v>7</v>
      </c>
      <c r="N6" s="1">
        <v>3</v>
      </c>
      <c r="O6" s="1">
        <f t="shared" si="12"/>
        <v>1.8472222222222223</v>
      </c>
      <c r="Q6" s="1">
        <v>3</v>
      </c>
      <c r="R6" s="61">
        <f t="shared" si="13"/>
        <v>0.84722222222222221</v>
      </c>
      <c r="S6" s="61">
        <f t="shared" si="14"/>
        <v>0.61475409836065575</v>
      </c>
      <c r="T6" s="61">
        <f t="shared" si="15"/>
        <v>0.49333333333333335</v>
      </c>
      <c r="U6" s="61">
        <f t="shared" si="16"/>
        <v>0.45945945945945948</v>
      </c>
      <c r="V6" s="61">
        <f t="shared" si="17"/>
        <v>0.6470588235294118</v>
      </c>
      <c r="W6" s="61">
        <f t="shared" si="18"/>
        <v>0.36363636363636365</v>
      </c>
      <c r="Y6" s="1">
        <v>3</v>
      </c>
      <c r="Z6" s="28">
        <f t="shared" si="0"/>
        <v>103.36111111111111</v>
      </c>
      <c r="AA6" s="28">
        <f t="shared" si="1"/>
        <v>46.106557377049178</v>
      </c>
      <c r="AB6" s="28">
        <f t="shared" si="2"/>
        <v>18.253333333333334</v>
      </c>
      <c r="AC6" s="28">
        <f t="shared" si="3"/>
        <v>7.8108108108108105</v>
      </c>
      <c r="AD6" s="28">
        <f t="shared" si="4"/>
        <v>7.117647058823529</v>
      </c>
      <c r="AE6" s="28">
        <f t="shared" si="5"/>
        <v>1.4545454545454546</v>
      </c>
    </row>
    <row r="7" spans="1:31" x14ac:dyDescent="0.25">
      <c r="A7" s="1">
        <v>4</v>
      </c>
      <c r="B7" s="4">
        <f>COUNTIFS('2022 Bracket Picker'!E:E,'Seed History'!A7,'2022 Bracket Picker'!C:C,1)</f>
        <v>114</v>
      </c>
      <c r="C7" s="2">
        <f t="shared" si="6"/>
        <v>30</v>
      </c>
      <c r="D7" s="4">
        <f>COUNTIFS('2022 Bracket Picker'!E:E,'Seed History'!A7,'2022 Bracket Picker'!C:C,2)</f>
        <v>67</v>
      </c>
      <c r="E7" s="2">
        <f t="shared" si="7"/>
        <v>47</v>
      </c>
      <c r="F7" s="4">
        <f>COUNTIFS('2022 Bracket Picker'!E:E,'Seed History'!A7,'2022 Bracket Picker'!C:C,3)</f>
        <v>21</v>
      </c>
      <c r="G7" s="2">
        <f t="shared" si="8"/>
        <v>46</v>
      </c>
      <c r="H7" s="4">
        <f>COUNTIFS('2022 Bracket Picker'!E:E,'Seed History'!A7,'2022 Bracket Picker'!C:C,4)</f>
        <v>13</v>
      </c>
      <c r="I7" s="2">
        <f t="shared" si="9"/>
        <v>8</v>
      </c>
      <c r="J7" s="4">
        <f>COUNTIFS('2022 Bracket Picker'!E:E,'Seed History'!A7,'2022 Bracket Picker'!C:C,5)</f>
        <v>3</v>
      </c>
      <c r="K7" s="2">
        <f t="shared" si="10"/>
        <v>10</v>
      </c>
      <c r="L7" s="4">
        <f>COUNTIFS('2022 Bracket Picker'!E:E,'Seed History'!A7,'2022 Bracket Picker'!C:C,6)</f>
        <v>1</v>
      </c>
      <c r="M7" s="2">
        <f t="shared" si="11"/>
        <v>2</v>
      </c>
      <c r="N7" s="1">
        <v>4</v>
      </c>
      <c r="O7" s="1">
        <f t="shared" si="12"/>
        <v>1.5208333333333333</v>
      </c>
      <c r="Q7" s="1">
        <v>4</v>
      </c>
      <c r="R7" s="61">
        <f t="shared" si="13"/>
        <v>0.79166666666666663</v>
      </c>
      <c r="S7" s="61">
        <f t="shared" si="14"/>
        <v>0.58771929824561409</v>
      </c>
      <c r="T7" s="61">
        <f t="shared" si="15"/>
        <v>0.31343283582089554</v>
      </c>
      <c r="U7" s="61">
        <f t="shared" si="16"/>
        <v>0.61904761904761907</v>
      </c>
      <c r="V7" s="61">
        <f t="shared" si="17"/>
        <v>0.23076923076923078</v>
      </c>
      <c r="W7" s="61">
        <f t="shared" si="18"/>
        <v>0.33333333333333331</v>
      </c>
      <c r="Y7" s="1">
        <v>4</v>
      </c>
      <c r="Z7" s="28">
        <f t="shared" si="0"/>
        <v>90.25</v>
      </c>
      <c r="AA7" s="28">
        <f t="shared" si="1"/>
        <v>39.377192982456137</v>
      </c>
      <c r="AB7" s="28">
        <f t="shared" si="2"/>
        <v>6.5820895522388057</v>
      </c>
      <c r="AC7" s="28">
        <f t="shared" si="3"/>
        <v>8.0476190476190474</v>
      </c>
      <c r="AD7" s="28">
        <f t="shared" si="4"/>
        <v>0.69230769230769229</v>
      </c>
      <c r="AE7" s="28">
        <f t="shared" si="5"/>
        <v>0.33333333333333331</v>
      </c>
    </row>
    <row r="8" spans="1:31" x14ac:dyDescent="0.25">
      <c r="A8" s="1">
        <v>5</v>
      </c>
      <c r="B8" s="4">
        <f>COUNTIFS('2022 Bracket Picker'!E:E,'Seed History'!A8,'2022 Bracket Picker'!C:C,1)</f>
        <v>93</v>
      </c>
      <c r="C8" s="2">
        <f t="shared" si="6"/>
        <v>51</v>
      </c>
      <c r="D8" s="4">
        <f>COUNTIFS('2022 Bracket Picker'!E:E,'Seed History'!A8,'2022 Bracket Picker'!C:C,2)</f>
        <v>49</v>
      </c>
      <c r="E8" s="2">
        <f t="shared" si="7"/>
        <v>44</v>
      </c>
      <c r="F8" s="4">
        <f>COUNTIFS('2022 Bracket Picker'!E:E,'Seed History'!A8,'2022 Bracket Picker'!C:C,3)</f>
        <v>9</v>
      </c>
      <c r="G8" s="2">
        <f t="shared" si="8"/>
        <v>40</v>
      </c>
      <c r="H8" s="4">
        <f>COUNTIFS('2022 Bracket Picker'!E:E,'Seed History'!A8,'2022 Bracket Picker'!C:C,4)</f>
        <v>7</v>
      </c>
      <c r="I8" s="2">
        <f t="shared" si="9"/>
        <v>2</v>
      </c>
      <c r="J8" s="4">
        <f>COUNTIFS('2022 Bracket Picker'!E:E,'Seed History'!A8,'2022 Bracket Picker'!C:C,5)</f>
        <v>3</v>
      </c>
      <c r="K8" s="2">
        <f t="shared" si="10"/>
        <v>4</v>
      </c>
      <c r="L8" s="4">
        <f>COUNTIFS('2022 Bracket Picker'!E:E,'Seed History'!A8,'2022 Bracket Picker'!C:C,6)</f>
        <v>0</v>
      </c>
      <c r="M8" s="2">
        <f t="shared" si="11"/>
        <v>3</v>
      </c>
      <c r="N8" s="1">
        <v>5</v>
      </c>
      <c r="O8" s="1">
        <f t="shared" si="12"/>
        <v>1.1180555555555556</v>
      </c>
      <c r="Q8" s="1">
        <v>5</v>
      </c>
      <c r="R8" s="61">
        <f t="shared" si="13"/>
        <v>0.64583333333333337</v>
      </c>
      <c r="S8" s="61">
        <f t="shared" si="14"/>
        <v>0.5268817204301075</v>
      </c>
      <c r="T8" s="61">
        <f t="shared" si="15"/>
        <v>0.18367346938775511</v>
      </c>
      <c r="U8" s="61">
        <f t="shared" si="16"/>
        <v>0.77777777777777779</v>
      </c>
      <c r="V8" s="61">
        <f t="shared" si="17"/>
        <v>0.42857142857142855</v>
      </c>
      <c r="W8" s="61">
        <f t="shared" si="18"/>
        <v>0</v>
      </c>
      <c r="Y8" s="1">
        <v>5</v>
      </c>
      <c r="Z8" s="28">
        <f t="shared" si="0"/>
        <v>60.0625</v>
      </c>
      <c r="AA8" s="28">
        <f t="shared" si="1"/>
        <v>25.817204301075268</v>
      </c>
      <c r="AB8" s="28">
        <f t="shared" si="2"/>
        <v>1.653061224489796</v>
      </c>
      <c r="AC8" s="28">
        <f t="shared" si="3"/>
        <v>5.4444444444444446</v>
      </c>
      <c r="AD8" s="28">
        <f t="shared" si="4"/>
        <v>1.2857142857142858</v>
      </c>
      <c r="AE8" s="28">
        <f t="shared" si="5"/>
        <v>0</v>
      </c>
    </row>
    <row r="9" spans="1:31" x14ac:dyDescent="0.25">
      <c r="A9" s="1">
        <v>6</v>
      </c>
      <c r="B9" s="4">
        <f>COUNTIFS('2022 Bracket Picker'!E:E,'Seed History'!A9,'2022 Bracket Picker'!C:C,1)</f>
        <v>89</v>
      </c>
      <c r="C9" s="2">
        <f t="shared" si="6"/>
        <v>55</v>
      </c>
      <c r="D9" s="4">
        <f>COUNTIFS('2022 Bracket Picker'!E:E,'Seed History'!A9,'2022 Bracket Picker'!C:C,2)</f>
        <v>43</v>
      </c>
      <c r="E9" s="2">
        <f t="shared" si="7"/>
        <v>46</v>
      </c>
      <c r="F9" s="4">
        <f>COUNTIFS('2022 Bracket Picker'!E:E,'Seed History'!A9,'2022 Bracket Picker'!C:C,3)</f>
        <v>15</v>
      </c>
      <c r="G9" s="2">
        <f t="shared" si="8"/>
        <v>28</v>
      </c>
      <c r="H9" s="4">
        <f>COUNTIFS('2022 Bracket Picker'!E:E,'Seed History'!A9,'2022 Bracket Picker'!C:C,4)</f>
        <v>3</v>
      </c>
      <c r="I9" s="2">
        <f t="shared" si="9"/>
        <v>12</v>
      </c>
      <c r="J9" s="4">
        <f>COUNTIFS('2022 Bracket Picker'!E:E,'Seed History'!A9,'2022 Bracket Picker'!C:C,5)</f>
        <v>2</v>
      </c>
      <c r="K9" s="2">
        <f t="shared" si="10"/>
        <v>1</v>
      </c>
      <c r="L9" s="4">
        <f>COUNTIFS('2022 Bracket Picker'!E:E,'Seed History'!A9,'2022 Bracket Picker'!C:C,6)</f>
        <v>1</v>
      </c>
      <c r="M9" s="2">
        <f t="shared" si="11"/>
        <v>1</v>
      </c>
      <c r="N9" s="1">
        <v>6</v>
      </c>
      <c r="O9" s="1">
        <f t="shared" si="12"/>
        <v>1.0625</v>
      </c>
      <c r="Q9" s="1">
        <v>6</v>
      </c>
      <c r="R9" s="61">
        <f t="shared" si="13"/>
        <v>0.61805555555555558</v>
      </c>
      <c r="S9" s="61">
        <f t="shared" si="14"/>
        <v>0.48314606741573035</v>
      </c>
      <c r="T9" s="61">
        <f t="shared" si="15"/>
        <v>0.34883720930232559</v>
      </c>
      <c r="U9" s="61">
        <f t="shared" si="16"/>
        <v>0.2</v>
      </c>
      <c r="V9" s="61">
        <f t="shared" si="17"/>
        <v>0.66666666666666663</v>
      </c>
      <c r="W9" s="61">
        <f t="shared" si="18"/>
        <v>0.5</v>
      </c>
      <c r="Y9" s="1">
        <v>6</v>
      </c>
      <c r="Z9" s="28">
        <f t="shared" si="0"/>
        <v>55.006944444444443</v>
      </c>
      <c r="AA9" s="28">
        <f t="shared" si="1"/>
        <v>20.775280898876403</v>
      </c>
      <c r="AB9" s="28">
        <f t="shared" si="2"/>
        <v>5.2325581395348841</v>
      </c>
      <c r="AC9" s="28">
        <f t="shared" si="3"/>
        <v>0.6</v>
      </c>
      <c r="AD9" s="28">
        <f t="shared" si="4"/>
        <v>1.3333333333333333</v>
      </c>
      <c r="AE9" s="28">
        <f t="shared" si="5"/>
        <v>0.5</v>
      </c>
    </row>
    <row r="10" spans="1:31" x14ac:dyDescent="0.25">
      <c r="A10" s="1">
        <v>7</v>
      </c>
      <c r="B10" s="4">
        <f>COUNTIFS('2022 Bracket Picker'!E:E,'Seed History'!A10,'2022 Bracket Picker'!C:C,1)</f>
        <v>87</v>
      </c>
      <c r="C10" s="2">
        <f t="shared" si="6"/>
        <v>57</v>
      </c>
      <c r="D10" s="4">
        <f>COUNTIFS('2022 Bracket Picker'!E:E,'Seed History'!A10,'2022 Bracket Picker'!C:C,2)</f>
        <v>28</v>
      </c>
      <c r="E10" s="2">
        <f t="shared" si="7"/>
        <v>59</v>
      </c>
      <c r="F10" s="4">
        <f>COUNTIFS('2022 Bracket Picker'!E:E,'Seed History'!A10,'2022 Bracket Picker'!C:C,3)</f>
        <v>10</v>
      </c>
      <c r="G10" s="2">
        <f t="shared" si="8"/>
        <v>18</v>
      </c>
      <c r="H10" s="4">
        <f>COUNTIFS('2022 Bracket Picker'!E:E,'Seed History'!A10,'2022 Bracket Picker'!C:C,4)</f>
        <v>3</v>
      </c>
      <c r="I10" s="2">
        <f t="shared" si="9"/>
        <v>7</v>
      </c>
      <c r="J10" s="4">
        <f>COUNTIFS('2022 Bracket Picker'!E:E,'Seed History'!A10,'2022 Bracket Picker'!C:C,5)</f>
        <v>1</v>
      </c>
      <c r="K10" s="2">
        <f t="shared" si="10"/>
        <v>2</v>
      </c>
      <c r="L10" s="4">
        <f>COUNTIFS('2022 Bracket Picker'!E:E,'Seed History'!A10,'2022 Bracket Picker'!C:C,6)</f>
        <v>1</v>
      </c>
      <c r="M10" s="2">
        <f t="shared" si="11"/>
        <v>0</v>
      </c>
      <c r="N10" s="1">
        <v>7</v>
      </c>
      <c r="O10" s="1">
        <f t="shared" si="12"/>
        <v>0.90277777777777779</v>
      </c>
      <c r="Q10" s="1">
        <v>7</v>
      </c>
      <c r="R10" s="61">
        <f t="shared" si="13"/>
        <v>0.60416666666666663</v>
      </c>
      <c r="S10" s="61">
        <f t="shared" si="14"/>
        <v>0.32183908045977011</v>
      </c>
      <c r="T10" s="61">
        <f t="shared" si="15"/>
        <v>0.35714285714285715</v>
      </c>
      <c r="U10" s="61">
        <f t="shared" si="16"/>
        <v>0.3</v>
      </c>
      <c r="V10" s="61">
        <f t="shared" si="17"/>
        <v>0.33333333333333331</v>
      </c>
      <c r="W10" s="61">
        <f t="shared" si="18"/>
        <v>1</v>
      </c>
      <c r="Y10" s="1">
        <v>7</v>
      </c>
      <c r="Z10" s="28">
        <f t="shared" si="0"/>
        <v>52.5625</v>
      </c>
      <c r="AA10" s="28">
        <f t="shared" si="1"/>
        <v>9.0114942528735629</v>
      </c>
      <c r="AB10" s="28">
        <f t="shared" si="2"/>
        <v>3.5714285714285716</v>
      </c>
      <c r="AC10" s="28">
        <f t="shared" si="3"/>
        <v>0.9</v>
      </c>
      <c r="AD10" s="28">
        <f t="shared" si="4"/>
        <v>0.33333333333333331</v>
      </c>
      <c r="AE10" s="28">
        <f t="shared" si="5"/>
        <v>1</v>
      </c>
    </row>
    <row r="11" spans="1:31" x14ac:dyDescent="0.25">
      <c r="A11" s="1">
        <v>8</v>
      </c>
      <c r="B11" s="4">
        <f>COUNTIFS('2022 Bracket Picker'!E:E,'Seed History'!A11,'2022 Bracket Picker'!C:C,1)</f>
        <v>71</v>
      </c>
      <c r="C11" s="2">
        <f t="shared" si="6"/>
        <v>73</v>
      </c>
      <c r="D11" s="4">
        <f>COUNTIFS('2022 Bracket Picker'!E:E,'Seed History'!A11,'2022 Bracket Picker'!C:C,2)</f>
        <v>14</v>
      </c>
      <c r="E11" s="2">
        <f t="shared" si="7"/>
        <v>57</v>
      </c>
      <c r="F11" s="4">
        <f>COUNTIFS('2022 Bracket Picker'!E:E,'Seed History'!A11,'2022 Bracket Picker'!C:C,3)</f>
        <v>8</v>
      </c>
      <c r="G11" s="2">
        <f t="shared" si="8"/>
        <v>6</v>
      </c>
      <c r="H11" s="4">
        <f>COUNTIFS('2022 Bracket Picker'!E:E,'Seed History'!A11,'2022 Bracket Picker'!C:C,4)</f>
        <v>5</v>
      </c>
      <c r="I11" s="2">
        <f t="shared" si="9"/>
        <v>3</v>
      </c>
      <c r="J11" s="4">
        <f>COUNTIFS('2022 Bracket Picker'!E:E,'Seed History'!A11,'2022 Bracket Picker'!C:C,5)</f>
        <v>3</v>
      </c>
      <c r="K11" s="2">
        <f t="shared" si="10"/>
        <v>2</v>
      </c>
      <c r="L11" s="4">
        <f>COUNTIFS('2022 Bracket Picker'!E:E,'Seed History'!A11,'2022 Bracket Picker'!C:C,6)</f>
        <v>1</v>
      </c>
      <c r="M11" s="2">
        <f t="shared" si="11"/>
        <v>2</v>
      </c>
      <c r="N11" s="1">
        <v>8</v>
      </c>
      <c r="O11" s="1">
        <f t="shared" si="12"/>
        <v>0.70833333333333337</v>
      </c>
      <c r="Q11" s="1">
        <v>8</v>
      </c>
      <c r="R11" s="61">
        <f t="shared" si="13"/>
        <v>0.49305555555555558</v>
      </c>
      <c r="S11" s="61">
        <f t="shared" si="14"/>
        <v>0.19718309859154928</v>
      </c>
      <c r="T11" s="61">
        <f t="shared" si="15"/>
        <v>0.5714285714285714</v>
      </c>
      <c r="U11" s="61">
        <f t="shared" si="16"/>
        <v>0.625</v>
      </c>
      <c r="V11" s="61">
        <f t="shared" si="17"/>
        <v>0.6</v>
      </c>
      <c r="W11" s="61">
        <f t="shared" si="18"/>
        <v>0.33333333333333331</v>
      </c>
      <c r="Y11" s="1">
        <v>8</v>
      </c>
      <c r="Z11" s="28">
        <f t="shared" si="0"/>
        <v>35.006944444444443</v>
      </c>
      <c r="AA11" s="28">
        <f t="shared" si="1"/>
        <v>2.76056338028169</v>
      </c>
      <c r="AB11" s="28">
        <f t="shared" si="2"/>
        <v>4.5714285714285712</v>
      </c>
      <c r="AC11" s="28">
        <f t="shared" si="3"/>
        <v>3.125</v>
      </c>
      <c r="AD11" s="28">
        <f t="shared" si="4"/>
        <v>1.8</v>
      </c>
      <c r="AE11" s="28">
        <f t="shared" si="5"/>
        <v>0.33333333333333331</v>
      </c>
    </row>
    <row r="12" spans="1:31" x14ac:dyDescent="0.25">
      <c r="A12" s="1">
        <v>9</v>
      </c>
      <c r="B12" s="4">
        <f>COUNTIFS('2022 Bracket Picker'!E:E,'Seed History'!A12,'2022 Bracket Picker'!C:C,1)</f>
        <v>73</v>
      </c>
      <c r="C12" s="2">
        <f t="shared" si="6"/>
        <v>71</v>
      </c>
      <c r="D12" s="4">
        <f>COUNTIFS('2022 Bracket Picker'!E:E,'Seed History'!A12,'2022 Bracket Picker'!C:C,2)</f>
        <v>7</v>
      </c>
      <c r="E12" s="2">
        <f t="shared" si="7"/>
        <v>66</v>
      </c>
      <c r="F12" s="4">
        <f>COUNTIFS('2022 Bracket Picker'!E:E,'Seed History'!A12,'2022 Bracket Picker'!C:C,3)</f>
        <v>4</v>
      </c>
      <c r="G12" s="2">
        <f t="shared" si="8"/>
        <v>3</v>
      </c>
      <c r="H12" s="4">
        <f>COUNTIFS('2022 Bracket Picker'!E:E,'Seed History'!A12,'2022 Bracket Picker'!C:C,4)</f>
        <v>1</v>
      </c>
      <c r="I12" s="2">
        <f t="shared" si="9"/>
        <v>3</v>
      </c>
      <c r="J12" s="4">
        <f>COUNTIFS('2022 Bracket Picker'!E:E,'Seed History'!A12,'2022 Bracket Picker'!C:C,5)</f>
        <v>0</v>
      </c>
      <c r="K12" s="2">
        <f t="shared" si="10"/>
        <v>1</v>
      </c>
      <c r="L12" s="4">
        <f>COUNTIFS('2022 Bracket Picker'!E:E,'Seed History'!A12,'2022 Bracket Picker'!C:C,6)</f>
        <v>0</v>
      </c>
      <c r="M12" s="2">
        <f t="shared" si="11"/>
        <v>0</v>
      </c>
      <c r="N12" s="1">
        <v>9</v>
      </c>
      <c r="O12" s="1">
        <f t="shared" si="12"/>
        <v>0.59027777777777779</v>
      </c>
      <c r="Q12" s="1">
        <v>9</v>
      </c>
      <c r="R12" s="61">
        <f t="shared" si="13"/>
        <v>0.50694444444444442</v>
      </c>
      <c r="S12" s="61">
        <f t="shared" si="14"/>
        <v>9.5890410958904104E-2</v>
      </c>
      <c r="T12" s="61">
        <f t="shared" si="15"/>
        <v>0.5714285714285714</v>
      </c>
      <c r="U12" s="61">
        <f t="shared" si="16"/>
        <v>0.25</v>
      </c>
      <c r="V12" s="61">
        <f t="shared" si="17"/>
        <v>0</v>
      </c>
      <c r="W12" s="61"/>
      <c r="Y12" s="1">
        <v>9</v>
      </c>
      <c r="Z12" s="28">
        <f t="shared" si="0"/>
        <v>37.006944444444443</v>
      </c>
      <c r="AA12" s="28">
        <f t="shared" si="1"/>
        <v>0.67123287671232879</v>
      </c>
      <c r="AB12" s="28">
        <f t="shared" si="2"/>
        <v>2.2857142857142856</v>
      </c>
      <c r="AC12" s="28">
        <f t="shared" si="3"/>
        <v>0.25</v>
      </c>
      <c r="AD12" s="28">
        <f t="shared" si="4"/>
        <v>0</v>
      </c>
      <c r="AE12" s="28"/>
    </row>
    <row r="13" spans="1:31" x14ac:dyDescent="0.25">
      <c r="A13" s="1">
        <v>10</v>
      </c>
      <c r="B13" s="4">
        <f>COUNTIFS('2022 Bracket Picker'!E:E,'Seed History'!A13,'2022 Bracket Picker'!C:C,1)</f>
        <v>57</v>
      </c>
      <c r="C13" s="2">
        <f t="shared" si="6"/>
        <v>87</v>
      </c>
      <c r="D13" s="4">
        <f>COUNTIFS('2022 Bracket Picker'!E:E,'Seed History'!A13,'2022 Bracket Picker'!C:C,2)</f>
        <v>23</v>
      </c>
      <c r="E13" s="2">
        <f t="shared" si="7"/>
        <v>34</v>
      </c>
      <c r="F13" s="4">
        <f>COUNTIFS('2022 Bracket Picker'!E:E,'Seed History'!A13,'2022 Bracket Picker'!C:C,3)</f>
        <v>8</v>
      </c>
      <c r="G13" s="2">
        <f t="shared" si="8"/>
        <v>15</v>
      </c>
      <c r="H13" s="4">
        <f>COUNTIFS('2022 Bracket Picker'!E:E,'Seed History'!A13,'2022 Bracket Picker'!C:C,4)</f>
        <v>1</v>
      </c>
      <c r="I13" s="2">
        <f t="shared" si="9"/>
        <v>7</v>
      </c>
      <c r="J13" s="4">
        <f>COUNTIFS('2022 Bracket Picker'!E:E,'Seed History'!A13,'2022 Bracket Picker'!C:C,5)</f>
        <v>0</v>
      </c>
      <c r="K13" s="2">
        <f t="shared" si="10"/>
        <v>1</v>
      </c>
      <c r="L13" s="4">
        <f>COUNTIFS('2022 Bracket Picker'!E:E,'Seed History'!A13,'2022 Bracket Picker'!C:C,6)</f>
        <v>0</v>
      </c>
      <c r="M13" s="2">
        <f t="shared" si="11"/>
        <v>0</v>
      </c>
      <c r="N13" s="1">
        <v>10</v>
      </c>
      <c r="O13" s="1">
        <f t="shared" si="12"/>
        <v>0.61805555555555558</v>
      </c>
      <c r="Q13" s="1">
        <v>10</v>
      </c>
      <c r="R13" s="61">
        <f t="shared" si="13"/>
        <v>0.39583333333333331</v>
      </c>
      <c r="S13" s="61">
        <f t="shared" si="14"/>
        <v>0.40350877192982454</v>
      </c>
      <c r="T13" s="61">
        <f t="shared" si="15"/>
        <v>0.34782608695652173</v>
      </c>
      <c r="U13" s="61">
        <f t="shared" si="16"/>
        <v>0.125</v>
      </c>
      <c r="V13" s="61">
        <f t="shared" si="17"/>
        <v>0</v>
      </c>
      <c r="W13" s="61"/>
      <c r="Y13" s="1">
        <v>10</v>
      </c>
      <c r="Z13" s="28">
        <f t="shared" si="0"/>
        <v>22.5625</v>
      </c>
      <c r="AA13" s="28">
        <f t="shared" si="1"/>
        <v>9.2807017543859658</v>
      </c>
      <c r="AB13" s="28">
        <f t="shared" si="2"/>
        <v>2.7826086956521738</v>
      </c>
      <c r="AC13" s="28">
        <f t="shared" si="3"/>
        <v>0.125</v>
      </c>
      <c r="AD13" s="28"/>
      <c r="AE13" s="28"/>
    </row>
    <row r="14" spans="1:31" x14ac:dyDescent="0.25">
      <c r="A14" s="1">
        <v>11</v>
      </c>
      <c r="B14" s="4">
        <f>COUNTIFS('2022 Bracket Picker'!E:E,'Seed History'!A14,'2022 Bracket Picker'!C:C,1)</f>
        <v>54</v>
      </c>
      <c r="C14" s="2">
        <f t="shared" si="6"/>
        <v>90</v>
      </c>
      <c r="D14" s="4">
        <f>COUNTIFS('2022 Bracket Picker'!E:E,'Seed History'!A14,'2022 Bracket Picker'!C:C,2)</f>
        <v>24</v>
      </c>
      <c r="E14" s="2">
        <f t="shared" si="7"/>
        <v>30</v>
      </c>
      <c r="F14" s="4">
        <f>COUNTIFS('2022 Bracket Picker'!E:E,'Seed History'!A14,'2022 Bracket Picker'!C:C,3)</f>
        <v>9</v>
      </c>
      <c r="G14" s="2">
        <f t="shared" si="8"/>
        <v>15</v>
      </c>
      <c r="H14" s="4">
        <f>COUNTIFS('2022 Bracket Picker'!E:E,'Seed History'!A14,'2022 Bracket Picker'!C:C,4)</f>
        <v>4</v>
      </c>
      <c r="I14" s="2">
        <f t="shared" si="9"/>
        <v>5</v>
      </c>
      <c r="J14" s="4">
        <f>COUNTIFS('2022 Bracket Picker'!E:E,'Seed History'!A14,'2022 Bracket Picker'!C:C,5)</f>
        <v>0</v>
      </c>
      <c r="K14" s="2">
        <f t="shared" si="10"/>
        <v>4</v>
      </c>
      <c r="L14" s="4">
        <f>COUNTIFS('2022 Bracket Picker'!E:E,'Seed History'!A14,'2022 Bracket Picker'!C:C,6)</f>
        <v>0</v>
      </c>
      <c r="M14" s="2">
        <f t="shared" si="11"/>
        <v>0</v>
      </c>
      <c r="N14" s="1">
        <v>11</v>
      </c>
      <c r="O14" s="1">
        <f t="shared" si="12"/>
        <v>0.63194444444444442</v>
      </c>
      <c r="Q14" s="1">
        <v>11</v>
      </c>
      <c r="R14" s="61">
        <f t="shared" si="13"/>
        <v>0.375</v>
      </c>
      <c r="S14" s="61">
        <f t="shared" si="14"/>
        <v>0.44444444444444442</v>
      </c>
      <c r="T14" s="61">
        <f t="shared" si="15"/>
        <v>0.375</v>
      </c>
      <c r="U14" s="61">
        <f t="shared" si="16"/>
        <v>0.44444444444444442</v>
      </c>
      <c r="V14" s="61">
        <f t="shared" si="17"/>
        <v>0</v>
      </c>
      <c r="W14" s="61"/>
      <c r="Y14" s="1">
        <v>11</v>
      </c>
      <c r="Z14" s="28">
        <f t="shared" si="0"/>
        <v>20.25</v>
      </c>
      <c r="AA14" s="28">
        <f t="shared" si="1"/>
        <v>10.666666666666666</v>
      </c>
      <c r="AB14" s="28">
        <f t="shared" si="2"/>
        <v>3.375</v>
      </c>
      <c r="AC14" s="28">
        <f t="shared" si="3"/>
        <v>1.7777777777777777</v>
      </c>
      <c r="AD14" s="28">
        <f>J14^2/(J14+K14)</f>
        <v>0</v>
      </c>
      <c r="AE14" s="28"/>
    </row>
    <row r="15" spans="1:31" x14ac:dyDescent="0.25">
      <c r="A15" s="1">
        <v>12</v>
      </c>
      <c r="B15" s="4">
        <f>COUNTIFS('2022 Bracket Picker'!E:E,'Seed History'!A15,'2022 Bracket Picker'!C:C,1)</f>
        <v>51</v>
      </c>
      <c r="C15" s="2">
        <f t="shared" si="6"/>
        <v>93</v>
      </c>
      <c r="D15" s="4">
        <f>COUNTIFS('2022 Bracket Picker'!E:E,'Seed History'!A15,'2022 Bracket Picker'!C:C,2)</f>
        <v>22</v>
      </c>
      <c r="E15" s="2">
        <f t="shared" si="7"/>
        <v>29</v>
      </c>
      <c r="F15" s="4">
        <f>COUNTIFS('2022 Bracket Picker'!E:E,'Seed History'!A15,'2022 Bracket Picker'!C:C,3)</f>
        <v>2</v>
      </c>
      <c r="G15" s="2">
        <f t="shared" si="8"/>
        <v>20</v>
      </c>
      <c r="H15" s="4">
        <f>COUNTIFS('2022 Bracket Picker'!E:E,'Seed History'!A15,'2022 Bracket Picker'!C:C,4)</f>
        <v>0</v>
      </c>
      <c r="I15" s="2">
        <f t="shared" si="9"/>
        <v>2</v>
      </c>
      <c r="J15" s="4">
        <f>COUNTIFS('2022 Bracket Picker'!E:E,'Seed History'!A15,'2022 Bracket Picker'!C:C,5)</f>
        <v>0</v>
      </c>
      <c r="K15" s="2">
        <f t="shared" si="10"/>
        <v>0</v>
      </c>
      <c r="L15" s="4">
        <f>COUNTIFS('2022 Bracket Picker'!E:E,'Seed History'!A15,'2022 Bracket Picker'!C:C,6)</f>
        <v>0</v>
      </c>
      <c r="M15" s="2">
        <f t="shared" si="11"/>
        <v>0</v>
      </c>
      <c r="N15" s="1">
        <v>12</v>
      </c>
      <c r="O15" s="1">
        <f t="shared" si="12"/>
        <v>0.52083333333333337</v>
      </c>
      <c r="Q15" s="1">
        <v>12</v>
      </c>
      <c r="R15" s="61">
        <f t="shared" si="13"/>
        <v>0.35416666666666669</v>
      </c>
      <c r="S15" s="61">
        <f t="shared" si="14"/>
        <v>0.43137254901960786</v>
      </c>
      <c r="T15" s="61">
        <f t="shared" si="15"/>
        <v>9.0909090909090912E-2</v>
      </c>
      <c r="U15" s="61">
        <f t="shared" si="16"/>
        <v>0</v>
      </c>
      <c r="V15" s="61"/>
      <c r="W15" s="61"/>
      <c r="Y15" s="1">
        <v>12</v>
      </c>
      <c r="Z15" s="28">
        <f t="shared" si="0"/>
        <v>18.0625</v>
      </c>
      <c r="AA15" s="28">
        <f t="shared" si="1"/>
        <v>9.4901960784313726</v>
      </c>
      <c r="AB15" s="28">
        <f t="shared" si="2"/>
        <v>0.18181818181818182</v>
      </c>
      <c r="AC15" s="28">
        <f t="shared" si="3"/>
        <v>0</v>
      </c>
      <c r="AD15" s="28"/>
      <c r="AE15" s="28"/>
    </row>
    <row r="16" spans="1:31" x14ac:dyDescent="0.25">
      <c r="A16" s="1">
        <v>13</v>
      </c>
      <c r="B16" s="4">
        <f>COUNTIFS('2022 Bracket Picker'!E:E,'Seed History'!A16,'2022 Bracket Picker'!C:C,1)</f>
        <v>31</v>
      </c>
      <c r="C16" s="2">
        <f t="shared" si="6"/>
        <v>113</v>
      </c>
      <c r="D16" s="4">
        <f>COUNTIFS('2022 Bracket Picker'!E:E,'Seed History'!A16,'2022 Bracket Picker'!C:C,2)</f>
        <v>6</v>
      </c>
      <c r="E16" s="2">
        <f t="shared" si="7"/>
        <v>25</v>
      </c>
      <c r="F16" s="4">
        <f>COUNTIFS('2022 Bracket Picker'!E:E,'Seed History'!A16,'2022 Bracket Picker'!C:C,3)</f>
        <v>0</v>
      </c>
      <c r="G16" s="2">
        <f t="shared" si="8"/>
        <v>6</v>
      </c>
      <c r="H16" s="4">
        <f>COUNTIFS('2022 Bracket Picker'!E:E,'Seed History'!A16,'2022 Bracket Picker'!C:C,4)</f>
        <v>0</v>
      </c>
      <c r="I16" s="2">
        <f t="shared" si="9"/>
        <v>0</v>
      </c>
      <c r="J16" s="4">
        <f>COUNTIFS('2022 Bracket Picker'!E:E,'Seed History'!A16,'2022 Bracket Picker'!C:C,5)</f>
        <v>0</v>
      </c>
      <c r="K16" s="2">
        <f t="shared" si="10"/>
        <v>0</v>
      </c>
      <c r="L16" s="4">
        <f>COUNTIFS('2022 Bracket Picker'!E:E,'Seed History'!A16,'2022 Bracket Picker'!C:C,6)</f>
        <v>0</v>
      </c>
      <c r="M16" s="2">
        <f t="shared" si="11"/>
        <v>0</v>
      </c>
      <c r="N16" s="1">
        <v>13</v>
      </c>
      <c r="O16" s="1">
        <f t="shared" si="12"/>
        <v>0.25694444444444442</v>
      </c>
      <c r="Q16" s="1">
        <v>13</v>
      </c>
      <c r="R16" s="61">
        <f t="shared" si="13"/>
        <v>0.21527777777777779</v>
      </c>
      <c r="S16" s="61">
        <f t="shared" si="14"/>
        <v>0.19354838709677419</v>
      </c>
      <c r="T16" s="61">
        <f t="shared" si="15"/>
        <v>0</v>
      </c>
      <c r="U16" s="61"/>
      <c r="V16" s="61"/>
      <c r="W16" s="61"/>
      <c r="Y16" s="1">
        <v>13</v>
      </c>
      <c r="Z16" s="28">
        <f t="shared" si="0"/>
        <v>6.6736111111111107</v>
      </c>
      <c r="AA16" s="28">
        <f t="shared" si="1"/>
        <v>1.1612903225806452</v>
      </c>
      <c r="AB16" s="28">
        <f t="shared" si="2"/>
        <v>0</v>
      </c>
      <c r="AC16" s="28"/>
      <c r="AD16" s="28"/>
      <c r="AE16" s="28"/>
    </row>
    <row r="17" spans="1:31" x14ac:dyDescent="0.25">
      <c r="A17" s="1">
        <v>14</v>
      </c>
      <c r="B17" s="4">
        <f>COUNTIFS('2022 Bracket Picker'!E:E,'Seed History'!A17,'2022 Bracket Picker'!C:C,1)</f>
        <v>22</v>
      </c>
      <c r="C17" s="2">
        <f t="shared" si="6"/>
        <v>122</v>
      </c>
      <c r="D17" s="4">
        <f>COUNTIFS('2022 Bracket Picker'!E:E,'Seed History'!A17,'2022 Bracket Picker'!C:C,2)</f>
        <v>2</v>
      </c>
      <c r="E17" s="2">
        <f t="shared" si="7"/>
        <v>20</v>
      </c>
      <c r="F17" s="4">
        <f>COUNTIFS('2022 Bracket Picker'!E:E,'Seed History'!A17,'2022 Bracket Picker'!C:C,3)</f>
        <v>0</v>
      </c>
      <c r="G17" s="2">
        <f t="shared" si="8"/>
        <v>2</v>
      </c>
      <c r="H17" s="4">
        <f>COUNTIFS('2022 Bracket Picker'!E:E,'Seed History'!A17,'2022 Bracket Picker'!C:C,4)</f>
        <v>0</v>
      </c>
      <c r="I17" s="2">
        <f t="shared" si="9"/>
        <v>0</v>
      </c>
      <c r="J17" s="4">
        <f>COUNTIFS('2022 Bracket Picker'!E:E,'Seed History'!A17,'2022 Bracket Picker'!C:C,5)</f>
        <v>0</v>
      </c>
      <c r="K17" s="2">
        <f t="shared" si="10"/>
        <v>0</v>
      </c>
      <c r="L17" s="4">
        <f>COUNTIFS('2022 Bracket Picker'!E:E,'Seed History'!A17,'2022 Bracket Picker'!C:C,6)</f>
        <v>0</v>
      </c>
      <c r="M17" s="2">
        <f t="shared" si="11"/>
        <v>0</v>
      </c>
      <c r="N17" s="1">
        <v>14</v>
      </c>
      <c r="O17" s="1">
        <f t="shared" si="12"/>
        <v>0.16666666666666666</v>
      </c>
      <c r="Q17" s="1">
        <v>14</v>
      </c>
      <c r="R17" s="61">
        <f t="shared" si="13"/>
        <v>0.15277777777777779</v>
      </c>
      <c r="S17" s="61">
        <f t="shared" si="14"/>
        <v>9.0909090909090912E-2</v>
      </c>
      <c r="T17" s="61">
        <f t="shared" si="15"/>
        <v>0</v>
      </c>
      <c r="U17" s="61"/>
      <c r="V17" s="61"/>
      <c r="W17" s="61"/>
      <c r="Y17" s="1">
        <v>14</v>
      </c>
      <c r="Z17" s="28">
        <f t="shared" si="0"/>
        <v>3.3611111111111112</v>
      </c>
      <c r="AA17" s="28">
        <f t="shared" si="1"/>
        <v>0.18181818181818182</v>
      </c>
      <c r="AB17" s="28">
        <f t="shared" si="2"/>
        <v>0</v>
      </c>
      <c r="AC17" s="28"/>
      <c r="AD17" s="28"/>
      <c r="AE17" s="28"/>
    </row>
    <row r="18" spans="1:31" x14ac:dyDescent="0.25">
      <c r="A18" s="1">
        <v>15</v>
      </c>
      <c r="B18" s="4">
        <f>COUNTIFS('2022 Bracket Picker'!E:E,'Seed History'!A18,'2022 Bracket Picker'!C:C,1)</f>
        <v>9</v>
      </c>
      <c r="C18" s="2">
        <f t="shared" si="6"/>
        <v>135</v>
      </c>
      <c r="D18" s="4">
        <f>COUNTIFS('2022 Bracket Picker'!E:E,'Seed History'!A18,'2022 Bracket Picker'!C:C,2)</f>
        <v>2</v>
      </c>
      <c r="E18" s="2">
        <f t="shared" si="7"/>
        <v>7</v>
      </c>
      <c r="F18" s="4">
        <f>COUNTIFS('2022 Bracket Picker'!E:E,'Seed History'!A18,'2022 Bracket Picker'!C:C,3)</f>
        <v>0</v>
      </c>
      <c r="G18" s="2">
        <f t="shared" si="8"/>
        <v>2</v>
      </c>
      <c r="H18" s="4">
        <f>COUNTIFS('2022 Bracket Picker'!E:E,'Seed History'!A18,'2022 Bracket Picker'!C:C,4)</f>
        <v>0</v>
      </c>
      <c r="I18" s="2">
        <f t="shared" si="9"/>
        <v>0</v>
      </c>
      <c r="J18" s="4">
        <f>COUNTIFS('2022 Bracket Picker'!E:E,'Seed History'!A18,'2022 Bracket Picker'!C:C,5)</f>
        <v>0</v>
      </c>
      <c r="K18" s="2">
        <f t="shared" si="10"/>
        <v>0</v>
      </c>
      <c r="L18" s="4">
        <f>COUNTIFS('2022 Bracket Picker'!E:E,'Seed History'!A18,'2022 Bracket Picker'!C:C,6)</f>
        <v>0</v>
      </c>
      <c r="M18" s="2">
        <f t="shared" si="11"/>
        <v>0</v>
      </c>
      <c r="N18" s="1">
        <v>15</v>
      </c>
      <c r="O18" s="1">
        <f t="shared" si="12"/>
        <v>7.6388888888888895E-2</v>
      </c>
      <c r="Q18" s="1">
        <v>15</v>
      </c>
      <c r="R18" s="61">
        <f t="shared" si="13"/>
        <v>6.25E-2</v>
      </c>
      <c r="S18" s="61">
        <f>D18/(D18+E18)</f>
        <v>0.22222222222222221</v>
      </c>
      <c r="T18" s="61">
        <f t="shared" si="15"/>
        <v>0</v>
      </c>
      <c r="U18" s="61"/>
      <c r="V18" s="61"/>
      <c r="W18" s="61"/>
      <c r="Y18" s="1">
        <v>15</v>
      </c>
      <c r="Z18" s="28">
        <f t="shared" si="0"/>
        <v>0.5625</v>
      </c>
      <c r="AA18" s="28">
        <f t="shared" si="1"/>
        <v>0.44444444444444442</v>
      </c>
      <c r="AB18" s="28">
        <f t="shared" si="2"/>
        <v>0</v>
      </c>
      <c r="AC18" s="28"/>
      <c r="AD18" s="28"/>
      <c r="AE18" s="28"/>
    </row>
    <row r="19" spans="1:31" x14ac:dyDescent="0.25">
      <c r="A19" s="1">
        <v>16</v>
      </c>
      <c r="B19" s="4">
        <f>COUNTIFS('2022 Bracket Picker'!E:E,'Seed History'!A19,'2022 Bracket Picker'!C:C,1)</f>
        <v>1</v>
      </c>
      <c r="C19" s="2">
        <f t="shared" si="6"/>
        <v>143</v>
      </c>
      <c r="D19" s="4">
        <f>COUNTIFS('2022 Bracket Picker'!E:E,'Seed History'!A19,'2022 Bracket Picker'!C:C,2)</f>
        <v>0</v>
      </c>
      <c r="E19" s="2">
        <f t="shared" si="7"/>
        <v>1</v>
      </c>
      <c r="F19" s="4">
        <f>COUNTIFS('2022 Bracket Picker'!E:E,'Seed History'!A19,'2022 Bracket Picker'!C:C,3)</f>
        <v>0</v>
      </c>
      <c r="G19" s="2">
        <f t="shared" si="8"/>
        <v>0</v>
      </c>
      <c r="H19" s="4">
        <f>COUNTIFS('2022 Bracket Picker'!E:E,'Seed History'!A19,'2022 Bracket Picker'!C:C,4)</f>
        <v>0</v>
      </c>
      <c r="I19" s="2">
        <f t="shared" si="9"/>
        <v>0</v>
      </c>
      <c r="J19" s="4">
        <f>COUNTIFS('2022 Bracket Picker'!E:E,'Seed History'!A19,'2022 Bracket Picker'!C:C,5)</f>
        <v>0</v>
      </c>
      <c r="K19" s="2">
        <f t="shared" si="10"/>
        <v>0</v>
      </c>
      <c r="L19" s="4">
        <f>COUNTIFS('2022 Bracket Picker'!E:E,'Seed History'!A19,'2022 Bracket Picker'!C:C,6)</f>
        <v>0</v>
      </c>
      <c r="M19" s="2">
        <f t="shared" si="11"/>
        <v>0</v>
      </c>
      <c r="N19" s="1">
        <v>16</v>
      </c>
      <c r="O19" s="1">
        <f t="shared" si="12"/>
        <v>6.9444444444444441E-3</v>
      </c>
      <c r="Q19" s="1">
        <v>16</v>
      </c>
      <c r="R19" s="61">
        <f t="shared" si="13"/>
        <v>6.9444444444444441E-3</v>
      </c>
      <c r="S19" s="61"/>
      <c r="T19" s="61"/>
      <c r="U19" s="61"/>
      <c r="V19" s="61"/>
      <c r="W19" s="61"/>
      <c r="Y19" s="1">
        <v>16</v>
      </c>
      <c r="Z19" s="28">
        <f t="shared" si="0"/>
        <v>6.9444444444444441E-3</v>
      </c>
      <c r="AA19" s="28"/>
      <c r="AB19" s="28"/>
      <c r="AC19" s="28"/>
      <c r="AD19" s="28"/>
      <c r="AE19" s="28"/>
    </row>
    <row r="20" spans="1:31" x14ac:dyDescent="0.25">
      <c r="B20" s="1">
        <f>SUM(B4:B19)</f>
        <v>1152</v>
      </c>
      <c r="C20" s="1">
        <f>SUM(C4:C19)</f>
        <v>1152</v>
      </c>
      <c r="D20" s="1">
        <f t="shared" ref="D20:M20" si="19">SUM(D4:D19)</f>
        <v>576</v>
      </c>
      <c r="E20" s="1">
        <f t="shared" si="19"/>
        <v>576</v>
      </c>
      <c r="F20" s="1">
        <f t="shared" si="19"/>
        <v>288</v>
      </c>
      <c r="G20" s="1">
        <f t="shared" si="19"/>
        <v>288</v>
      </c>
      <c r="H20" s="1">
        <f t="shared" si="19"/>
        <v>140</v>
      </c>
      <c r="I20" s="1">
        <f t="shared" si="19"/>
        <v>148</v>
      </c>
      <c r="J20" s="1">
        <f t="shared" si="19"/>
        <v>70</v>
      </c>
      <c r="K20" s="1">
        <f t="shared" si="19"/>
        <v>70</v>
      </c>
      <c r="L20" s="1">
        <f t="shared" si="19"/>
        <v>35</v>
      </c>
      <c r="M20" s="1">
        <f t="shared" si="19"/>
        <v>35</v>
      </c>
    </row>
    <row r="21" spans="1:31" x14ac:dyDescent="0.25">
      <c r="B21" s="1">
        <f>8*O1</f>
        <v>1152</v>
      </c>
      <c r="C21" s="1">
        <f>8*O1</f>
        <v>1152</v>
      </c>
      <c r="D21" s="1">
        <f>B21/2</f>
        <v>576</v>
      </c>
      <c r="E21" s="1">
        <f t="shared" ref="E21:M21" si="20">C21/2</f>
        <v>576</v>
      </c>
      <c r="F21" s="1">
        <f t="shared" si="20"/>
        <v>288</v>
      </c>
      <c r="G21" s="1">
        <f t="shared" si="20"/>
        <v>288</v>
      </c>
      <c r="H21" s="1">
        <f t="shared" si="20"/>
        <v>144</v>
      </c>
      <c r="I21" s="1">
        <f t="shared" si="20"/>
        <v>144</v>
      </c>
      <c r="J21" s="1">
        <f t="shared" si="20"/>
        <v>72</v>
      </c>
      <c r="K21" s="1">
        <f t="shared" si="20"/>
        <v>72</v>
      </c>
      <c r="L21" s="1">
        <f t="shared" si="20"/>
        <v>36</v>
      </c>
      <c r="M21" s="1">
        <f t="shared" si="20"/>
        <v>36</v>
      </c>
      <c r="R21" s="27">
        <f t="shared" ref="R21:W21" si="21">AVERAGE(R4:R19)</f>
        <v>0.5</v>
      </c>
      <c r="S21" s="27">
        <f t="shared" si="21"/>
        <v>0.40984221161988194</v>
      </c>
      <c r="T21" s="27">
        <f t="shared" si="21"/>
        <v>0.34535372467179576</v>
      </c>
      <c r="U21" s="27">
        <f t="shared" si="21"/>
        <v>0.40140692890692892</v>
      </c>
      <c r="V21" s="27">
        <f t="shared" si="21"/>
        <v>0.35919696118265559</v>
      </c>
      <c r="W21" s="27">
        <f t="shared" si="21"/>
        <v>0.44524715480597837</v>
      </c>
      <c r="Z21" s="27">
        <f t="shared" ref="Z21:AE21" si="22">AVERAGE(Z4:Z19)</f>
        <v>48.331597222222221</v>
      </c>
      <c r="AA21" s="27">
        <f t="shared" si="22"/>
        <v>22.858839137039698</v>
      </c>
      <c r="AB21" s="27">
        <f t="shared" si="22"/>
        <v>11.747894999489343</v>
      </c>
      <c r="AC21" s="27">
        <f t="shared" si="22"/>
        <v>6.125759468259468</v>
      </c>
      <c r="AD21" s="27">
        <f t="shared" si="22"/>
        <v>3.8670623664794697</v>
      </c>
      <c r="AE21" s="27">
        <f t="shared" si="22"/>
        <v>2.4724478952420124</v>
      </c>
    </row>
    <row r="22" spans="1:31" x14ac:dyDescent="0.25">
      <c r="B22" s="11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>
        <f t="shared" ref="R22:W22" si="23">_xlfn.STDEV.P(R4:R19)</f>
        <v>0.29263644991864501</v>
      </c>
      <c r="S22" s="26">
        <f t="shared" si="23"/>
        <v>0.21636775329580535</v>
      </c>
      <c r="T22" s="26">
        <f t="shared" si="23"/>
        <v>0.24895439084503632</v>
      </c>
      <c r="U22" s="26">
        <f t="shared" si="23"/>
        <v>0.22097606749784326</v>
      </c>
      <c r="V22" s="26">
        <f t="shared" si="23"/>
        <v>0.2538207297658121</v>
      </c>
      <c r="W22" s="26">
        <f t="shared" si="23"/>
        <v>0.27044119311517056</v>
      </c>
      <c r="Y22" s="26"/>
      <c r="Z22" s="26">
        <f t="shared" ref="Z22:AE22" si="24">_xlfn.STDEV.P(Z4:Z19)</f>
        <v>43.967420887663238</v>
      </c>
      <c r="AA22" s="26">
        <f t="shared" si="24"/>
        <v>28.604411652073459</v>
      </c>
      <c r="AB22" s="26">
        <f t="shared" si="24"/>
        <v>21.847812077592959</v>
      </c>
      <c r="AC22" s="26">
        <f t="shared" si="24"/>
        <v>8.8614045877816157</v>
      </c>
      <c r="AD22" s="26">
        <f t="shared" si="24"/>
        <v>5.9468315168241759</v>
      </c>
      <c r="AE22" s="26">
        <f t="shared" si="24"/>
        <v>4.4864484758555925</v>
      </c>
    </row>
    <row r="23" spans="1:31" x14ac:dyDescent="0.25">
      <c r="B23" s="26">
        <f>B21-B20</f>
        <v>0</v>
      </c>
      <c r="C23" s="26"/>
      <c r="D23" s="26">
        <f>D21-D20</f>
        <v>0</v>
      </c>
      <c r="E23" s="26"/>
      <c r="F23" s="26">
        <f>F21-F20</f>
        <v>0</v>
      </c>
      <c r="G23" s="26"/>
      <c r="H23" s="26">
        <f>H21-H20</f>
        <v>4</v>
      </c>
      <c r="I23" s="26"/>
      <c r="J23" s="26">
        <f>J21-J20</f>
        <v>2</v>
      </c>
      <c r="K23" s="26"/>
      <c r="L23" s="26">
        <f>L21-L20</f>
        <v>1</v>
      </c>
      <c r="M23" s="26"/>
      <c r="N23" s="26"/>
      <c r="O23" s="26"/>
      <c r="P23" s="26"/>
      <c r="Q23" s="1">
        <v>3</v>
      </c>
      <c r="R23" s="62"/>
      <c r="S23" s="62" t="s">
        <v>508</v>
      </c>
      <c r="T23" s="62"/>
      <c r="U23" s="62"/>
      <c r="V23" s="62"/>
      <c r="W23" s="62"/>
    </row>
    <row r="24" spans="1:31" x14ac:dyDescent="0.25">
      <c r="B24" s="26"/>
      <c r="C24" s="26"/>
      <c r="D24" s="26"/>
      <c r="E24" s="26"/>
      <c r="F24" s="26"/>
      <c r="G24"/>
      <c r="H24"/>
      <c r="I24"/>
      <c r="J24"/>
      <c r="K24"/>
      <c r="L24" s="26"/>
      <c r="O24" s="1" t="s">
        <v>8</v>
      </c>
      <c r="Q24" s="1">
        <v>1</v>
      </c>
      <c r="R24" s="26"/>
      <c r="S24" s="11" t="s">
        <v>507</v>
      </c>
      <c r="T24" s="26"/>
      <c r="U24" s="26"/>
    </row>
    <row r="25" spans="1:31" x14ac:dyDescent="0.25">
      <c r="B25" s="78"/>
      <c r="C25" s="78"/>
      <c r="D25" s="78"/>
      <c r="E25" s="78"/>
      <c r="F25" s="77"/>
      <c r="G25" s="26"/>
      <c r="O25" s="44" t="s">
        <v>9</v>
      </c>
      <c r="P25" s="44"/>
      <c r="Q25" s="1">
        <v>3</v>
      </c>
      <c r="R25" s="26"/>
      <c r="S25" s="11" t="s">
        <v>506</v>
      </c>
      <c r="T25" s="26"/>
      <c r="U25" s="26"/>
    </row>
    <row r="26" spans="1:31" x14ac:dyDescent="0.25">
      <c r="B26" s="78"/>
      <c r="C26" s="78"/>
      <c r="D26" s="78"/>
      <c r="E26" s="78"/>
      <c r="F26" s="77"/>
      <c r="G26" s="78"/>
      <c r="H26" s="78"/>
      <c r="I26" s="78"/>
      <c r="J26" s="78"/>
      <c r="K26" s="78"/>
      <c r="L26" s="26"/>
      <c r="O26" s="44" t="s">
        <v>450</v>
      </c>
      <c r="P26" s="44"/>
      <c r="Q26" s="1">
        <v>10</v>
      </c>
      <c r="R26" s="26"/>
      <c r="S26" s="12" t="s">
        <v>10</v>
      </c>
      <c r="T26" s="26"/>
      <c r="U26" s="26"/>
    </row>
    <row r="27" spans="1:31" x14ac:dyDescent="0.25">
      <c r="B27" s="26"/>
      <c r="C27" s="26"/>
      <c r="D27" s="26"/>
      <c r="E27" s="26"/>
      <c r="F27" s="26"/>
      <c r="G27" s="78"/>
      <c r="H27" s="78"/>
      <c r="I27" s="78"/>
      <c r="J27" s="78"/>
      <c r="K27" s="78"/>
      <c r="L27" s="26"/>
      <c r="O27" s="1" t="s">
        <v>8</v>
      </c>
      <c r="Q27" s="1">
        <v>25</v>
      </c>
      <c r="R27" s="26"/>
      <c r="S27" s="11" t="s">
        <v>485</v>
      </c>
      <c r="T27" s="26"/>
      <c r="U27" s="26"/>
    </row>
    <row r="28" spans="1:31" x14ac:dyDescent="0.25">
      <c r="B28" s="26"/>
      <c r="C28" s="26"/>
      <c r="D28" s="26"/>
      <c r="E28" s="26"/>
      <c r="F28" s="26"/>
      <c r="G28" s="78"/>
      <c r="H28" s="78"/>
      <c r="I28" s="78"/>
      <c r="J28" s="78"/>
      <c r="K28" s="26"/>
      <c r="L28" s="26"/>
      <c r="M28" s="26"/>
      <c r="N28" s="26"/>
      <c r="O28" s="26"/>
      <c r="P28" s="26"/>
      <c r="Q28" s="26"/>
      <c r="R28" s="26"/>
    </row>
    <row r="29" spans="1:31" x14ac:dyDescent="0.25">
      <c r="B29" s="26"/>
      <c r="C29" s="26"/>
      <c r="D29" s="26"/>
      <c r="E29" s="26"/>
      <c r="F29" s="26"/>
      <c r="G29" s="78"/>
      <c r="H29" s="78"/>
      <c r="I29" s="78"/>
      <c r="J29" s="78"/>
      <c r="K29" s="26"/>
      <c r="L29" s="26"/>
      <c r="M29" s="26"/>
      <c r="N29" s="26"/>
      <c r="O29" s="26"/>
      <c r="P29" s="26"/>
      <c r="Q29" s="26"/>
      <c r="R29" s="26">
        <f t="shared" ref="R29:W38" si="25">$Q4*R4</f>
        <v>0.99305555555555558</v>
      </c>
      <c r="S29" s="26">
        <f t="shared" si="25"/>
        <v>0.8601398601398601</v>
      </c>
      <c r="T29" s="26">
        <f t="shared" si="25"/>
        <v>0.81300813008130079</v>
      </c>
      <c r="U29" s="26">
        <f t="shared" si="25"/>
        <v>0.56999999999999995</v>
      </c>
      <c r="V29" s="26">
        <f t="shared" si="25"/>
        <v>0.59649122807017541</v>
      </c>
      <c r="W29" s="26">
        <f t="shared" si="25"/>
        <v>0.6470588235294118</v>
      </c>
      <c r="X29" s="26"/>
    </row>
    <row r="30" spans="1:31" x14ac:dyDescent="0.25">
      <c r="B30" s="26"/>
      <c r="C30" s="26"/>
      <c r="D30" s="26"/>
      <c r="E30" s="26"/>
      <c r="F30" s="26"/>
      <c r="G30" s="78"/>
      <c r="H30" s="78"/>
      <c r="I30" s="78"/>
      <c r="J30" s="78"/>
      <c r="K30" s="26"/>
      <c r="L30" s="26"/>
      <c r="M30" s="26"/>
      <c r="N30" s="26"/>
      <c r="O30" s="26"/>
      <c r="P30" s="26"/>
      <c r="Q30" s="26"/>
      <c r="R30" s="26">
        <f t="shared" si="25"/>
        <v>1.875</v>
      </c>
      <c r="S30" s="26">
        <f t="shared" si="25"/>
        <v>1.3481481481481481</v>
      </c>
      <c r="T30" s="26">
        <f t="shared" si="25"/>
        <v>1.4285714285714286</v>
      </c>
      <c r="U30" s="26">
        <f t="shared" si="25"/>
        <v>0.89230769230769236</v>
      </c>
      <c r="V30" s="26">
        <f t="shared" si="25"/>
        <v>0.89655172413793105</v>
      </c>
      <c r="W30" s="26">
        <f t="shared" si="25"/>
        <v>0.76923076923076927</v>
      </c>
      <c r="X30" s="26"/>
    </row>
    <row r="31" spans="1:31" x14ac:dyDescent="0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>
        <f t="shared" si="25"/>
        <v>2.5416666666666665</v>
      </c>
      <c r="S31" s="26">
        <f t="shared" si="25"/>
        <v>1.8442622950819674</v>
      </c>
      <c r="T31" s="26">
        <f t="shared" si="25"/>
        <v>1.48</v>
      </c>
      <c r="U31" s="26">
        <f t="shared" si="25"/>
        <v>1.3783783783783785</v>
      </c>
      <c r="V31" s="26">
        <f t="shared" si="25"/>
        <v>1.9411764705882355</v>
      </c>
      <c r="W31" s="26">
        <f t="shared" si="25"/>
        <v>1.0909090909090908</v>
      </c>
      <c r="X31" s="26"/>
    </row>
    <row r="32" spans="1:31" x14ac:dyDescent="0.2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>
        <f t="shared" si="25"/>
        <v>3.1666666666666665</v>
      </c>
      <c r="S32" s="26">
        <f t="shared" si="25"/>
        <v>2.3508771929824563</v>
      </c>
      <c r="T32" s="26">
        <f t="shared" si="25"/>
        <v>1.2537313432835822</v>
      </c>
      <c r="U32" s="26">
        <f t="shared" si="25"/>
        <v>2.4761904761904763</v>
      </c>
      <c r="V32" s="26">
        <f t="shared" si="25"/>
        <v>0.92307692307692313</v>
      </c>
      <c r="W32" s="26">
        <f t="shared" si="25"/>
        <v>1.3333333333333333</v>
      </c>
      <c r="X32" s="26"/>
    </row>
    <row r="33" spans="2:24" x14ac:dyDescent="0.25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>
        <f t="shared" si="25"/>
        <v>3.229166666666667</v>
      </c>
      <c r="S33" s="26">
        <f t="shared" si="25"/>
        <v>2.6344086021505375</v>
      </c>
      <c r="T33" s="26">
        <f t="shared" si="25"/>
        <v>0.91836734693877553</v>
      </c>
      <c r="U33" s="26">
        <f t="shared" si="25"/>
        <v>3.8888888888888888</v>
      </c>
      <c r="V33" s="26">
        <f t="shared" si="25"/>
        <v>2.1428571428571428</v>
      </c>
      <c r="W33" s="26">
        <f t="shared" si="25"/>
        <v>0</v>
      </c>
      <c r="X33" s="26"/>
    </row>
    <row r="34" spans="2:24" x14ac:dyDescent="0.25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>
        <f t="shared" si="25"/>
        <v>3.7083333333333335</v>
      </c>
      <c r="S34" s="26">
        <f t="shared" si="25"/>
        <v>2.898876404494382</v>
      </c>
      <c r="T34" s="26">
        <f t="shared" si="25"/>
        <v>2.0930232558139537</v>
      </c>
      <c r="U34" s="26">
        <f t="shared" si="25"/>
        <v>1.2000000000000002</v>
      </c>
      <c r="V34" s="26">
        <f t="shared" si="25"/>
        <v>4</v>
      </c>
      <c r="W34" s="26">
        <f t="shared" si="25"/>
        <v>3</v>
      </c>
      <c r="X34" s="26"/>
    </row>
    <row r="35" spans="2:24" x14ac:dyDescent="0.25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>
        <f t="shared" si="25"/>
        <v>4.2291666666666661</v>
      </c>
      <c r="S35" s="26">
        <f t="shared" si="25"/>
        <v>2.2528735632183907</v>
      </c>
      <c r="T35" s="26">
        <f t="shared" si="25"/>
        <v>2.5</v>
      </c>
      <c r="U35" s="26">
        <f t="shared" si="25"/>
        <v>2.1</v>
      </c>
      <c r="V35" s="26">
        <f t="shared" si="25"/>
        <v>2.333333333333333</v>
      </c>
      <c r="W35" s="26">
        <f t="shared" si="25"/>
        <v>7</v>
      </c>
      <c r="X35" s="26"/>
    </row>
    <row r="36" spans="2:24" x14ac:dyDescent="0.25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>
        <f t="shared" si="25"/>
        <v>3.9444444444444446</v>
      </c>
      <c r="S36" s="26">
        <f t="shared" si="25"/>
        <v>1.5774647887323943</v>
      </c>
      <c r="T36" s="26">
        <f t="shared" si="25"/>
        <v>4.5714285714285712</v>
      </c>
      <c r="U36" s="26">
        <f t="shared" si="25"/>
        <v>5</v>
      </c>
      <c r="V36" s="26">
        <f t="shared" si="25"/>
        <v>4.8</v>
      </c>
      <c r="W36" s="26">
        <f t="shared" si="25"/>
        <v>2.6666666666666665</v>
      </c>
      <c r="X36" s="26"/>
    </row>
    <row r="37" spans="2:24" x14ac:dyDescent="0.25">
      <c r="R37" s="26">
        <f t="shared" si="25"/>
        <v>4.5625</v>
      </c>
      <c r="S37" s="26">
        <f t="shared" si="25"/>
        <v>0.86301369863013688</v>
      </c>
      <c r="T37" s="26">
        <f t="shared" si="25"/>
        <v>5.1428571428571423</v>
      </c>
      <c r="U37" s="26">
        <f t="shared" si="25"/>
        <v>2.25</v>
      </c>
      <c r="V37" s="26">
        <f t="shared" si="25"/>
        <v>0</v>
      </c>
      <c r="W37" s="26">
        <f t="shared" si="25"/>
        <v>0</v>
      </c>
      <c r="X37" s="26"/>
    </row>
    <row r="38" spans="2:24" x14ac:dyDescent="0.25">
      <c r="R38" s="26">
        <f t="shared" si="25"/>
        <v>3.958333333333333</v>
      </c>
      <c r="S38" s="26">
        <f t="shared" si="25"/>
        <v>4.0350877192982457</v>
      </c>
      <c r="T38" s="26">
        <f t="shared" si="25"/>
        <v>3.4782608695652173</v>
      </c>
      <c r="U38" s="26">
        <f t="shared" si="25"/>
        <v>1.25</v>
      </c>
      <c r="V38" s="26">
        <f t="shared" si="25"/>
        <v>0</v>
      </c>
      <c r="W38" s="26">
        <f t="shared" si="25"/>
        <v>0</v>
      </c>
      <c r="X38" s="26"/>
    </row>
    <row r="39" spans="2:24" x14ac:dyDescent="0.25">
      <c r="R39" s="26">
        <f t="shared" ref="R39:W44" si="26">$Q14*R14</f>
        <v>4.125</v>
      </c>
      <c r="S39" s="26">
        <f t="shared" si="26"/>
        <v>4.8888888888888884</v>
      </c>
      <c r="T39" s="26">
        <f t="shared" si="26"/>
        <v>4.125</v>
      </c>
      <c r="U39" s="26">
        <f t="shared" si="26"/>
        <v>4.8888888888888884</v>
      </c>
      <c r="V39" s="26">
        <f t="shared" si="26"/>
        <v>0</v>
      </c>
      <c r="W39" s="26">
        <f t="shared" si="26"/>
        <v>0</v>
      </c>
      <c r="X39" s="26"/>
    </row>
    <row r="40" spans="2:24" x14ac:dyDescent="0.25">
      <c r="R40" s="26">
        <f t="shared" si="26"/>
        <v>4.25</v>
      </c>
      <c r="S40" s="26">
        <f t="shared" si="26"/>
        <v>5.1764705882352944</v>
      </c>
      <c r="T40" s="26">
        <f t="shared" si="26"/>
        <v>1.0909090909090908</v>
      </c>
      <c r="U40" s="26">
        <f t="shared" si="26"/>
        <v>0</v>
      </c>
      <c r="V40" s="26">
        <f t="shared" si="26"/>
        <v>0</v>
      </c>
      <c r="W40" s="26">
        <f t="shared" si="26"/>
        <v>0</v>
      </c>
      <c r="X40" s="26"/>
    </row>
    <row r="41" spans="2:24" x14ac:dyDescent="0.25">
      <c r="R41" s="26">
        <f t="shared" si="26"/>
        <v>2.7986111111111112</v>
      </c>
      <c r="S41" s="26">
        <f t="shared" si="26"/>
        <v>2.5161290322580645</v>
      </c>
      <c r="T41" s="26">
        <f t="shared" si="26"/>
        <v>0</v>
      </c>
      <c r="U41" s="26">
        <f t="shared" si="26"/>
        <v>0</v>
      </c>
      <c r="V41" s="26">
        <f t="shared" si="26"/>
        <v>0</v>
      </c>
      <c r="W41" s="26">
        <f t="shared" si="26"/>
        <v>0</v>
      </c>
      <c r="X41" s="26"/>
    </row>
    <row r="42" spans="2:24" x14ac:dyDescent="0.25">
      <c r="R42" s="26">
        <f t="shared" si="26"/>
        <v>2.1388888888888893</v>
      </c>
      <c r="S42" s="26">
        <f t="shared" si="26"/>
        <v>1.2727272727272727</v>
      </c>
      <c r="T42" s="26">
        <f t="shared" si="26"/>
        <v>0</v>
      </c>
      <c r="U42" s="26">
        <f t="shared" si="26"/>
        <v>0</v>
      </c>
      <c r="V42" s="26">
        <f t="shared" si="26"/>
        <v>0</v>
      </c>
      <c r="W42" s="26">
        <f t="shared" si="26"/>
        <v>0</v>
      </c>
      <c r="X42" s="26"/>
    </row>
    <row r="43" spans="2:24" x14ac:dyDescent="0.25">
      <c r="R43" s="26">
        <f t="shared" si="26"/>
        <v>0.9375</v>
      </c>
      <c r="S43" s="26">
        <f t="shared" si="26"/>
        <v>3.333333333333333</v>
      </c>
      <c r="T43" s="26">
        <f t="shared" si="26"/>
        <v>0</v>
      </c>
      <c r="U43" s="26">
        <f t="shared" si="26"/>
        <v>0</v>
      </c>
      <c r="V43" s="26">
        <f t="shared" si="26"/>
        <v>0</v>
      </c>
      <c r="W43" s="26">
        <f t="shared" si="26"/>
        <v>0</v>
      </c>
      <c r="X43" s="26"/>
    </row>
    <row r="44" spans="2:24" x14ac:dyDescent="0.25">
      <c r="R44" s="26">
        <f t="shared" si="26"/>
        <v>0.1111111111111111</v>
      </c>
      <c r="S44" s="26">
        <f t="shared" si="26"/>
        <v>0</v>
      </c>
      <c r="T44" s="26">
        <f t="shared" si="26"/>
        <v>0</v>
      </c>
      <c r="U44" s="26">
        <f t="shared" si="26"/>
        <v>0</v>
      </c>
      <c r="V44" s="26">
        <f t="shared" si="26"/>
        <v>0</v>
      </c>
      <c r="W44" s="26">
        <f t="shared" si="26"/>
        <v>0</v>
      </c>
      <c r="X44" s="26"/>
    </row>
    <row r="46" spans="2:24" x14ac:dyDescent="0.25">
      <c r="R46" s="1">
        <f t="shared" ref="R46:W46" si="27">SUM(R29:R44)/SUM(R4:R19)</f>
        <v>5.8211805555555571</v>
      </c>
      <c r="S46" s="1">
        <f t="shared" si="27"/>
        <v>6.1572804224188893</v>
      </c>
      <c r="T46" s="1">
        <f t="shared" si="27"/>
        <v>5.5778863071303393</v>
      </c>
      <c r="U46" s="1">
        <f t="shared" si="27"/>
        <v>5.3758111905641588</v>
      </c>
      <c r="V46" s="1">
        <f t="shared" si="27"/>
        <v>4.4628558417455082</v>
      </c>
      <c r="W46" s="1">
        <f t="shared" si="27"/>
        <v>4.6342796650947937</v>
      </c>
    </row>
  </sheetData>
  <mergeCells count="7">
    <mergeCell ref="A1:M1"/>
    <mergeCell ref="B2:C2"/>
    <mergeCell ref="D2:E2"/>
    <mergeCell ref="F2:G2"/>
    <mergeCell ref="H2:I2"/>
    <mergeCell ref="J2:K2"/>
    <mergeCell ref="L2:M2"/>
  </mergeCells>
  <conditionalFormatting sqref="R4:W19">
    <cfRule type="colorScale" priority="2">
      <colorScale>
        <cfvo type="min"/>
        <cfvo type="max"/>
        <color theme="0"/>
        <color theme="3" tint="0.39997558519241921"/>
      </colorScale>
    </cfRule>
  </conditionalFormatting>
  <conditionalFormatting sqref="Z4:AE19">
    <cfRule type="colorScale" priority="1">
      <colorScale>
        <cfvo type="min"/>
        <cfvo type="max"/>
        <color theme="0"/>
        <color theme="3" tint="0.39997558519241921"/>
      </colorScale>
    </cfRule>
  </conditionalFormatting>
  <hyperlinks>
    <hyperlink ref="S24" r:id="rId1" xr:uid="{00000000-0004-0000-0100-000000000000}"/>
    <hyperlink ref="S26" r:id="rId2" xr:uid="{00000000-0004-0000-0100-000001000000}"/>
    <hyperlink ref="O25" r:id="rId3" xr:uid="{00000000-0004-0000-0100-000002000000}"/>
    <hyperlink ref="O26" r:id="rId4" xr:uid="{00000000-0004-0000-0100-000003000000}"/>
    <hyperlink ref="S27" r:id="rId5" xr:uid="{00000000-0004-0000-0100-000004000000}"/>
    <hyperlink ref="S25" r:id="rId6" xr:uid="{00000000-0004-0000-0100-000005000000}"/>
  </hyperlinks>
  <pageMargins left="0.7" right="0.7" top="0.75" bottom="0.75" header="0.3" footer="0.3"/>
  <pageSetup scale="80" orientation="landscape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T1048281"/>
  <sheetViews>
    <sheetView zoomScale="85" zoomScaleNormal="85" workbookViewId="0">
      <pane xSplit="8" ySplit="2" topLeftCell="I3" activePane="bottomRight" state="frozen"/>
      <selection activeCell="R2189" sqref="R2189"/>
      <selection pane="topRight" activeCell="R2189" sqref="R2189"/>
      <selection pane="bottomLeft" activeCell="R2189" sqref="R2189"/>
      <selection pane="bottomRight" activeCell="J6" sqref="J6"/>
    </sheetView>
  </sheetViews>
  <sheetFormatPr defaultRowHeight="15" x14ac:dyDescent="0.25"/>
  <cols>
    <col min="1" max="1" width="6.140625" style="1" bestFit="1" customWidth="1"/>
    <col min="2" max="2" width="22.7109375" bestFit="1" customWidth="1"/>
    <col min="3" max="8" width="4.140625" style="1" customWidth="1"/>
    <col min="9" max="9" width="6" style="1" bestFit="1" customWidth="1"/>
    <col min="10" max="10" width="4.28515625" style="90" bestFit="1" customWidth="1"/>
    <col min="11" max="13" width="4" style="1" customWidth="1"/>
    <col min="14" max="14" width="3.5703125" style="1" customWidth="1"/>
    <col min="15" max="45" width="3.28515625" style="1" customWidth="1"/>
    <col min="46" max="46" width="9.140625" style="1"/>
  </cols>
  <sheetData>
    <row r="1" spans="1:46" x14ac:dyDescent="0.25">
      <c r="A1" s="1">
        <f>SUM(A3:A356)</f>
        <v>68</v>
      </c>
      <c r="B1" s="12" t="s">
        <v>492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</row>
    <row r="2" spans="1:46" s="48" customFormat="1" ht="40.5" customHeight="1" x14ac:dyDescent="0.25">
      <c r="A2" s="47" t="s">
        <v>428</v>
      </c>
      <c r="B2" s="48" t="s">
        <v>11</v>
      </c>
      <c r="C2" s="47" t="s">
        <v>429</v>
      </c>
      <c r="D2" s="47" t="s">
        <v>430</v>
      </c>
      <c r="E2" s="47" t="s">
        <v>431</v>
      </c>
      <c r="F2" s="47" t="s">
        <v>432</v>
      </c>
      <c r="G2" s="47" t="s">
        <v>433</v>
      </c>
      <c r="H2" s="47" t="s">
        <v>434</v>
      </c>
      <c r="I2" s="47" t="s">
        <v>435</v>
      </c>
      <c r="J2" s="68">
        <v>2021</v>
      </c>
      <c r="K2" s="68">
        <v>2019</v>
      </c>
      <c r="L2" s="68">
        <v>2018</v>
      </c>
      <c r="M2" s="68">
        <v>2017</v>
      </c>
      <c r="N2" s="68">
        <v>2016</v>
      </c>
      <c r="O2" s="68">
        <v>2015</v>
      </c>
      <c r="P2" s="68">
        <v>2014</v>
      </c>
      <c r="Q2" s="68">
        <v>2013</v>
      </c>
      <c r="R2" s="68">
        <v>2012</v>
      </c>
      <c r="S2" s="68">
        <v>2011</v>
      </c>
      <c r="T2" s="68">
        <v>2010</v>
      </c>
      <c r="U2" s="68">
        <v>2009</v>
      </c>
      <c r="V2" s="68">
        <v>2008</v>
      </c>
      <c r="W2" s="68">
        <v>2007</v>
      </c>
      <c r="X2" s="68">
        <v>2006</v>
      </c>
      <c r="Y2" s="68">
        <v>2005</v>
      </c>
      <c r="Z2" s="68">
        <v>2004</v>
      </c>
      <c r="AA2" s="68">
        <v>2003</v>
      </c>
      <c r="AB2" s="68">
        <v>2002</v>
      </c>
      <c r="AC2" s="68">
        <v>2001</v>
      </c>
      <c r="AD2" s="68">
        <v>2000</v>
      </c>
      <c r="AE2" s="68">
        <v>1999</v>
      </c>
      <c r="AF2" s="68">
        <v>1998</v>
      </c>
      <c r="AG2" s="68">
        <v>1997</v>
      </c>
      <c r="AH2" s="68">
        <v>1996</v>
      </c>
      <c r="AI2" s="68">
        <v>1995</v>
      </c>
      <c r="AJ2" s="68">
        <v>1994</v>
      </c>
      <c r="AK2" s="68">
        <v>1993</v>
      </c>
      <c r="AL2" s="68">
        <v>1992</v>
      </c>
      <c r="AM2" s="68">
        <v>1991</v>
      </c>
      <c r="AN2" s="68">
        <v>1990</v>
      </c>
      <c r="AO2" s="68">
        <v>1989</v>
      </c>
      <c r="AP2" s="68">
        <v>1988</v>
      </c>
      <c r="AQ2" s="68">
        <v>1987</v>
      </c>
      <c r="AR2" s="68">
        <v>1986</v>
      </c>
      <c r="AS2" s="68">
        <v>1985</v>
      </c>
      <c r="AT2" s="47"/>
    </row>
    <row r="3" spans="1:46" x14ac:dyDescent="0.25">
      <c r="A3" s="1">
        <f>COUNTIF('Value Matchup'!$D$356:$D$423,'Team History'!B3)</f>
        <v>1</v>
      </c>
      <c r="B3" t="s">
        <v>107</v>
      </c>
      <c r="C3" s="1">
        <f>COUNTIF($K3:$AS3,"&gt;0")</f>
        <v>0</v>
      </c>
      <c r="D3" s="1">
        <f>COUNTIF($K3:$AS3,"&gt;1")</f>
        <v>0</v>
      </c>
      <c r="E3" s="1">
        <f>COUNTIF($K3:$AS3,"&gt;2")</f>
        <v>0</v>
      </c>
      <c r="F3" s="1">
        <f>COUNTIF($K3:$AS3,"&gt;3")</f>
        <v>0</v>
      </c>
      <c r="G3" s="1">
        <f>COUNTIF($K3:$AS3,"&gt;4")</f>
        <v>0</v>
      </c>
      <c r="H3" s="1">
        <f>COUNTIF($K3:$AS3,"&gt;5")</f>
        <v>0</v>
      </c>
      <c r="I3" s="64">
        <f>SUM(K3:AT3)+SUM(K3:T3)</f>
        <v>1</v>
      </c>
      <c r="J3" s="74">
        <f>IFERROR(LOOKUP(2,1/('2022 Bracket Picker'!$J:$J='Team History'!$B3)/('2022 Bracket Picker'!$B:$B='Team History'!J$2),('2022 Bracket Picker'!$R:$R)),"")</f>
        <v>1</v>
      </c>
      <c r="K3" s="74">
        <f>IFERROR(LOOKUP(2,1/('2022 Bracket Picker'!$J:$J='Team History'!$B3)/('2022 Bracket Picker'!$B:$B='Team History'!K$2),('2022 Bracket Picker'!$R:$R)),"")</f>
        <v>0</v>
      </c>
      <c r="L3" s="74" t="str">
        <f>IFERROR(LOOKUP(2,1/('2022 Bracket Picker'!$J:$J='Team History'!$B3)/('2022 Bracket Picker'!$B:$B='Team History'!L$2),('2022 Bracket Picker'!$R:$R)),"")</f>
        <v/>
      </c>
      <c r="M3" s="1" t="s">
        <v>480</v>
      </c>
      <c r="N3" s="1" t="s">
        <v>480</v>
      </c>
      <c r="O3" s="1" t="s">
        <v>480</v>
      </c>
      <c r="P3" s="1" t="s">
        <v>480</v>
      </c>
      <c r="Q3" s="1" t="s">
        <v>480</v>
      </c>
      <c r="R3" s="1" t="s">
        <v>480</v>
      </c>
      <c r="S3" s="1" t="s">
        <v>480</v>
      </c>
      <c r="T3" s="1" t="s">
        <v>480</v>
      </c>
      <c r="U3" s="1" t="s">
        <v>480</v>
      </c>
      <c r="V3" s="1" t="s">
        <v>480</v>
      </c>
      <c r="W3" s="1" t="s">
        <v>480</v>
      </c>
      <c r="X3" s="1" t="s">
        <v>480</v>
      </c>
      <c r="Y3" s="1" t="s">
        <v>480</v>
      </c>
      <c r="Z3" s="1" t="s">
        <v>480</v>
      </c>
      <c r="AA3" s="1" t="s">
        <v>480</v>
      </c>
      <c r="AB3" s="1" t="s">
        <v>480</v>
      </c>
      <c r="AC3" s="1" t="s">
        <v>480</v>
      </c>
      <c r="AD3" s="1" t="s">
        <v>480</v>
      </c>
      <c r="AE3" s="1" t="s">
        <v>480</v>
      </c>
      <c r="AF3" s="1" t="s">
        <v>480</v>
      </c>
      <c r="AG3" s="1" t="s">
        <v>480</v>
      </c>
      <c r="AH3" s="1" t="s">
        <v>480</v>
      </c>
      <c r="AI3" s="1" t="s">
        <v>480</v>
      </c>
      <c r="AJ3" s="1" t="s">
        <v>480</v>
      </c>
      <c r="AK3" s="1" t="s">
        <v>480</v>
      </c>
      <c r="AL3" s="1" t="s">
        <v>480</v>
      </c>
      <c r="AM3" s="1" t="s">
        <v>480</v>
      </c>
      <c r="AN3" s="1" t="s">
        <v>480</v>
      </c>
      <c r="AO3" s="1" t="s">
        <v>480</v>
      </c>
      <c r="AP3" s="1" t="s">
        <v>480</v>
      </c>
      <c r="AQ3" s="1" t="s">
        <v>480</v>
      </c>
      <c r="AR3" s="1" t="s">
        <v>480</v>
      </c>
      <c r="AS3" s="1" t="s">
        <v>480</v>
      </c>
      <c r="AT3" s="1">
        <f>COUNT(K3:AS3)</f>
        <v>1</v>
      </c>
    </row>
    <row r="4" spans="1:46" x14ac:dyDescent="0.25">
      <c r="A4" s="1">
        <f>COUNTIF('Value Matchup'!$D$356:$D$423,'Team History'!B4)</f>
        <v>0</v>
      </c>
      <c r="B4" t="s">
        <v>109</v>
      </c>
      <c r="C4" s="1">
        <f t="shared" ref="C4:C67" si="0">COUNTIF($K4:$AS4,"&gt;0")</f>
        <v>0</v>
      </c>
      <c r="D4" s="1">
        <f t="shared" ref="D4:D67" si="1">COUNTIF($K4:$AS4,"&gt;1")</f>
        <v>0</v>
      </c>
      <c r="E4" s="1">
        <f t="shared" ref="E4:E67" si="2">COUNTIF($K4:$AS4,"&gt;2")</f>
        <v>0</v>
      </c>
      <c r="F4" s="1">
        <f t="shared" ref="F4:F67" si="3">COUNTIF($K4:$AS4,"&gt;3")</f>
        <v>0</v>
      </c>
      <c r="G4" s="1">
        <f t="shared" ref="G4:G67" si="4">COUNTIF($K4:$AS4,"&gt;4")</f>
        <v>0</v>
      </c>
      <c r="H4" s="1">
        <f t="shared" ref="H4:H67" si="5">COUNTIF($K4:$AS4,"&gt;5")</f>
        <v>0</v>
      </c>
      <c r="I4" s="64">
        <f t="shared" ref="I4:I67" si="6">SUM(K4:AT4)+SUM(K4:T4)</f>
        <v>2</v>
      </c>
      <c r="J4" s="74" t="str">
        <f>IFERROR(LOOKUP(2,1/('2022 Bracket Picker'!$J:$J='Team History'!$B4)/('2022 Bracket Picker'!$B:$B='Team History'!J$2),('2022 Bracket Picker'!$R:$R)),"")</f>
        <v/>
      </c>
      <c r="K4" s="90" t="s">
        <v>480</v>
      </c>
      <c r="L4" s="1" t="s">
        <v>480</v>
      </c>
      <c r="M4" s="1" t="s">
        <v>480</v>
      </c>
      <c r="N4" s="1" t="s">
        <v>480</v>
      </c>
      <c r="O4" s="1" t="s">
        <v>480</v>
      </c>
      <c r="P4" s="1" t="s">
        <v>480</v>
      </c>
      <c r="Q4" s="1" t="s">
        <v>480</v>
      </c>
      <c r="R4" s="1" t="s">
        <v>480</v>
      </c>
      <c r="S4" s="1" t="s">
        <v>480</v>
      </c>
      <c r="T4" s="1" t="s">
        <v>480</v>
      </c>
      <c r="U4" s="1" t="s">
        <v>480</v>
      </c>
      <c r="V4" s="1" t="s">
        <v>480</v>
      </c>
      <c r="W4" s="1" t="s">
        <v>480</v>
      </c>
      <c r="X4" s="1">
        <v>0</v>
      </c>
      <c r="Y4" s="1" t="s">
        <v>480</v>
      </c>
      <c r="Z4" s="1">
        <v>0</v>
      </c>
      <c r="AA4" s="1" t="s">
        <v>480</v>
      </c>
      <c r="AB4" s="1" t="s">
        <v>480</v>
      </c>
      <c r="AC4" s="1" t="s">
        <v>480</v>
      </c>
      <c r="AD4" s="1" t="s">
        <v>480</v>
      </c>
      <c r="AE4" s="1" t="s">
        <v>480</v>
      </c>
      <c r="AF4" s="1" t="s">
        <v>480</v>
      </c>
      <c r="AG4" s="1" t="s">
        <v>480</v>
      </c>
      <c r="AH4" s="1" t="s">
        <v>480</v>
      </c>
      <c r="AI4" s="1" t="s">
        <v>480</v>
      </c>
      <c r="AJ4" s="1" t="s">
        <v>480</v>
      </c>
      <c r="AK4" s="1" t="s">
        <v>480</v>
      </c>
      <c r="AL4" s="1" t="s">
        <v>480</v>
      </c>
      <c r="AM4" s="1" t="s">
        <v>480</v>
      </c>
      <c r="AN4" s="1" t="s">
        <v>480</v>
      </c>
      <c r="AO4" s="1" t="s">
        <v>480</v>
      </c>
      <c r="AP4" s="1" t="s">
        <v>480</v>
      </c>
      <c r="AQ4" s="1" t="s">
        <v>480</v>
      </c>
      <c r="AR4" s="1" t="s">
        <v>480</v>
      </c>
      <c r="AS4" s="1" t="s">
        <v>480</v>
      </c>
      <c r="AT4" s="1">
        <f t="shared" ref="AT4:AT67" si="7">COUNT(K4:AS4)</f>
        <v>2</v>
      </c>
    </row>
    <row r="5" spans="1:46" x14ac:dyDescent="0.25">
      <c r="A5" s="1">
        <f>COUNTIF('Value Matchup'!$D$356:$D$423,'Team History'!B5)</f>
        <v>0</v>
      </c>
      <c r="B5" t="s">
        <v>111</v>
      </c>
      <c r="C5" s="1">
        <f t="shared" si="0"/>
        <v>0</v>
      </c>
      <c r="D5" s="1">
        <f t="shared" si="1"/>
        <v>0</v>
      </c>
      <c r="E5" s="1">
        <f t="shared" si="2"/>
        <v>0</v>
      </c>
      <c r="F5" s="1">
        <f t="shared" si="3"/>
        <v>0</v>
      </c>
      <c r="G5" s="1">
        <f t="shared" si="4"/>
        <v>0</v>
      </c>
      <c r="H5" s="1">
        <f t="shared" si="5"/>
        <v>0</v>
      </c>
      <c r="I5" s="64">
        <f t="shared" si="6"/>
        <v>4</v>
      </c>
      <c r="J5" s="74" t="str">
        <f>IFERROR(LOOKUP(2,1/('2022 Bracket Picker'!$J:$J='Team History'!$B5)/('2022 Bracket Picker'!$B:$B='Team History'!J$2),('2022 Bracket Picker'!$R:$R)),"")</f>
        <v/>
      </c>
      <c r="K5" s="90" t="s">
        <v>480</v>
      </c>
      <c r="L5" s="1" t="s">
        <v>480</v>
      </c>
      <c r="M5" s="1" t="s">
        <v>480</v>
      </c>
      <c r="N5" s="1" t="s">
        <v>480</v>
      </c>
      <c r="O5" s="1" t="s">
        <v>480</v>
      </c>
      <c r="P5" s="1" t="s">
        <v>480</v>
      </c>
      <c r="Q5" s="1">
        <v>0</v>
      </c>
      <c r="R5" s="1" t="s">
        <v>480</v>
      </c>
      <c r="S5" s="1">
        <v>0</v>
      </c>
      <c r="T5" s="1" t="s">
        <v>480</v>
      </c>
      <c r="U5" s="1">
        <v>0</v>
      </c>
      <c r="V5" s="1" t="s">
        <v>480</v>
      </c>
      <c r="W5" s="1" t="s">
        <v>480</v>
      </c>
      <c r="X5" s="1" t="s">
        <v>480</v>
      </c>
      <c r="Y5" s="1" t="s">
        <v>480</v>
      </c>
      <c r="Z5" s="1" t="s">
        <v>480</v>
      </c>
      <c r="AA5" s="1" t="s">
        <v>480</v>
      </c>
      <c r="AB5" s="1" t="s">
        <v>480</v>
      </c>
      <c r="AC5" s="1" t="s">
        <v>480</v>
      </c>
      <c r="AD5" s="1" t="s">
        <v>480</v>
      </c>
      <c r="AE5" s="1" t="s">
        <v>480</v>
      </c>
      <c r="AF5" s="1" t="s">
        <v>480</v>
      </c>
      <c r="AG5" s="1" t="s">
        <v>480</v>
      </c>
      <c r="AH5" s="1" t="s">
        <v>480</v>
      </c>
      <c r="AI5" s="1" t="s">
        <v>480</v>
      </c>
      <c r="AJ5" s="1" t="s">
        <v>480</v>
      </c>
      <c r="AK5" s="1" t="s">
        <v>480</v>
      </c>
      <c r="AL5" s="1" t="s">
        <v>480</v>
      </c>
      <c r="AM5" s="1" t="s">
        <v>480</v>
      </c>
      <c r="AN5" s="1" t="s">
        <v>480</v>
      </c>
      <c r="AO5" s="1" t="s">
        <v>480</v>
      </c>
      <c r="AP5" s="1" t="s">
        <v>480</v>
      </c>
      <c r="AQ5" s="1" t="s">
        <v>480</v>
      </c>
      <c r="AR5" s="1">
        <v>0</v>
      </c>
      <c r="AS5" s="1" t="s">
        <v>480</v>
      </c>
      <c r="AT5" s="1">
        <f t="shared" si="7"/>
        <v>4</v>
      </c>
    </row>
    <row r="6" spans="1:46" x14ac:dyDescent="0.25">
      <c r="A6" s="1">
        <f>COUNTIF('Value Matchup'!$D$356:$D$423,'Team History'!B6)</f>
        <v>1</v>
      </c>
      <c r="B6" t="s">
        <v>113</v>
      </c>
      <c r="C6" s="1">
        <f t="shared" si="0"/>
        <v>12</v>
      </c>
      <c r="D6" s="1">
        <f t="shared" si="1"/>
        <v>6</v>
      </c>
      <c r="E6" s="1">
        <f t="shared" si="2"/>
        <v>1</v>
      </c>
      <c r="F6" s="1">
        <f t="shared" si="3"/>
        <v>0</v>
      </c>
      <c r="G6" s="1">
        <f t="shared" si="4"/>
        <v>0</v>
      </c>
      <c r="H6" s="1">
        <f t="shared" si="5"/>
        <v>0</v>
      </c>
      <c r="I6" s="64">
        <f t="shared" si="6"/>
        <v>36</v>
      </c>
      <c r="J6" s="74">
        <f>IFERROR(LOOKUP(2,1/('2022 Bracket Picker'!$J:$J='Team History'!$B6)/('2022 Bracket Picker'!$B:$B='Team History'!J$2),('2022 Bracket Picker'!$R:$R)),"")</f>
        <v>2</v>
      </c>
      <c r="K6" s="90" t="s">
        <v>480</v>
      </c>
      <c r="L6" s="1">
        <v>1</v>
      </c>
      <c r="M6" s="1" t="s">
        <v>480</v>
      </c>
      <c r="N6" s="1" t="s">
        <v>480</v>
      </c>
      <c r="O6" s="1" t="s">
        <v>480</v>
      </c>
      <c r="P6" s="1" t="s">
        <v>480</v>
      </c>
      <c r="Q6" s="1" t="s">
        <v>480</v>
      </c>
      <c r="R6" s="1">
        <v>0</v>
      </c>
      <c r="S6" s="1" t="s">
        <v>480</v>
      </c>
      <c r="T6" s="1" t="s">
        <v>480</v>
      </c>
      <c r="U6" s="1" t="s">
        <v>480</v>
      </c>
      <c r="V6" s="1" t="s">
        <v>480</v>
      </c>
      <c r="W6" s="1" t="s">
        <v>480</v>
      </c>
      <c r="X6" s="1">
        <v>1</v>
      </c>
      <c r="Y6" s="1">
        <v>0</v>
      </c>
      <c r="Z6" s="1">
        <v>3</v>
      </c>
      <c r="AA6" s="1">
        <v>0</v>
      </c>
      <c r="AB6" s="1">
        <v>1</v>
      </c>
      <c r="AC6" s="1" t="s">
        <v>480</v>
      </c>
      <c r="AD6" s="1" t="s">
        <v>480</v>
      </c>
      <c r="AE6" s="1" t="s">
        <v>480</v>
      </c>
      <c r="AF6" s="1" t="s">
        <v>480</v>
      </c>
      <c r="AG6" s="1" t="s">
        <v>480</v>
      </c>
      <c r="AH6" s="1" t="s">
        <v>480</v>
      </c>
      <c r="AI6" s="1">
        <v>1</v>
      </c>
      <c r="AJ6" s="1">
        <v>1</v>
      </c>
      <c r="AK6" s="1" t="s">
        <v>480</v>
      </c>
      <c r="AL6" s="1">
        <v>1</v>
      </c>
      <c r="AM6" s="1">
        <v>2</v>
      </c>
      <c r="AN6" s="1">
        <v>2</v>
      </c>
      <c r="AO6" s="1">
        <v>0</v>
      </c>
      <c r="AP6" s="1" t="s">
        <v>480</v>
      </c>
      <c r="AQ6" s="1">
        <v>2</v>
      </c>
      <c r="AR6" s="1">
        <v>2</v>
      </c>
      <c r="AS6" s="1">
        <v>2</v>
      </c>
      <c r="AT6" s="1">
        <f t="shared" si="7"/>
        <v>16</v>
      </c>
    </row>
    <row r="7" spans="1:46" x14ac:dyDescent="0.25">
      <c r="A7" s="1">
        <f>COUNTIF('Value Matchup'!$D$356:$D$423,'Team History'!B7)</f>
        <v>0</v>
      </c>
      <c r="B7" t="s">
        <v>115</v>
      </c>
      <c r="C7" s="1">
        <f t="shared" si="0"/>
        <v>0</v>
      </c>
      <c r="D7" s="1">
        <f t="shared" si="1"/>
        <v>0</v>
      </c>
      <c r="E7" s="1">
        <f t="shared" si="2"/>
        <v>0</v>
      </c>
      <c r="F7" s="1">
        <f t="shared" si="3"/>
        <v>0</v>
      </c>
      <c r="G7" s="1">
        <f t="shared" si="4"/>
        <v>0</v>
      </c>
      <c r="H7" s="1">
        <f t="shared" si="5"/>
        <v>0</v>
      </c>
      <c r="I7" s="64">
        <f t="shared" si="6"/>
        <v>1</v>
      </c>
      <c r="J7" s="74" t="str">
        <f>IFERROR(LOOKUP(2,1/('2022 Bracket Picker'!$J:$J='Team History'!$B7)/('2022 Bracket Picker'!$B:$B='Team History'!J$2),('2022 Bracket Picker'!$R:$R)),"")</f>
        <v/>
      </c>
      <c r="K7" s="90" t="s">
        <v>480</v>
      </c>
      <c r="L7" s="1" t="s">
        <v>480</v>
      </c>
      <c r="M7" s="1" t="s">
        <v>480</v>
      </c>
      <c r="N7" s="1" t="s">
        <v>480</v>
      </c>
      <c r="O7" s="1" t="s">
        <v>480</v>
      </c>
      <c r="P7" s="1" t="s">
        <v>480</v>
      </c>
      <c r="Q7" s="1" t="s">
        <v>480</v>
      </c>
      <c r="R7" s="1" t="s">
        <v>480</v>
      </c>
      <c r="S7" s="1" t="s">
        <v>480</v>
      </c>
      <c r="T7" s="1" t="s">
        <v>480</v>
      </c>
      <c r="U7" s="1" t="s">
        <v>480</v>
      </c>
      <c r="V7" s="1" t="s">
        <v>480</v>
      </c>
      <c r="W7" s="1" t="s">
        <v>480</v>
      </c>
      <c r="X7" s="1" t="s">
        <v>480</v>
      </c>
      <c r="Y7" s="1">
        <v>0</v>
      </c>
      <c r="Z7" s="1" t="s">
        <v>480</v>
      </c>
      <c r="AA7" s="1" t="s">
        <v>480</v>
      </c>
      <c r="AB7" s="1" t="s">
        <v>480</v>
      </c>
      <c r="AC7" s="1" t="s">
        <v>480</v>
      </c>
      <c r="AD7" s="1" t="s">
        <v>480</v>
      </c>
      <c r="AE7" s="1" t="s">
        <v>480</v>
      </c>
      <c r="AF7" s="1" t="s">
        <v>480</v>
      </c>
      <c r="AG7" s="1" t="s">
        <v>480</v>
      </c>
      <c r="AH7" s="1" t="s">
        <v>480</v>
      </c>
      <c r="AI7" s="1" t="s">
        <v>480</v>
      </c>
      <c r="AJ7" s="1" t="s">
        <v>480</v>
      </c>
      <c r="AK7" s="1" t="s">
        <v>480</v>
      </c>
      <c r="AL7" s="1" t="s">
        <v>480</v>
      </c>
      <c r="AM7" s="1" t="s">
        <v>480</v>
      </c>
      <c r="AN7" s="1" t="s">
        <v>480</v>
      </c>
      <c r="AO7" s="1" t="s">
        <v>480</v>
      </c>
      <c r="AP7" s="1" t="s">
        <v>480</v>
      </c>
      <c r="AQ7" s="1" t="s">
        <v>480</v>
      </c>
      <c r="AR7" s="1" t="s">
        <v>480</v>
      </c>
      <c r="AS7" s="1" t="s">
        <v>480</v>
      </c>
      <c r="AT7" s="1">
        <f t="shared" si="7"/>
        <v>1</v>
      </c>
    </row>
    <row r="8" spans="1:46" x14ac:dyDescent="0.25">
      <c r="A8" s="1">
        <f>COUNTIF('Value Matchup'!$D$356:$D$423,'Team History'!B8)</f>
        <v>0</v>
      </c>
      <c r="B8" t="s">
        <v>117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1">
        <f t="shared" si="4"/>
        <v>0</v>
      </c>
      <c r="H8" s="1">
        <f t="shared" si="5"/>
        <v>0</v>
      </c>
      <c r="I8" s="64">
        <f t="shared" si="6"/>
        <v>4</v>
      </c>
      <c r="J8" s="74" t="str">
        <f>IFERROR(LOOKUP(2,1/('2022 Bracket Picker'!$J:$J='Team History'!$B8)/('2022 Bracket Picker'!$B:$B='Team History'!J$2),('2022 Bracket Picker'!$R:$R)),"")</f>
        <v/>
      </c>
      <c r="K8" s="90" t="s">
        <v>480</v>
      </c>
      <c r="L8" s="1" t="s">
        <v>480</v>
      </c>
      <c r="M8" s="1" t="s">
        <v>480</v>
      </c>
      <c r="N8" s="1" t="s">
        <v>480</v>
      </c>
      <c r="O8" s="1" t="s">
        <v>480</v>
      </c>
      <c r="P8" s="1" t="s">
        <v>480</v>
      </c>
      <c r="Q8" s="1" t="s">
        <v>480</v>
      </c>
      <c r="R8" s="1" t="s">
        <v>480</v>
      </c>
      <c r="S8" s="1">
        <v>0</v>
      </c>
      <c r="T8" s="1" t="s">
        <v>480</v>
      </c>
      <c r="U8" s="1">
        <v>0</v>
      </c>
      <c r="V8" s="1" t="s">
        <v>480</v>
      </c>
      <c r="W8" s="1" t="s">
        <v>480</v>
      </c>
      <c r="X8" s="1" t="s">
        <v>480</v>
      </c>
      <c r="Y8" s="1" t="s">
        <v>480</v>
      </c>
      <c r="Z8" s="1">
        <v>0</v>
      </c>
      <c r="AA8" s="1" t="s">
        <v>480</v>
      </c>
      <c r="AB8" s="1" t="s">
        <v>480</v>
      </c>
      <c r="AC8" s="1">
        <v>0</v>
      </c>
      <c r="AD8" s="1" t="s">
        <v>480</v>
      </c>
      <c r="AE8" s="1" t="s">
        <v>480</v>
      </c>
      <c r="AF8" s="1" t="s">
        <v>480</v>
      </c>
      <c r="AG8" s="1" t="s">
        <v>480</v>
      </c>
      <c r="AH8" s="1" t="s">
        <v>480</v>
      </c>
      <c r="AI8" s="1" t="s">
        <v>480</v>
      </c>
      <c r="AJ8" s="1" t="s">
        <v>480</v>
      </c>
      <c r="AK8" s="1" t="s">
        <v>480</v>
      </c>
      <c r="AL8" s="1" t="s">
        <v>480</v>
      </c>
      <c r="AM8" s="1" t="s">
        <v>480</v>
      </c>
      <c r="AN8" s="1" t="s">
        <v>480</v>
      </c>
      <c r="AO8" s="1" t="s">
        <v>480</v>
      </c>
      <c r="AP8" s="1" t="s">
        <v>480</v>
      </c>
      <c r="AQ8" s="1" t="s">
        <v>480</v>
      </c>
      <c r="AR8" s="1" t="s">
        <v>480</v>
      </c>
      <c r="AS8" s="1" t="s">
        <v>480</v>
      </c>
      <c r="AT8" s="1">
        <f t="shared" si="7"/>
        <v>4</v>
      </c>
    </row>
    <row r="9" spans="1:46" x14ac:dyDescent="0.25">
      <c r="A9" s="1">
        <f>COUNTIF('Value Matchup'!$D$356:$D$423,'Team History'!B9)</f>
        <v>0</v>
      </c>
      <c r="B9" t="s">
        <v>59</v>
      </c>
      <c r="C9" s="1">
        <f t="shared" si="0"/>
        <v>0</v>
      </c>
      <c r="D9" s="1">
        <f t="shared" si="1"/>
        <v>0</v>
      </c>
      <c r="E9" s="1">
        <f t="shared" si="2"/>
        <v>0</v>
      </c>
      <c r="F9" s="1">
        <f t="shared" si="3"/>
        <v>0</v>
      </c>
      <c r="G9" s="1">
        <f t="shared" si="4"/>
        <v>0</v>
      </c>
      <c r="H9" s="1">
        <f t="shared" si="5"/>
        <v>0</v>
      </c>
      <c r="I9" s="64">
        <f t="shared" si="6"/>
        <v>5</v>
      </c>
      <c r="J9" s="74" t="str">
        <f>IFERROR(LOOKUP(2,1/('2022 Bracket Picker'!$J:$J='Team History'!$B9)/('2022 Bracket Picker'!$B:$B='Team History'!J$2),('2022 Bracket Picker'!$R:$R)),"")</f>
        <v/>
      </c>
      <c r="K9" s="90" t="s">
        <v>480</v>
      </c>
      <c r="L9" s="1" t="s">
        <v>480</v>
      </c>
      <c r="M9" s="1" t="s">
        <v>480</v>
      </c>
      <c r="N9" s="1" t="s">
        <v>480</v>
      </c>
      <c r="O9" s="1">
        <v>0</v>
      </c>
      <c r="P9" s="1">
        <v>0</v>
      </c>
      <c r="Q9" s="1">
        <v>0</v>
      </c>
      <c r="R9" s="1" t="s">
        <v>480</v>
      </c>
      <c r="S9" s="1" t="s">
        <v>480</v>
      </c>
      <c r="T9" s="1" t="s">
        <v>480</v>
      </c>
      <c r="U9" s="1" t="s">
        <v>480</v>
      </c>
      <c r="V9" s="1" t="s">
        <v>480</v>
      </c>
      <c r="W9" s="1">
        <v>0</v>
      </c>
      <c r="X9" s="1">
        <v>0</v>
      </c>
      <c r="Y9" s="1" t="s">
        <v>480</v>
      </c>
      <c r="Z9" s="1" t="s">
        <v>480</v>
      </c>
      <c r="AA9" s="1" t="s">
        <v>480</v>
      </c>
      <c r="AB9" s="1" t="s">
        <v>480</v>
      </c>
      <c r="AC9" s="1" t="s">
        <v>480</v>
      </c>
      <c r="AD9" s="1" t="s">
        <v>480</v>
      </c>
      <c r="AE9" s="1" t="s">
        <v>480</v>
      </c>
      <c r="AF9" s="1" t="s">
        <v>480</v>
      </c>
      <c r="AG9" s="1" t="s">
        <v>480</v>
      </c>
      <c r="AH9" s="1" t="s">
        <v>480</v>
      </c>
      <c r="AI9" s="1" t="s">
        <v>480</v>
      </c>
      <c r="AJ9" s="1" t="s">
        <v>480</v>
      </c>
      <c r="AK9" s="1" t="s">
        <v>480</v>
      </c>
      <c r="AL9" s="1" t="s">
        <v>480</v>
      </c>
      <c r="AM9" s="1" t="s">
        <v>480</v>
      </c>
      <c r="AN9" s="1" t="s">
        <v>480</v>
      </c>
      <c r="AO9" s="1" t="s">
        <v>480</v>
      </c>
      <c r="AP9" s="1" t="s">
        <v>480</v>
      </c>
      <c r="AQ9" s="1" t="s">
        <v>480</v>
      </c>
      <c r="AR9" s="1" t="s">
        <v>480</v>
      </c>
      <c r="AS9" s="1" t="s">
        <v>480</v>
      </c>
      <c r="AT9" s="1">
        <f t="shared" si="7"/>
        <v>5</v>
      </c>
    </row>
    <row r="10" spans="1:46" x14ac:dyDescent="0.25">
      <c r="A10" s="1">
        <f>COUNTIF('Value Matchup'!$D$356:$D$423,'Team History'!B10)</f>
        <v>0</v>
      </c>
      <c r="B10" t="s">
        <v>119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1">
        <f t="shared" si="4"/>
        <v>0</v>
      </c>
      <c r="H10" s="1">
        <f t="shared" si="5"/>
        <v>0</v>
      </c>
      <c r="I10" s="64">
        <f t="shared" si="6"/>
        <v>2</v>
      </c>
      <c r="J10" s="74" t="str">
        <f>IFERROR(LOOKUP(2,1/('2022 Bracket Picker'!$J:$J='Team History'!$B10)/('2022 Bracket Picker'!$B:$B='Team History'!J$2),('2022 Bracket Picker'!$R:$R)),"")</f>
        <v/>
      </c>
      <c r="K10" s="90" t="s">
        <v>480</v>
      </c>
      <c r="L10" s="1" t="s">
        <v>480</v>
      </c>
      <c r="M10" s="1" t="s">
        <v>480</v>
      </c>
      <c r="N10" s="1" t="s">
        <v>480</v>
      </c>
      <c r="O10" s="1" t="s">
        <v>480</v>
      </c>
      <c r="P10" s="1" t="s">
        <v>480</v>
      </c>
      <c r="Q10" s="1" t="s">
        <v>480</v>
      </c>
      <c r="R10" s="1" t="s">
        <v>480</v>
      </c>
      <c r="S10" s="1" t="s">
        <v>480</v>
      </c>
      <c r="T10" s="1" t="s">
        <v>480</v>
      </c>
      <c r="U10" s="1" t="s">
        <v>480</v>
      </c>
      <c r="V10" s="1" t="s">
        <v>480</v>
      </c>
      <c r="W10" s="1" t="s">
        <v>480</v>
      </c>
      <c r="X10" s="1" t="s">
        <v>480</v>
      </c>
      <c r="Y10" s="1" t="s">
        <v>480</v>
      </c>
      <c r="Z10" s="1" t="s">
        <v>480</v>
      </c>
      <c r="AA10" s="1" t="s">
        <v>480</v>
      </c>
      <c r="AB10" s="1">
        <v>0</v>
      </c>
      <c r="AC10" s="1" t="s">
        <v>480</v>
      </c>
      <c r="AD10" s="1" t="s">
        <v>480</v>
      </c>
      <c r="AE10" s="1">
        <v>0</v>
      </c>
      <c r="AF10" s="1" t="s">
        <v>480</v>
      </c>
      <c r="AG10" s="1" t="s">
        <v>480</v>
      </c>
      <c r="AH10" s="1" t="s">
        <v>480</v>
      </c>
      <c r="AI10" s="1" t="s">
        <v>480</v>
      </c>
      <c r="AJ10" s="1" t="s">
        <v>480</v>
      </c>
      <c r="AK10" s="1" t="s">
        <v>480</v>
      </c>
      <c r="AL10" s="1" t="s">
        <v>480</v>
      </c>
      <c r="AM10" s="1" t="s">
        <v>480</v>
      </c>
      <c r="AN10" s="1" t="s">
        <v>480</v>
      </c>
      <c r="AO10" s="1" t="s">
        <v>480</v>
      </c>
      <c r="AP10" s="1" t="s">
        <v>480</v>
      </c>
      <c r="AQ10" s="1" t="s">
        <v>480</v>
      </c>
      <c r="AR10" s="1" t="s">
        <v>480</v>
      </c>
      <c r="AS10" s="1" t="s">
        <v>480</v>
      </c>
      <c r="AT10" s="1">
        <f t="shared" si="7"/>
        <v>2</v>
      </c>
    </row>
    <row r="11" spans="1:46" x14ac:dyDescent="0.25">
      <c r="A11" s="1">
        <f>COUNTIF('Value Matchup'!$D$356:$D$423,'Team History'!B11)</f>
        <v>0</v>
      </c>
      <c r="B11" t="s">
        <v>120</v>
      </c>
      <c r="C11" s="1">
        <f t="shared" si="0"/>
        <v>0</v>
      </c>
      <c r="D11" s="1">
        <f t="shared" si="1"/>
        <v>0</v>
      </c>
      <c r="E11" s="1">
        <f t="shared" si="2"/>
        <v>0</v>
      </c>
      <c r="F11" s="1">
        <f t="shared" si="3"/>
        <v>0</v>
      </c>
      <c r="G11" s="1">
        <f t="shared" si="4"/>
        <v>0</v>
      </c>
      <c r="H11" s="1">
        <f t="shared" si="5"/>
        <v>0</v>
      </c>
      <c r="I11" s="64">
        <f t="shared" si="6"/>
        <v>3</v>
      </c>
      <c r="J11" s="74" t="str">
        <f>IFERROR(LOOKUP(2,1/('2022 Bracket Picker'!$J:$J='Team History'!$B11)/('2022 Bracket Picker'!$B:$B='Team History'!J$2),('2022 Bracket Picker'!$R:$R)),"")</f>
        <v/>
      </c>
      <c r="K11" s="90" t="s">
        <v>480</v>
      </c>
      <c r="L11" s="1" t="s">
        <v>480</v>
      </c>
      <c r="M11" s="1" t="s">
        <v>480</v>
      </c>
      <c r="N11" s="1" t="s">
        <v>480</v>
      </c>
      <c r="O11" s="1" t="s">
        <v>480</v>
      </c>
      <c r="P11" s="1">
        <v>0</v>
      </c>
      <c r="Q11" s="1" t="s">
        <v>480</v>
      </c>
      <c r="R11" s="1" t="s">
        <v>480</v>
      </c>
      <c r="S11" s="1" t="s">
        <v>480</v>
      </c>
      <c r="T11" s="1" t="s">
        <v>480</v>
      </c>
      <c r="U11" s="1">
        <v>0</v>
      </c>
      <c r="V11" s="1">
        <v>0</v>
      </c>
      <c r="W11" s="1" t="s">
        <v>480</v>
      </c>
      <c r="X11" s="1" t="s">
        <v>480</v>
      </c>
      <c r="Y11" s="1" t="s">
        <v>480</v>
      </c>
      <c r="Z11" s="1" t="s">
        <v>480</v>
      </c>
      <c r="AA11" s="1" t="s">
        <v>480</v>
      </c>
      <c r="AB11" s="1" t="s">
        <v>480</v>
      </c>
      <c r="AC11" s="1" t="s">
        <v>480</v>
      </c>
      <c r="AD11" s="1" t="s">
        <v>480</v>
      </c>
      <c r="AE11" s="1" t="s">
        <v>480</v>
      </c>
      <c r="AF11" s="1" t="s">
        <v>480</v>
      </c>
      <c r="AG11" s="1" t="s">
        <v>480</v>
      </c>
      <c r="AH11" s="1" t="s">
        <v>480</v>
      </c>
      <c r="AI11" s="1" t="s">
        <v>480</v>
      </c>
      <c r="AJ11" s="1" t="s">
        <v>480</v>
      </c>
      <c r="AK11" s="1" t="s">
        <v>480</v>
      </c>
      <c r="AL11" s="1" t="s">
        <v>480</v>
      </c>
      <c r="AM11" s="1" t="s">
        <v>480</v>
      </c>
      <c r="AN11" s="1" t="s">
        <v>480</v>
      </c>
      <c r="AO11" s="1" t="s">
        <v>480</v>
      </c>
      <c r="AP11" s="1" t="s">
        <v>480</v>
      </c>
      <c r="AQ11" s="1" t="s">
        <v>480</v>
      </c>
      <c r="AR11" s="1" t="s">
        <v>480</v>
      </c>
      <c r="AS11" s="1" t="s">
        <v>480</v>
      </c>
      <c r="AT11" s="1">
        <f t="shared" si="7"/>
        <v>3</v>
      </c>
    </row>
    <row r="12" spans="1:46" x14ac:dyDescent="0.25">
      <c r="A12" s="1">
        <f>COUNTIF('Value Matchup'!$D$356:$D$423,'Team History'!B12)</f>
        <v>1</v>
      </c>
      <c r="B12" t="s">
        <v>122</v>
      </c>
      <c r="C12" s="1">
        <f t="shared" si="0"/>
        <v>0</v>
      </c>
      <c r="D12" s="1">
        <f t="shared" si="1"/>
        <v>0</v>
      </c>
      <c r="E12" s="1">
        <f t="shared" si="2"/>
        <v>0</v>
      </c>
      <c r="F12" s="1">
        <f t="shared" si="3"/>
        <v>0</v>
      </c>
      <c r="G12" s="1">
        <f t="shared" si="4"/>
        <v>0</v>
      </c>
      <c r="H12" s="1">
        <f t="shared" si="5"/>
        <v>0</v>
      </c>
      <c r="I12" s="64">
        <f t="shared" si="6"/>
        <v>1</v>
      </c>
      <c r="J12" s="74">
        <f>IFERROR(LOOKUP(2,1/('2022 Bracket Picker'!$J:$J='Team History'!$B12)/('2022 Bracket Picker'!$B:$B='Team History'!J$2),('2022 Bracket Picker'!$R:$R)),"")</f>
        <v>0</v>
      </c>
      <c r="K12" s="90" t="s">
        <v>480</v>
      </c>
      <c r="L12" s="1" t="s">
        <v>480</v>
      </c>
      <c r="M12" s="1" t="s">
        <v>480</v>
      </c>
      <c r="N12" s="1" t="s">
        <v>480</v>
      </c>
      <c r="O12" s="1" t="s">
        <v>480</v>
      </c>
      <c r="P12" s="1" t="s">
        <v>480</v>
      </c>
      <c r="Q12" s="1" t="s">
        <v>480</v>
      </c>
      <c r="R12" s="1" t="s">
        <v>480</v>
      </c>
      <c r="S12" s="1" t="s">
        <v>480</v>
      </c>
      <c r="T12" s="1" t="s">
        <v>480</v>
      </c>
      <c r="U12" s="1" t="s">
        <v>480</v>
      </c>
      <c r="V12" s="1" t="s">
        <v>480</v>
      </c>
      <c r="W12" s="1" t="s">
        <v>480</v>
      </c>
      <c r="X12" s="1" t="s">
        <v>480</v>
      </c>
      <c r="Y12" s="1" t="s">
        <v>480</v>
      </c>
      <c r="Z12" s="1" t="s">
        <v>480</v>
      </c>
      <c r="AA12" s="1" t="s">
        <v>480</v>
      </c>
      <c r="AB12" s="1" t="s">
        <v>480</v>
      </c>
      <c r="AC12" s="1" t="s">
        <v>480</v>
      </c>
      <c r="AD12" s="1">
        <v>0</v>
      </c>
      <c r="AE12" s="1" t="s">
        <v>480</v>
      </c>
      <c r="AF12" s="1" t="s">
        <v>480</v>
      </c>
      <c r="AG12" s="1" t="s">
        <v>480</v>
      </c>
      <c r="AH12" s="1" t="s">
        <v>480</v>
      </c>
      <c r="AI12" s="1" t="s">
        <v>480</v>
      </c>
      <c r="AJ12" s="1" t="s">
        <v>480</v>
      </c>
      <c r="AK12" s="1" t="s">
        <v>480</v>
      </c>
      <c r="AL12" s="1" t="s">
        <v>480</v>
      </c>
      <c r="AM12" s="1" t="s">
        <v>480</v>
      </c>
      <c r="AN12" s="1" t="s">
        <v>480</v>
      </c>
      <c r="AO12" s="1" t="s">
        <v>480</v>
      </c>
      <c r="AP12" s="1" t="s">
        <v>480</v>
      </c>
      <c r="AQ12" s="1" t="s">
        <v>480</v>
      </c>
      <c r="AR12" s="1" t="s">
        <v>480</v>
      </c>
      <c r="AS12" s="1" t="s">
        <v>480</v>
      </c>
      <c r="AT12" s="1">
        <f t="shared" si="7"/>
        <v>1</v>
      </c>
    </row>
    <row r="13" spans="1:46" x14ac:dyDescent="0.25">
      <c r="A13" s="1">
        <f>COUNTIF('Value Matchup'!$D$356:$D$423,'Team History'!B13)</f>
        <v>0</v>
      </c>
      <c r="B13" t="s">
        <v>48</v>
      </c>
      <c r="C13" s="1">
        <f t="shared" si="0"/>
        <v>19</v>
      </c>
      <c r="D13" s="1">
        <f t="shared" si="1"/>
        <v>16</v>
      </c>
      <c r="E13" s="1">
        <f t="shared" si="2"/>
        <v>9</v>
      </c>
      <c r="F13" s="1">
        <f t="shared" si="3"/>
        <v>3</v>
      </c>
      <c r="G13" s="1">
        <f t="shared" si="4"/>
        <v>1</v>
      </c>
      <c r="H13" s="1">
        <f t="shared" si="5"/>
        <v>0</v>
      </c>
      <c r="I13" s="64">
        <f t="shared" si="6"/>
        <v>92</v>
      </c>
      <c r="J13" s="74" t="str">
        <f>IFERROR(LOOKUP(2,1/('2022 Bracket Picker'!$J:$J='Team History'!$B13)/('2022 Bracket Picker'!$B:$B='Team History'!J$2),('2022 Bracket Picker'!$R:$R)),"")</f>
        <v/>
      </c>
      <c r="K13" s="90" t="s">
        <v>480</v>
      </c>
      <c r="L13" s="1">
        <v>0</v>
      </c>
      <c r="M13" s="1">
        <v>2</v>
      </c>
      <c r="N13" s="1">
        <v>0</v>
      </c>
      <c r="O13" s="1">
        <v>3</v>
      </c>
      <c r="P13" s="1">
        <v>3</v>
      </c>
      <c r="Q13" s="1">
        <v>2</v>
      </c>
      <c r="R13" s="1" t="s">
        <v>480</v>
      </c>
      <c r="S13" s="1">
        <v>3</v>
      </c>
      <c r="T13" s="1" t="s">
        <v>480</v>
      </c>
      <c r="U13" s="1">
        <v>2</v>
      </c>
      <c r="V13" s="1">
        <v>0</v>
      </c>
      <c r="W13" s="1">
        <v>0</v>
      </c>
      <c r="X13" s="1">
        <v>1</v>
      </c>
      <c r="Y13" s="1">
        <v>3</v>
      </c>
      <c r="Z13" s="1">
        <v>0</v>
      </c>
      <c r="AA13" s="1">
        <v>3</v>
      </c>
      <c r="AB13" s="1">
        <v>2</v>
      </c>
      <c r="AC13" s="1">
        <v>5</v>
      </c>
      <c r="AD13" s="1">
        <v>1</v>
      </c>
      <c r="AE13" s="1">
        <v>0</v>
      </c>
      <c r="AF13" s="1">
        <v>3</v>
      </c>
      <c r="AG13" s="1" t="s">
        <v>480</v>
      </c>
      <c r="AH13" s="1">
        <v>2</v>
      </c>
      <c r="AI13" s="1">
        <v>0</v>
      </c>
      <c r="AJ13" s="1">
        <v>4</v>
      </c>
      <c r="AK13" s="1">
        <v>0</v>
      </c>
      <c r="AL13" s="1">
        <v>0</v>
      </c>
      <c r="AM13" s="1">
        <v>2</v>
      </c>
      <c r="AN13" s="1">
        <v>1</v>
      </c>
      <c r="AO13" s="1">
        <v>2</v>
      </c>
      <c r="AP13" s="1">
        <v>4</v>
      </c>
      <c r="AQ13" s="1">
        <v>0</v>
      </c>
      <c r="AR13" s="1">
        <v>0</v>
      </c>
      <c r="AS13" s="1">
        <v>0</v>
      </c>
      <c r="AT13" s="1">
        <f t="shared" si="7"/>
        <v>31</v>
      </c>
    </row>
    <row r="14" spans="1:46" x14ac:dyDescent="0.25">
      <c r="A14" s="1">
        <f>COUNTIF('Value Matchup'!$D$356:$D$423,'Team History'!B14)</f>
        <v>0</v>
      </c>
      <c r="B14" t="s">
        <v>125</v>
      </c>
      <c r="C14" s="1">
        <f t="shared" si="0"/>
        <v>4</v>
      </c>
      <c r="D14" s="1">
        <f t="shared" si="1"/>
        <v>1</v>
      </c>
      <c r="E14" s="1">
        <f t="shared" si="2"/>
        <v>0</v>
      </c>
      <c r="F14" s="1">
        <f t="shared" si="3"/>
        <v>0</v>
      </c>
      <c r="G14" s="1">
        <f t="shared" si="4"/>
        <v>0</v>
      </c>
      <c r="H14" s="1">
        <f t="shared" si="5"/>
        <v>0</v>
      </c>
      <c r="I14" s="64">
        <f t="shared" si="6"/>
        <v>12</v>
      </c>
      <c r="J14" s="74" t="str">
        <f>IFERROR(LOOKUP(2,1/('2022 Bracket Picker'!$J:$J='Team History'!$B14)/('2022 Bracket Picker'!$B:$B='Team History'!J$2),('2022 Bracket Picker'!$R:$R)),"")</f>
        <v/>
      </c>
      <c r="K14" s="90">
        <v>0</v>
      </c>
      <c r="L14" s="1">
        <v>0</v>
      </c>
      <c r="M14" s="1" t="s">
        <v>480</v>
      </c>
      <c r="N14" s="1" t="s">
        <v>480</v>
      </c>
      <c r="O14" s="1" t="s">
        <v>480</v>
      </c>
      <c r="P14" s="1">
        <v>0</v>
      </c>
      <c r="Q14" s="1" t="s">
        <v>480</v>
      </c>
      <c r="R14" s="1" t="s">
        <v>480</v>
      </c>
      <c r="S14" s="1" t="s">
        <v>480</v>
      </c>
      <c r="T14" s="1" t="s">
        <v>480</v>
      </c>
      <c r="U14" s="1">
        <v>1</v>
      </c>
      <c r="V14" s="1" t="s">
        <v>480</v>
      </c>
      <c r="W14" s="1" t="s">
        <v>480</v>
      </c>
      <c r="X14" s="1" t="s">
        <v>480</v>
      </c>
      <c r="Y14" s="1" t="s">
        <v>480</v>
      </c>
      <c r="Z14" s="1" t="s">
        <v>480</v>
      </c>
      <c r="AA14" s="1">
        <v>1</v>
      </c>
      <c r="AB14" s="1" t="s">
        <v>480</v>
      </c>
      <c r="AC14" s="1" t="s">
        <v>480</v>
      </c>
      <c r="AD14" s="1" t="s">
        <v>480</v>
      </c>
      <c r="AE14" s="1" t="s">
        <v>480</v>
      </c>
      <c r="AF14" s="1" t="s">
        <v>480</v>
      </c>
      <c r="AG14" s="1" t="s">
        <v>480</v>
      </c>
      <c r="AH14" s="1" t="s">
        <v>480</v>
      </c>
      <c r="AI14" s="1">
        <v>2</v>
      </c>
      <c r="AJ14" s="1" t="s">
        <v>480</v>
      </c>
      <c r="AK14" s="1" t="s">
        <v>480</v>
      </c>
      <c r="AL14" s="1" t="s">
        <v>480</v>
      </c>
      <c r="AM14" s="1">
        <v>1</v>
      </c>
      <c r="AN14" s="1" t="s">
        <v>480</v>
      </c>
      <c r="AO14" s="1" t="s">
        <v>480</v>
      </c>
      <c r="AP14" s="1" t="s">
        <v>480</v>
      </c>
      <c r="AQ14" s="1" t="s">
        <v>480</v>
      </c>
      <c r="AR14" s="1" t="s">
        <v>480</v>
      </c>
      <c r="AS14" s="1" t="s">
        <v>480</v>
      </c>
      <c r="AT14" s="1">
        <f t="shared" si="7"/>
        <v>7</v>
      </c>
    </row>
    <row r="15" spans="1:46" x14ac:dyDescent="0.25">
      <c r="A15" s="1">
        <f>COUNTIF('Value Matchup'!$D$356:$D$423,'Team History'!B15)</f>
        <v>1</v>
      </c>
      <c r="B15" t="s">
        <v>41</v>
      </c>
      <c r="C15" s="1">
        <f t="shared" si="0"/>
        <v>13</v>
      </c>
      <c r="D15" s="1">
        <f t="shared" si="1"/>
        <v>5</v>
      </c>
      <c r="E15" s="1">
        <f t="shared" si="2"/>
        <v>3</v>
      </c>
      <c r="F15" s="1">
        <f t="shared" si="3"/>
        <v>2</v>
      </c>
      <c r="G15" s="1">
        <f t="shared" si="4"/>
        <v>1</v>
      </c>
      <c r="H15" s="1">
        <f t="shared" si="5"/>
        <v>0</v>
      </c>
      <c r="I15" s="64">
        <f t="shared" si="6"/>
        <v>45</v>
      </c>
      <c r="J15" s="74" t="str">
        <f>IFERROR(LOOKUP(2,1/('2022 Bracket Picker'!$J:$J='Team History'!$B15)/('2022 Bracket Picker'!$B:$B='Team History'!J$2),('2022 Bracket Picker'!$R:$R)),"")</f>
        <v/>
      </c>
      <c r="K15" s="90" t="s">
        <v>480</v>
      </c>
      <c r="L15" s="1">
        <v>0</v>
      </c>
      <c r="M15" s="1">
        <v>1</v>
      </c>
      <c r="N15" s="1" t="s">
        <v>480</v>
      </c>
      <c r="O15" s="1">
        <v>1</v>
      </c>
      <c r="P15" s="1" t="s">
        <v>480</v>
      </c>
      <c r="Q15" s="1" t="s">
        <v>480</v>
      </c>
      <c r="R15" s="1" t="s">
        <v>480</v>
      </c>
      <c r="S15" s="1" t="s">
        <v>480</v>
      </c>
      <c r="T15" s="1" t="s">
        <v>480</v>
      </c>
      <c r="U15" s="1" t="s">
        <v>480</v>
      </c>
      <c r="V15" s="1">
        <v>1</v>
      </c>
      <c r="W15" s="1">
        <v>0</v>
      </c>
      <c r="X15" s="1">
        <v>0</v>
      </c>
      <c r="Y15" s="1" t="s">
        <v>480</v>
      </c>
      <c r="Z15" s="1" t="s">
        <v>480</v>
      </c>
      <c r="AA15" s="1" t="s">
        <v>480</v>
      </c>
      <c r="AB15" s="1" t="s">
        <v>480</v>
      </c>
      <c r="AC15" s="1">
        <v>0</v>
      </c>
      <c r="AD15" s="1">
        <v>0</v>
      </c>
      <c r="AE15" s="1">
        <v>1</v>
      </c>
      <c r="AF15" s="1">
        <v>1</v>
      </c>
      <c r="AG15" s="1" t="s">
        <v>480</v>
      </c>
      <c r="AH15" s="1">
        <v>2</v>
      </c>
      <c r="AI15" s="1">
        <v>5</v>
      </c>
      <c r="AJ15" s="1" t="s">
        <v>480</v>
      </c>
      <c r="AK15" s="1">
        <v>2</v>
      </c>
      <c r="AL15" s="1">
        <v>1</v>
      </c>
      <c r="AM15" s="1">
        <v>3</v>
      </c>
      <c r="AN15" s="1">
        <v>4</v>
      </c>
      <c r="AO15" s="1">
        <v>1</v>
      </c>
      <c r="AP15" s="1">
        <v>0</v>
      </c>
      <c r="AQ15" s="1" t="s">
        <v>480</v>
      </c>
      <c r="AR15" s="1" t="s">
        <v>480</v>
      </c>
      <c r="AS15" s="1">
        <v>1</v>
      </c>
      <c r="AT15" s="1">
        <f t="shared" si="7"/>
        <v>19</v>
      </c>
    </row>
    <row r="16" spans="1:46" x14ac:dyDescent="0.25">
      <c r="A16" s="1">
        <f>COUNTIF('Value Matchup'!$D$356:$D$423,'Team History'!B16)</f>
        <v>0</v>
      </c>
      <c r="B16" t="s">
        <v>126</v>
      </c>
      <c r="C16" s="1">
        <f t="shared" si="0"/>
        <v>0</v>
      </c>
      <c r="D16" s="1">
        <f t="shared" si="1"/>
        <v>0</v>
      </c>
      <c r="E16" s="1">
        <f t="shared" si="2"/>
        <v>0</v>
      </c>
      <c r="F16" s="1">
        <f t="shared" si="3"/>
        <v>0</v>
      </c>
      <c r="G16" s="1">
        <f t="shared" si="4"/>
        <v>0</v>
      </c>
      <c r="H16" s="1">
        <f t="shared" si="5"/>
        <v>0</v>
      </c>
      <c r="I16" s="64">
        <f t="shared" si="6"/>
        <v>1</v>
      </c>
      <c r="J16" s="74" t="str">
        <f>IFERROR(LOOKUP(2,1/('2022 Bracket Picker'!$J:$J='Team History'!$B16)/('2022 Bracket Picker'!$B:$B='Team History'!J$2),('2022 Bracket Picker'!$R:$R)),"")</f>
        <v/>
      </c>
      <c r="K16" s="90" t="s">
        <v>480</v>
      </c>
      <c r="L16" s="1" t="s">
        <v>480</v>
      </c>
      <c r="M16" s="1" t="s">
        <v>480</v>
      </c>
      <c r="N16" s="1" t="s">
        <v>480</v>
      </c>
      <c r="O16" s="1" t="s">
        <v>480</v>
      </c>
      <c r="P16" s="1" t="s">
        <v>480</v>
      </c>
      <c r="Q16" s="1" t="s">
        <v>480</v>
      </c>
      <c r="R16" s="1" t="s">
        <v>480</v>
      </c>
      <c r="S16" s="1" t="s">
        <v>480</v>
      </c>
      <c r="T16" s="1">
        <v>0</v>
      </c>
      <c r="U16" s="1" t="s">
        <v>480</v>
      </c>
      <c r="V16" s="1" t="s">
        <v>480</v>
      </c>
      <c r="W16" s="1" t="s">
        <v>480</v>
      </c>
      <c r="X16" s="1" t="s">
        <v>480</v>
      </c>
      <c r="Y16" s="1" t="s">
        <v>480</v>
      </c>
      <c r="Z16" s="1" t="s">
        <v>480</v>
      </c>
      <c r="AA16" s="1" t="s">
        <v>480</v>
      </c>
      <c r="AB16" s="1" t="s">
        <v>480</v>
      </c>
      <c r="AC16" s="1" t="s">
        <v>480</v>
      </c>
      <c r="AD16" s="1" t="s">
        <v>480</v>
      </c>
      <c r="AE16" s="1" t="s">
        <v>480</v>
      </c>
      <c r="AF16" s="1" t="s">
        <v>480</v>
      </c>
      <c r="AG16" s="1" t="s">
        <v>480</v>
      </c>
      <c r="AH16" s="1" t="s">
        <v>480</v>
      </c>
      <c r="AI16" s="1" t="s">
        <v>480</v>
      </c>
      <c r="AJ16" s="1" t="s">
        <v>480</v>
      </c>
      <c r="AK16" s="1" t="s">
        <v>480</v>
      </c>
      <c r="AL16" s="1" t="s">
        <v>480</v>
      </c>
      <c r="AM16" s="1" t="s">
        <v>480</v>
      </c>
      <c r="AN16" s="1" t="s">
        <v>480</v>
      </c>
      <c r="AO16" s="1" t="s">
        <v>480</v>
      </c>
      <c r="AP16" s="1" t="s">
        <v>480</v>
      </c>
      <c r="AQ16" s="1" t="s">
        <v>480</v>
      </c>
      <c r="AR16" s="1" t="s">
        <v>480</v>
      </c>
      <c r="AS16" s="1" t="s">
        <v>480</v>
      </c>
      <c r="AT16" s="1">
        <f t="shared" si="7"/>
        <v>1</v>
      </c>
    </row>
    <row r="17" spans="1:46" x14ac:dyDescent="0.25">
      <c r="A17" s="1">
        <f>COUNTIF('Value Matchup'!$D$356:$D$423,'Team History'!B17)</f>
        <v>0</v>
      </c>
      <c r="B17" t="s">
        <v>127</v>
      </c>
      <c r="C17" s="1">
        <f t="shared" si="0"/>
        <v>0</v>
      </c>
      <c r="D17" s="1">
        <f t="shared" si="1"/>
        <v>0</v>
      </c>
      <c r="E17" s="1">
        <f t="shared" si="2"/>
        <v>0</v>
      </c>
      <c r="F17" s="1">
        <f t="shared" si="3"/>
        <v>0</v>
      </c>
      <c r="G17" s="1">
        <f t="shared" si="4"/>
        <v>0</v>
      </c>
      <c r="H17" s="1">
        <f t="shared" si="5"/>
        <v>0</v>
      </c>
      <c r="I17" s="64">
        <f t="shared" si="6"/>
        <v>1</v>
      </c>
      <c r="J17" s="74" t="str">
        <f>IFERROR(LOOKUP(2,1/('2022 Bracket Picker'!$J:$J='Team History'!$B17)/('2022 Bracket Picker'!$B:$B='Team History'!J$2),('2022 Bracket Picker'!$R:$R)),"")</f>
        <v/>
      </c>
      <c r="K17" s="90" t="s">
        <v>480</v>
      </c>
      <c r="L17" s="1" t="s">
        <v>480</v>
      </c>
      <c r="M17" s="1" t="s">
        <v>480</v>
      </c>
      <c r="N17" s="1" t="s">
        <v>480</v>
      </c>
      <c r="O17" s="1" t="s">
        <v>480</v>
      </c>
      <c r="P17" s="1" t="s">
        <v>480</v>
      </c>
      <c r="Q17" s="1" t="s">
        <v>480</v>
      </c>
      <c r="R17" s="1" t="s">
        <v>480</v>
      </c>
      <c r="S17" s="1" t="s">
        <v>480</v>
      </c>
      <c r="T17" s="1" t="s">
        <v>480</v>
      </c>
      <c r="U17" s="1" t="s">
        <v>480</v>
      </c>
      <c r="V17" s="1" t="s">
        <v>480</v>
      </c>
      <c r="W17" s="1" t="s">
        <v>480</v>
      </c>
      <c r="X17" s="1" t="s">
        <v>480</v>
      </c>
      <c r="Y17" s="1" t="s">
        <v>480</v>
      </c>
      <c r="Z17" s="1" t="s">
        <v>480</v>
      </c>
      <c r="AA17" s="1" t="s">
        <v>480</v>
      </c>
      <c r="AB17" s="1" t="s">
        <v>480</v>
      </c>
      <c r="AC17" s="1" t="s">
        <v>480</v>
      </c>
      <c r="AD17" s="1" t="s">
        <v>480</v>
      </c>
      <c r="AE17" s="1">
        <v>0</v>
      </c>
      <c r="AF17" s="1" t="s">
        <v>480</v>
      </c>
      <c r="AG17" s="1" t="s">
        <v>480</v>
      </c>
      <c r="AH17" s="1" t="s">
        <v>480</v>
      </c>
      <c r="AI17" s="1" t="s">
        <v>480</v>
      </c>
      <c r="AJ17" s="1" t="s">
        <v>480</v>
      </c>
      <c r="AK17" s="1" t="s">
        <v>480</v>
      </c>
      <c r="AL17" s="1" t="s">
        <v>480</v>
      </c>
      <c r="AM17" s="1" t="s">
        <v>480</v>
      </c>
      <c r="AN17" s="1" t="s">
        <v>480</v>
      </c>
      <c r="AO17" s="1" t="s">
        <v>480</v>
      </c>
      <c r="AP17" s="1" t="s">
        <v>480</v>
      </c>
      <c r="AQ17" s="1" t="s">
        <v>480</v>
      </c>
      <c r="AR17" s="1" t="s">
        <v>480</v>
      </c>
      <c r="AS17" s="1" t="s">
        <v>480</v>
      </c>
      <c r="AT17" s="1">
        <f t="shared" si="7"/>
        <v>1</v>
      </c>
    </row>
    <row r="18" spans="1:46" x14ac:dyDescent="0.25">
      <c r="A18" s="1">
        <f>COUNTIF('Value Matchup'!$D$356:$D$423,'Team History'!B18)</f>
        <v>0</v>
      </c>
      <c r="B18" t="s">
        <v>128</v>
      </c>
      <c r="C18" s="1">
        <f t="shared" si="0"/>
        <v>0</v>
      </c>
      <c r="D18" s="1">
        <f t="shared" si="1"/>
        <v>0</v>
      </c>
      <c r="E18" s="1">
        <f t="shared" si="2"/>
        <v>0</v>
      </c>
      <c r="F18" s="1">
        <f t="shared" si="3"/>
        <v>0</v>
      </c>
      <c r="G18" s="1">
        <f t="shared" si="4"/>
        <v>0</v>
      </c>
      <c r="H18" s="1">
        <f t="shared" si="5"/>
        <v>0</v>
      </c>
      <c r="I18" s="64">
        <f t="shared" si="6"/>
        <v>0</v>
      </c>
      <c r="J18" s="74" t="str">
        <f>IFERROR(LOOKUP(2,1/('2022 Bracket Picker'!$J:$J='Team History'!$B18)/('2022 Bracket Picker'!$B:$B='Team History'!J$2),('2022 Bracket Picker'!$R:$R)),"")</f>
        <v/>
      </c>
      <c r="K18" s="90" t="s">
        <v>480</v>
      </c>
      <c r="L18" s="1" t="s">
        <v>480</v>
      </c>
      <c r="M18" s="1" t="s">
        <v>480</v>
      </c>
      <c r="N18" s="1" t="s">
        <v>480</v>
      </c>
      <c r="O18" s="1" t="s">
        <v>480</v>
      </c>
      <c r="P18" s="1" t="s">
        <v>480</v>
      </c>
      <c r="Q18" s="1" t="s">
        <v>480</v>
      </c>
      <c r="R18" s="1" t="s">
        <v>480</v>
      </c>
      <c r="S18" s="1" t="s">
        <v>480</v>
      </c>
      <c r="T18" s="1" t="s">
        <v>480</v>
      </c>
      <c r="U18" s="1" t="s">
        <v>480</v>
      </c>
      <c r="V18" s="1" t="s">
        <v>480</v>
      </c>
      <c r="W18" s="1" t="s">
        <v>480</v>
      </c>
      <c r="X18" s="1" t="s">
        <v>480</v>
      </c>
      <c r="Y18" s="1" t="s">
        <v>480</v>
      </c>
      <c r="Z18" s="1" t="s">
        <v>480</v>
      </c>
      <c r="AA18" s="1" t="s">
        <v>480</v>
      </c>
      <c r="AB18" s="1" t="s">
        <v>480</v>
      </c>
      <c r="AC18" s="1" t="s">
        <v>480</v>
      </c>
      <c r="AD18" s="1" t="s">
        <v>480</v>
      </c>
      <c r="AE18" s="1" t="s">
        <v>480</v>
      </c>
      <c r="AF18" s="1" t="s">
        <v>480</v>
      </c>
      <c r="AG18" s="1" t="s">
        <v>480</v>
      </c>
      <c r="AH18" s="1" t="s">
        <v>480</v>
      </c>
      <c r="AI18" s="1" t="s">
        <v>480</v>
      </c>
      <c r="AJ18" s="1" t="s">
        <v>480</v>
      </c>
      <c r="AK18" s="1" t="s">
        <v>480</v>
      </c>
      <c r="AL18" s="1" t="s">
        <v>480</v>
      </c>
      <c r="AM18" s="1" t="s">
        <v>480</v>
      </c>
      <c r="AN18" s="1" t="s">
        <v>480</v>
      </c>
      <c r="AO18" s="1" t="s">
        <v>480</v>
      </c>
      <c r="AP18" s="1" t="s">
        <v>480</v>
      </c>
      <c r="AQ18" s="1" t="s">
        <v>480</v>
      </c>
      <c r="AR18" s="1" t="s">
        <v>480</v>
      </c>
      <c r="AS18" s="1" t="s">
        <v>480</v>
      </c>
      <c r="AT18" s="1">
        <f t="shared" si="7"/>
        <v>0</v>
      </c>
    </row>
    <row r="19" spans="1:46" x14ac:dyDescent="0.25">
      <c r="A19" s="1">
        <f>COUNTIF('Value Matchup'!$D$356:$D$423,'Team History'!B19)</f>
        <v>0</v>
      </c>
      <c r="B19" t="s">
        <v>129</v>
      </c>
      <c r="C19" s="1">
        <f t="shared" si="0"/>
        <v>9</v>
      </c>
      <c r="D19" s="1">
        <f t="shared" si="1"/>
        <v>5</v>
      </c>
      <c r="E19" s="1">
        <f t="shared" si="2"/>
        <v>2</v>
      </c>
      <c r="F19" s="1">
        <f t="shared" si="3"/>
        <v>1</v>
      </c>
      <c r="G19" s="1">
        <f t="shared" si="4"/>
        <v>0</v>
      </c>
      <c r="H19" s="1">
        <f t="shared" si="5"/>
        <v>0</v>
      </c>
      <c r="I19" s="64">
        <f t="shared" si="6"/>
        <v>31</v>
      </c>
      <c r="J19" s="74" t="str">
        <f>IFERROR(LOOKUP(2,1/('2022 Bracket Picker'!$J:$J='Team History'!$B19)/('2022 Bracket Picker'!$B:$B='Team History'!J$2),('2022 Bracket Picker'!$R:$R)),"")</f>
        <v/>
      </c>
      <c r="K19" s="90">
        <v>4</v>
      </c>
      <c r="L19" s="1">
        <v>1</v>
      </c>
      <c r="M19" s="1" t="s">
        <v>480</v>
      </c>
      <c r="N19" s="1" t="s">
        <v>480</v>
      </c>
      <c r="O19" s="1" t="s">
        <v>480</v>
      </c>
      <c r="P19" s="1" t="s">
        <v>480</v>
      </c>
      <c r="Q19" s="1" t="s">
        <v>480</v>
      </c>
      <c r="R19" s="1" t="s">
        <v>480</v>
      </c>
      <c r="S19" s="1" t="s">
        <v>480</v>
      </c>
      <c r="T19" s="1" t="s">
        <v>480</v>
      </c>
      <c r="U19" s="1" t="s">
        <v>480</v>
      </c>
      <c r="V19" s="1" t="s">
        <v>480</v>
      </c>
      <c r="W19" s="1" t="s">
        <v>480</v>
      </c>
      <c r="X19" s="1" t="s">
        <v>480</v>
      </c>
      <c r="Y19" s="1" t="s">
        <v>480</v>
      </c>
      <c r="Z19" s="1" t="s">
        <v>480</v>
      </c>
      <c r="AA19" s="1">
        <v>2</v>
      </c>
      <c r="AB19" s="1" t="s">
        <v>480</v>
      </c>
      <c r="AC19" s="1" t="s">
        <v>480</v>
      </c>
      <c r="AD19" s="1">
        <v>1</v>
      </c>
      <c r="AE19" s="1">
        <v>2</v>
      </c>
      <c r="AF19" s="1" t="s">
        <v>480</v>
      </c>
      <c r="AG19" s="1" t="s">
        <v>480</v>
      </c>
      <c r="AH19" s="1" t="s">
        <v>480</v>
      </c>
      <c r="AI19" s="1" t="s">
        <v>480</v>
      </c>
      <c r="AJ19" s="1" t="s">
        <v>480</v>
      </c>
      <c r="AK19" s="1" t="s">
        <v>480</v>
      </c>
      <c r="AL19" s="1" t="s">
        <v>480</v>
      </c>
      <c r="AM19" s="1" t="s">
        <v>480</v>
      </c>
      <c r="AN19" s="1" t="s">
        <v>480</v>
      </c>
      <c r="AO19" s="1" t="s">
        <v>480</v>
      </c>
      <c r="AP19" s="1">
        <v>1</v>
      </c>
      <c r="AQ19" s="1">
        <v>1</v>
      </c>
      <c r="AR19" s="1">
        <v>3</v>
      </c>
      <c r="AS19" s="1">
        <v>2</v>
      </c>
      <c r="AT19" s="1">
        <f t="shared" si="7"/>
        <v>9</v>
      </c>
    </row>
    <row r="20" spans="1:46" x14ac:dyDescent="0.25">
      <c r="A20" s="1">
        <f>COUNTIF('Value Matchup'!$D$356:$D$423,'Team History'!B20)</f>
        <v>0</v>
      </c>
      <c r="B20" t="s">
        <v>130</v>
      </c>
      <c r="C20" s="1">
        <f t="shared" si="0"/>
        <v>1</v>
      </c>
      <c r="D20" s="1">
        <f t="shared" si="1"/>
        <v>0</v>
      </c>
      <c r="E20" s="1">
        <f t="shared" si="2"/>
        <v>0</v>
      </c>
      <c r="F20" s="1">
        <f t="shared" si="3"/>
        <v>0</v>
      </c>
      <c r="G20" s="1">
        <f t="shared" si="4"/>
        <v>0</v>
      </c>
      <c r="H20" s="1">
        <f t="shared" si="5"/>
        <v>0</v>
      </c>
      <c r="I20" s="64">
        <f t="shared" si="6"/>
        <v>6</v>
      </c>
      <c r="K20" s="90" t="s">
        <v>480</v>
      </c>
      <c r="L20" s="1" t="s">
        <v>480</v>
      </c>
      <c r="M20" s="1" t="s">
        <v>480</v>
      </c>
      <c r="N20" s="1">
        <v>0</v>
      </c>
      <c r="O20" s="1" t="s">
        <v>480</v>
      </c>
      <c r="P20" s="1" t="s">
        <v>480</v>
      </c>
      <c r="Q20" s="1" t="s">
        <v>480</v>
      </c>
      <c r="R20" s="1" t="s">
        <v>480</v>
      </c>
      <c r="S20" s="1" t="s">
        <v>480</v>
      </c>
      <c r="T20" s="1" t="s">
        <v>480</v>
      </c>
      <c r="U20" s="1" t="s">
        <v>480</v>
      </c>
      <c r="V20" s="1">
        <v>0</v>
      </c>
      <c r="W20" s="1" t="s">
        <v>480</v>
      </c>
      <c r="X20" s="1" t="s">
        <v>480</v>
      </c>
      <c r="Y20" s="1" t="s">
        <v>480</v>
      </c>
      <c r="Z20" s="1" t="s">
        <v>480</v>
      </c>
      <c r="AA20" s="1">
        <v>0</v>
      </c>
      <c r="AB20" s="1" t="s">
        <v>480</v>
      </c>
      <c r="AC20" s="1" t="s">
        <v>480</v>
      </c>
      <c r="AD20" s="1" t="s">
        <v>480</v>
      </c>
      <c r="AE20" s="1" t="s">
        <v>480</v>
      </c>
      <c r="AF20" s="1" t="s">
        <v>480</v>
      </c>
      <c r="AG20" s="1" t="s">
        <v>480</v>
      </c>
      <c r="AH20" s="1">
        <v>0</v>
      </c>
      <c r="AI20" s="1" t="s">
        <v>480</v>
      </c>
      <c r="AJ20" s="1" t="s">
        <v>480</v>
      </c>
      <c r="AK20" s="1" t="s">
        <v>480</v>
      </c>
      <c r="AL20" s="1" t="s">
        <v>480</v>
      </c>
      <c r="AM20" s="1" t="s">
        <v>480</v>
      </c>
      <c r="AN20" s="1" t="s">
        <v>480</v>
      </c>
      <c r="AO20" s="1" t="s">
        <v>480</v>
      </c>
      <c r="AP20" s="1" t="s">
        <v>480</v>
      </c>
      <c r="AQ20" s="1">
        <v>1</v>
      </c>
      <c r="AR20" s="1" t="s">
        <v>480</v>
      </c>
      <c r="AS20" s="1" t="s">
        <v>480</v>
      </c>
      <c r="AT20" s="1">
        <f t="shared" si="7"/>
        <v>5</v>
      </c>
    </row>
    <row r="21" spans="1:46" x14ac:dyDescent="0.25">
      <c r="A21" s="1">
        <f>COUNTIF('Value Matchup'!$D$356:$D$423,'Team History'!B21)</f>
        <v>0</v>
      </c>
      <c r="B21" t="s">
        <v>132</v>
      </c>
      <c r="C21" s="1">
        <f t="shared" si="0"/>
        <v>2</v>
      </c>
      <c r="D21" s="1">
        <f t="shared" si="1"/>
        <v>1</v>
      </c>
      <c r="E21" s="1">
        <f t="shared" si="2"/>
        <v>0</v>
      </c>
      <c r="F21" s="1">
        <f t="shared" si="3"/>
        <v>0</v>
      </c>
      <c r="G21" s="1">
        <f t="shared" si="4"/>
        <v>0</v>
      </c>
      <c r="H21" s="1">
        <f t="shared" si="5"/>
        <v>0</v>
      </c>
      <c r="I21" s="64">
        <f t="shared" si="6"/>
        <v>9</v>
      </c>
      <c r="K21" s="90" t="s">
        <v>480</v>
      </c>
      <c r="L21" s="1" t="s">
        <v>480</v>
      </c>
      <c r="M21" s="1" t="s">
        <v>480</v>
      </c>
      <c r="N21" s="1" t="s">
        <v>480</v>
      </c>
      <c r="O21" s="1" t="s">
        <v>480</v>
      </c>
      <c r="P21" s="1" t="s">
        <v>480</v>
      </c>
      <c r="Q21" s="1" t="s">
        <v>480</v>
      </c>
      <c r="R21" s="1" t="s">
        <v>480</v>
      </c>
      <c r="S21" s="1" t="s">
        <v>480</v>
      </c>
      <c r="T21" s="1" t="s">
        <v>480</v>
      </c>
      <c r="U21" s="1" t="s">
        <v>480</v>
      </c>
      <c r="V21" s="1" t="s">
        <v>480</v>
      </c>
      <c r="W21" s="1" t="s">
        <v>480</v>
      </c>
      <c r="X21" s="1" t="s">
        <v>480</v>
      </c>
      <c r="Y21" s="1" t="s">
        <v>480</v>
      </c>
      <c r="Z21" s="1" t="s">
        <v>480</v>
      </c>
      <c r="AA21" s="1" t="s">
        <v>480</v>
      </c>
      <c r="AB21" s="1" t="s">
        <v>480</v>
      </c>
      <c r="AC21" s="1" t="s">
        <v>480</v>
      </c>
      <c r="AD21" s="1">
        <v>0</v>
      </c>
      <c r="AE21" s="1" t="s">
        <v>480</v>
      </c>
      <c r="AF21" s="1" t="s">
        <v>480</v>
      </c>
      <c r="AG21" s="1" t="s">
        <v>480</v>
      </c>
      <c r="AH21" s="1" t="s">
        <v>480</v>
      </c>
      <c r="AI21" s="1">
        <v>0</v>
      </c>
      <c r="AJ21" s="1" t="s">
        <v>480</v>
      </c>
      <c r="AK21" s="1">
        <v>0</v>
      </c>
      <c r="AL21" s="1" t="s">
        <v>480</v>
      </c>
      <c r="AM21" s="1" t="s">
        <v>480</v>
      </c>
      <c r="AN21" s="1">
        <v>2</v>
      </c>
      <c r="AO21" s="1">
        <v>1</v>
      </c>
      <c r="AP21" s="1" t="s">
        <v>480</v>
      </c>
      <c r="AQ21" s="1" t="s">
        <v>480</v>
      </c>
      <c r="AR21" s="1">
        <v>0</v>
      </c>
      <c r="AS21" s="1" t="s">
        <v>480</v>
      </c>
      <c r="AT21" s="1">
        <f t="shared" si="7"/>
        <v>6</v>
      </c>
    </row>
    <row r="22" spans="1:46" x14ac:dyDescent="0.25">
      <c r="A22" s="1">
        <f>COUNTIF('Value Matchup'!$D$356:$D$423,'Team History'!B22)</f>
        <v>1</v>
      </c>
      <c r="B22" t="s">
        <v>46</v>
      </c>
      <c r="C22" s="1">
        <f t="shared" si="0"/>
        <v>5</v>
      </c>
      <c r="D22" s="1">
        <f t="shared" si="1"/>
        <v>4</v>
      </c>
      <c r="E22" s="1">
        <f t="shared" si="2"/>
        <v>2</v>
      </c>
      <c r="F22" s="1">
        <f t="shared" si="3"/>
        <v>0</v>
      </c>
      <c r="G22" s="1">
        <f t="shared" si="4"/>
        <v>0</v>
      </c>
      <c r="H22" s="1">
        <f t="shared" si="5"/>
        <v>0</v>
      </c>
      <c r="I22" s="64">
        <f t="shared" si="6"/>
        <v>31</v>
      </c>
      <c r="K22" s="90">
        <v>1</v>
      </c>
      <c r="L22" s="1" t="s">
        <v>480</v>
      </c>
      <c r="M22" s="1">
        <v>2</v>
      </c>
      <c r="N22" s="1">
        <v>0</v>
      </c>
      <c r="O22" s="1">
        <v>0</v>
      </c>
      <c r="P22" s="1">
        <v>2</v>
      </c>
      <c r="Q22" s="1" t="s">
        <v>480</v>
      </c>
      <c r="R22" s="1">
        <v>3</v>
      </c>
      <c r="S22" s="1" t="s">
        <v>480</v>
      </c>
      <c r="T22" s="1">
        <v>3</v>
      </c>
      <c r="U22" s="1" t="s">
        <v>480</v>
      </c>
      <c r="V22" s="1">
        <v>0</v>
      </c>
      <c r="W22" s="1" t="s">
        <v>480</v>
      </c>
      <c r="X22" s="1" t="s">
        <v>480</v>
      </c>
      <c r="Y22" s="1" t="s">
        <v>480</v>
      </c>
      <c r="Z22" s="1" t="s">
        <v>480</v>
      </c>
      <c r="AA22" s="1" t="s">
        <v>480</v>
      </c>
      <c r="AB22" s="1" t="s">
        <v>480</v>
      </c>
      <c r="AC22" s="1" t="s">
        <v>480</v>
      </c>
      <c r="AD22" s="1" t="s">
        <v>480</v>
      </c>
      <c r="AE22" s="1" t="s">
        <v>480</v>
      </c>
      <c r="AF22" s="1" t="s">
        <v>480</v>
      </c>
      <c r="AG22" s="1" t="s">
        <v>480</v>
      </c>
      <c r="AH22" s="1" t="s">
        <v>480</v>
      </c>
      <c r="AI22" s="1" t="s">
        <v>480</v>
      </c>
      <c r="AJ22" s="1" t="s">
        <v>480</v>
      </c>
      <c r="AK22" s="1" t="s">
        <v>480</v>
      </c>
      <c r="AL22" s="1" t="s">
        <v>480</v>
      </c>
      <c r="AM22" s="1" t="s">
        <v>480</v>
      </c>
      <c r="AN22" s="1" t="s">
        <v>480</v>
      </c>
      <c r="AO22" s="1" t="s">
        <v>480</v>
      </c>
      <c r="AP22" s="1">
        <v>0</v>
      </c>
      <c r="AQ22" s="1" t="s">
        <v>480</v>
      </c>
      <c r="AR22" s="1" t="s">
        <v>480</v>
      </c>
      <c r="AS22" s="1" t="s">
        <v>480</v>
      </c>
      <c r="AT22" s="1">
        <f t="shared" si="7"/>
        <v>9</v>
      </c>
    </row>
    <row r="23" spans="1:46" x14ac:dyDescent="0.25">
      <c r="A23" s="1">
        <f>COUNTIF('Value Matchup'!$D$356:$D$423,'Team History'!B23)</f>
        <v>0</v>
      </c>
      <c r="B23" t="s">
        <v>62</v>
      </c>
      <c r="C23" s="1">
        <f t="shared" si="0"/>
        <v>0</v>
      </c>
      <c r="D23" s="1">
        <f t="shared" si="1"/>
        <v>0</v>
      </c>
      <c r="E23" s="1">
        <f t="shared" si="2"/>
        <v>0</v>
      </c>
      <c r="F23" s="1">
        <f t="shared" si="3"/>
        <v>0</v>
      </c>
      <c r="G23" s="1">
        <f t="shared" si="4"/>
        <v>0</v>
      </c>
      <c r="H23" s="1">
        <f t="shared" si="5"/>
        <v>0</v>
      </c>
      <c r="I23" s="64">
        <f t="shared" si="6"/>
        <v>8</v>
      </c>
      <c r="K23" s="90">
        <v>0</v>
      </c>
      <c r="L23" s="1" t="s">
        <v>480</v>
      </c>
      <c r="M23" s="1" t="s">
        <v>480</v>
      </c>
      <c r="N23" s="1" t="s">
        <v>480</v>
      </c>
      <c r="O23" s="1">
        <v>0</v>
      </c>
      <c r="P23" s="1" t="s">
        <v>480</v>
      </c>
      <c r="Q23" s="1">
        <v>0</v>
      </c>
      <c r="R23" s="1">
        <v>0</v>
      </c>
      <c r="S23" s="1">
        <v>0</v>
      </c>
      <c r="T23" s="1" t="s">
        <v>480</v>
      </c>
      <c r="U23" s="1" t="s">
        <v>480</v>
      </c>
      <c r="V23" s="1">
        <v>0</v>
      </c>
      <c r="W23" s="1">
        <v>0</v>
      </c>
      <c r="X23" s="1">
        <v>0</v>
      </c>
      <c r="Y23" s="1" t="s">
        <v>480</v>
      </c>
      <c r="Z23" s="1" t="s">
        <v>480</v>
      </c>
      <c r="AA23" s="1" t="s">
        <v>480</v>
      </c>
      <c r="AB23" s="1" t="s">
        <v>480</v>
      </c>
      <c r="AC23" s="1" t="s">
        <v>480</v>
      </c>
      <c r="AD23" s="1" t="s">
        <v>480</v>
      </c>
      <c r="AE23" s="1" t="s">
        <v>480</v>
      </c>
      <c r="AF23" s="1" t="s">
        <v>480</v>
      </c>
      <c r="AG23" s="1" t="s">
        <v>480</v>
      </c>
      <c r="AH23" s="1" t="s">
        <v>480</v>
      </c>
      <c r="AI23" s="1" t="s">
        <v>480</v>
      </c>
      <c r="AJ23" s="1" t="s">
        <v>480</v>
      </c>
      <c r="AK23" s="1" t="s">
        <v>480</v>
      </c>
      <c r="AL23" s="1" t="s">
        <v>480</v>
      </c>
      <c r="AM23" s="1" t="s">
        <v>480</v>
      </c>
      <c r="AN23" s="1" t="s">
        <v>480</v>
      </c>
      <c r="AO23" s="1" t="s">
        <v>480</v>
      </c>
      <c r="AP23" s="1" t="s">
        <v>480</v>
      </c>
      <c r="AQ23" s="1" t="s">
        <v>480</v>
      </c>
      <c r="AR23" s="1" t="s">
        <v>480</v>
      </c>
      <c r="AS23" s="1" t="s">
        <v>480</v>
      </c>
      <c r="AT23" s="1">
        <f t="shared" si="7"/>
        <v>8</v>
      </c>
    </row>
    <row r="24" spans="1:46" x14ac:dyDescent="0.25">
      <c r="A24" s="1">
        <f>COUNTIF('Value Matchup'!$D$356:$D$423,'Team History'!B24)</f>
        <v>0</v>
      </c>
      <c r="B24" t="s">
        <v>134</v>
      </c>
      <c r="C24" s="1">
        <f t="shared" si="0"/>
        <v>0</v>
      </c>
      <c r="D24" s="1">
        <f t="shared" si="1"/>
        <v>0</v>
      </c>
      <c r="E24" s="1">
        <f t="shared" si="2"/>
        <v>0</v>
      </c>
      <c r="F24" s="1">
        <f t="shared" si="3"/>
        <v>0</v>
      </c>
      <c r="G24" s="1">
        <f t="shared" si="4"/>
        <v>0</v>
      </c>
      <c r="H24" s="1">
        <f t="shared" si="5"/>
        <v>0</v>
      </c>
      <c r="I24" s="64">
        <f t="shared" si="6"/>
        <v>0</v>
      </c>
      <c r="K24" s="90" t="s">
        <v>480</v>
      </c>
      <c r="L24" s="1" t="s">
        <v>480</v>
      </c>
      <c r="M24" s="1" t="s">
        <v>480</v>
      </c>
      <c r="N24" s="1" t="s">
        <v>480</v>
      </c>
      <c r="O24" s="1" t="s">
        <v>480</v>
      </c>
      <c r="P24" s="1" t="s">
        <v>480</v>
      </c>
      <c r="Q24" s="1" t="s">
        <v>480</v>
      </c>
      <c r="R24" s="1" t="s">
        <v>480</v>
      </c>
      <c r="S24" s="1" t="s">
        <v>480</v>
      </c>
      <c r="T24" s="1" t="s">
        <v>480</v>
      </c>
      <c r="U24" s="1" t="s">
        <v>480</v>
      </c>
      <c r="V24" s="1" t="s">
        <v>480</v>
      </c>
      <c r="W24" s="1" t="s">
        <v>480</v>
      </c>
      <c r="X24" s="1" t="s">
        <v>480</v>
      </c>
      <c r="Y24" s="1" t="s">
        <v>480</v>
      </c>
      <c r="Z24" s="1" t="s">
        <v>480</v>
      </c>
      <c r="AA24" s="1" t="s">
        <v>480</v>
      </c>
      <c r="AB24" s="1" t="s">
        <v>480</v>
      </c>
      <c r="AC24" s="1" t="s">
        <v>480</v>
      </c>
      <c r="AD24" s="1" t="s">
        <v>480</v>
      </c>
      <c r="AE24" s="1" t="s">
        <v>480</v>
      </c>
      <c r="AF24" s="1" t="s">
        <v>480</v>
      </c>
      <c r="AG24" s="1" t="s">
        <v>480</v>
      </c>
      <c r="AH24" s="1" t="s">
        <v>480</v>
      </c>
      <c r="AI24" s="1" t="s">
        <v>480</v>
      </c>
      <c r="AJ24" s="1" t="s">
        <v>480</v>
      </c>
      <c r="AK24" s="1" t="s">
        <v>480</v>
      </c>
      <c r="AL24" s="1" t="s">
        <v>480</v>
      </c>
      <c r="AM24" s="1" t="s">
        <v>480</v>
      </c>
      <c r="AN24" s="1" t="s">
        <v>480</v>
      </c>
      <c r="AO24" s="1" t="s">
        <v>480</v>
      </c>
      <c r="AP24" s="1" t="s">
        <v>480</v>
      </c>
      <c r="AQ24" s="1" t="s">
        <v>480</v>
      </c>
      <c r="AR24" s="1" t="s">
        <v>480</v>
      </c>
      <c r="AS24" s="1" t="s">
        <v>480</v>
      </c>
      <c r="AT24" s="1">
        <f t="shared" si="7"/>
        <v>0</v>
      </c>
    </row>
    <row r="25" spans="1:46" x14ac:dyDescent="0.25">
      <c r="A25" s="1">
        <f>COUNTIF('Value Matchup'!$D$356:$D$423,'Team History'!B25)</f>
        <v>0</v>
      </c>
      <c r="B25" t="s">
        <v>136</v>
      </c>
      <c r="C25" s="1">
        <f t="shared" si="0"/>
        <v>0</v>
      </c>
      <c r="D25" s="1">
        <f t="shared" si="1"/>
        <v>0</v>
      </c>
      <c r="E25" s="1">
        <f t="shared" si="2"/>
        <v>0</v>
      </c>
      <c r="F25" s="1">
        <f t="shared" si="3"/>
        <v>0</v>
      </c>
      <c r="G25" s="1">
        <f t="shared" si="4"/>
        <v>0</v>
      </c>
      <c r="H25" s="1">
        <f t="shared" si="5"/>
        <v>0</v>
      </c>
      <c r="I25" s="64">
        <f t="shared" si="6"/>
        <v>1</v>
      </c>
      <c r="K25" s="90" t="s">
        <v>480</v>
      </c>
      <c r="L25" s="1" t="s">
        <v>480</v>
      </c>
      <c r="M25" s="1" t="s">
        <v>480</v>
      </c>
      <c r="N25" s="1" t="s">
        <v>480</v>
      </c>
      <c r="O25" s="1" t="s">
        <v>480</v>
      </c>
      <c r="P25" s="1" t="s">
        <v>480</v>
      </c>
      <c r="Q25" s="1" t="s">
        <v>480</v>
      </c>
      <c r="R25" s="1" t="s">
        <v>480</v>
      </c>
      <c r="S25" s="1" t="s">
        <v>480</v>
      </c>
      <c r="T25" s="1" t="s">
        <v>480</v>
      </c>
      <c r="U25" s="1">
        <v>0</v>
      </c>
      <c r="V25" s="1" t="s">
        <v>480</v>
      </c>
      <c r="W25" s="1" t="s">
        <v>480</v>
      </c>
      <c r="X25" s="1" t="s">
        <v>480</v>
      </c>
      <c r="Y25" s="1" t="s">
        <v>480</v>
      </c>
      <c r="Z25" s="1" t="s">
        <v>480</v>
      </c>
      <c r="AA25" s="1" t="s">
        <v>480</v>
      </c>
      <c r="AB25" s="1" t="s">
        <v>480</v>
      </c>
      <c r="AC25" s="1" t="s">
        <v>480</v>
      </c>
      <c r="AD25" s="1" t="s">
        <v>480</v>
      </c>
      <c r="AE25" s="1" t="s">
        <v>480</v>
      </c>
      <c r="AF25" s="1" t="s">
        <v>480</v>
      </c>
      <c r="AG25" s="1" t="s">
        <v>480</v>
      </c>
      <c r="AH25" s="1" t="s">
        <v>480</v>
      </c>
      <c r="AI25" s="1" t="s">
        <v>480</v>
      </c>
      <c r="AJ25" s="1" t="s">
        <v>480</v>
      </c>
      <c r="AK25" s="1" t="s">
        <v>480</v>
      </c>
      <c r="AL25" s="1" t="s">
        <v>480</v>
      </c>
      <c r="AM25" s="1" t="s">
        <v>480</v>
      </c>
      <c r="AN25" s="1" t="s">
        <v>480</v>
      </c>
      <c r="AO25" s="1" t="s">
        <v>480</v>
      </c>
      <c r="AP25" s="1" t="s">
        <v>480</v>
      </c>
      <c r="AQ25" s="1" t="s">
        <v>480</v>
      </c>
      <c r="AR25" s="1" t="s">
        <v>480</v>
      </c>
      <c r="AS25" s="1" t="s">
        <v>480</v>
      </c>
      <c r="AT25" s="1">
        <f t="shared" si="7"/>
        <v>1</v>
      </c>
    </row>
    <row r="26" spans="1:46" x14ac:dyDescent="0.25">
      <c r="A26" s="1">
        <f>COUNTIF('Value Matchup'!$D$356:$D$423,'Team History'!B26)</f>
        <v>0</v>
      </c>
      <c r="B26" t="s">
        <v>137</v>
      </c>
      <c r="C26" s="1">
        <f t="shared" si="0"/>
        <v>0</v>
      </c>
      <c r="D26" s="1">
        <f t="shared" si="1"/>
        <v>0</v>
      </c>
      <c r="E26" s="1">
        <f t="shared" si="2"/>
        <v>0</v>
      </c>
      <c r="F26" s="1">
        <f t="shared" si="3"/>
        <v>0</v>
      </c>
      <c r="G26" s="1">
        <f t="shared" si="4"/>
        <v>0</v>
      </c>
      <c r="H26" s="1">
        <f t="shared" si="5"/>
        <v>0</v>
      </c>
      <c r="I26" s="64">
        <f t="shared" si="6"/>
        <v>6</v>
      </c>
      <c r="K26" s="90" t="s">
        <v>480</v>
      </c>
      <c r="L26" s="1" t="s">
        <v>480</v>
      </c>
      <c r="M26" s="1" t="s">
        <v>480</v>
      </c>
      <c r="N26" s="1" t="s">
        <v>480</v>
      </c>
      <c r="O26" s="1">
        <v>0</v>
      </c>
      <c r="P26" s="1" t="s">
        <v>480</v>
      </c>
      <c r="Q26" s="1">
        <v>0</v>
      </c>
      <c r="R26" s="1" t="s">
        <v>480</v>
      </c>
      <c r="S26" s="1" t="s">
        <v>480</v>
      </c>
      <c r="T26" s="1" t="s">
        <v>480</v>
      </c>
      <c r="U26" s="1" t="s">
        <v>480</v>
      </c>
      <c r="V26" s="1">
        <v>0</v>
      </c>
      <c r="W26" s="1" t="s">
        <v>480</v>
      </c>
      <c r="X26" s="1" t="s">
        <v>480</v>
      </c>
      <c r="Y26" s="1" t="s">
        <v>480</v>
      </c>
      <c r="Z26" s="1" t="s">
        <v>480</v>
      </c>
      <c r="AA26" s="1" t="s">
        <v>480</v>
      </c>
      <c r="AB26" s="1" t="s">
        <v>480</v>
      </c>
      <c r="AC26" s="1" t="s">
        <v>480</v>
      </c>
      <c r="AD26" s="1" t="s">
        <v>480</v>
      </c>
      <c r="AE26" s="1" t="s">
        <v>480</v>
      </c>
      <c r="AF26" s="1" t="s">
        <v>480</v>
      </c>
      <c r="AG26" s="1" t="s">
        <v>480</v>
      </c>
      <c r="AH26" s="1" t="s">
        <v>480</v>
      </c>
      <c r="AI26" s="1" t="s">
        <v>480</v>
      </c>
      <c r="AJ26" s="1">
        <v>0</v>
      </c>
      <c r="AK26" s="1">
        <v>0</v>
      </c>
      <c r="AL26" s="1" t="s">
        <v>480</v>
      </c>
      <c r="AM26" s="1" t="s">
        <v>480</v>
      </c>
      <c r="AN26" s="1" t="s">
        <v>480</v>
      </c>
      <c r="AO26" s="1" t="s">
        <v>480</v>
      </c>
      <c r="AP26" s="1">
        <v>0</v>
      </c>
      <c r="AQ26" s="1" t="s">
        <v>480</v>
      </c>
      <c r="AR26" s="1" t="s">
        <v>480</v>
      </c>
      <c r="AS26" s="1" t="s">
        <v>480</v>
      </c>
      <c r="AT26" s="1">
        <f t="shared" si="7"/>
        <v>6</v>
      </c>
    </row>
    <row r="27" spans="1:46" x14ac:dyDescent="0.25">
      <c r="A27" s="1">
        <f>COUNTIF('Value Matchup'!$D$356:$D$423,'Team History'!B27)</f>
        <v>0</v>
      </c>
      <c r="B27" t="s">
        <v>138</v>
      </c>
      <c r="C27" s="1">
        <f t="shared" si="0"/>
        <v>9</v>
      </c>
      <c r="D27" s="1">
        <f t="shared" si="1"/>
        <v>3</v>
      </c>
      <c r="E27" s="1">
        <f t="shared" si="2"/>
        <v>1</v>
      </c>
      <c r="F27" s="1">
        <f t="shared" si="3"/>
        <v>0</v>
      </c>
      <c r="G27" s="1">
        <f t="shared" si="4"/>
        <v>0</v>
      </c>
      <c r="H27" s="1">
        <f t="shared" si="5"/>
        <v>0</v>
      </c>
      <c r="I27" s="64">
        <f t="shared" si="6"/>
        <v>24</v>
      </c>
      <c r="K27" s="90" t="s">
        <v>480</v>
      </c>
      <c r="L27" s="1" t="s">
        <v>480</v>
      </c>
      <c r="M27" s="1" t="s">
        <v>480</v>
      </c>
      <c r="N27" s="1" t="s">
        <v>480</v>
      </c>
      <c r="O27" s="1" t="s">
        <v>480</v>
      </c>
      <c r="P27" s="1" t="s">
        <v>480</v>
      </c>
      <c r="Q27" s="1" t="s">
        <v>480</v>
      </c>
      <c r="R27" s="1" t="s">
        <v>480</v>
      </c>
      <c r="S27" s="1" t="s">
        <v>480</v>
      </c>
      <c r="T27" s="1" t="s">
        <v>480</v>
      </c>
      <c r="U27" s="1">
        <v>0</v>
      </c>
      <c r="V27" s="1" t="s">
        <v>480</v>
      </c>
      <c r="W27" s="1">
        <v>1</v>
      </c>
      <c r="X27" s="1">
        <v>2</v>
      </c>
      <c r="Y27" s="1">
        <v>1</v>
      </c>
      <c r="Z27" s="1">
        <v>1</v>
      </c>
      <c r="AA27" s="1" t="s">
        <v>480</v>
      </c>
      <c r="AB27" s="1">
        <v>0</v>
      </c>
      <c r="AC27" s="1">
        <v>1</v>
      </c>
      <c r="AD27" s="1" t="s">
        <v>480</v>
      </c>
      <c r="AE27" s="1" t="s">
        <v>480</v>
      </c>
      <c r="AF27" s="1" t="s">
        <v>480</v>
      </c>
      <c r="AG27" s="1">
        <v>1</v>
      </c>
      <c r="AH27" s="1">
        <v>1</v>
      </c>
      <c r="AI27" s="1" t="s">
        <v>480</v>
      </c>
      <c r="AJ27" s="1">
        <v>3</v>
      </c>
      <c r="AK27" s="1" t="s">
        <v>480</v>
      </c>
      <c r="AL27" s="1" t="s">
        <v>480</v>
      </c>
      <c r="AM27" s="1" t="s">
        <v>480</v>
      </c>
      <c r="AN27" s="1" t="s">
        <v>480</v>
      </c>
      <c r="AO27" s="1" t="s">
        <v>480</v>
      </c>
      <c r="AP27" s="1" t="s">
        <v>480</v>
      </c>
      <c r="AQ27" s="1" t="s">
        <v>480</v>
      </c>
      <c r="AR27" s="1" t="s">
        <v>480</v>
      </c>
      <c r="AS27" s="1">
        <v>2</v>
      </c>
      <c r="AT27" s="1">
        <f t="shared" si="7"/>
        <v>11</v>
      </c>
    </row>
    <row r="28" spans="1:46" x14ac:dyDescent="0.25">
      <c r="A28" s="1">
        <f>COUNTIF('Value Matchup'!$D$356:$D$423,'Team History'!B28)</f>
        <v>0</v>
      </c>
      <c r="B28" t="s">
        <v>140</v>
      </c>
      <c r="C28" s="1">
        <f t="shared" si="0"/>
        <v>0</v>
      </c>
      <c r="D28" s="1">
        <f t="shared" si="1"/>
        <v>0</v>
      </c>
      <c r="E28" s="1">
        <f t="shared" si="2"/>
        <v>0</v>
      </c>
      <c r="F28" s="1">
        <f t="shared" si="3"/>
        <v>0</v>
      </c>
      <c r="G28" s="1">
        <f t="shared" si="4"/>
        <v>0</v>
      </c>
      <c r="H28" s="1">
        <f t="shared" si="5"/>
        <v>0</v>
      </c>
      <c r="I28" s="64">
        <f t="shared" si="6"/>
        <v>5</v>
      </c>
      <c r="K28" s="90" t="s">
        <v>480</v>
      </c>
      <c r="L28" s="1" t="s">
        <v>480</v>
      </c>
      <c r="M28" s="1" t="s">
        <v>480</v>
      </c>
      <c r="N28" s="1" t="s">
        <v>480</v>
      </c>
      <c r="O28" s="1" t="s">
        <v>480</v>
      </c>
      <c r="P28" s="1" t="s">
        <v>480</v>
      </c>
      <c r="Q28" s="1" t="s">
        <v>480</v>
      </c>
      <c r="R28" s="1" t="s">
        <v>480</v>
      </c>
      <c r="S28" s="1">
        <v>0</v>
      </c>
      <c r="T28" s="1" t="s">
        <v>480</v>
      </c>
      <c r="U28" s="1" t="s">
        <v>480</v>
      </c>
      <c r="V28" s="1" t="s">
        <v>480</v>
      </c>
      <c r="W28" s="1" t="s">
        <v>480</v>
      </c>
      <c r="X28" s="1" t="s">
        <v>480</v>
      </c>
      <c r="Y28" s="1" t="s">
        <v>480</v>
      </c>
      <c r="Z28" s="1" t="s">
        <v>480</v>
      </c>
      <c r="AA28" s="1" t="s">
        <v>480</v>
      </c>
      <c r="AB28" s="1">
        <v>0</v>
      </c>
      <c r="AC28" s="1" t="s">
        <v>480</v>
      </c>
      <c r="AD28" s="1" t="s">
        <v>480</v>
      </c>
      <c r="AE28" s="1" t="s">
        <v>480</v>
      </c>
      <c r="AF28" s="1" t="s">
        <v>480</v>
      </c>
      <c r="AG28" s="1">
        <v>0</v>
      </c>
      <c r="AH28" s="1" t="s">
        <v>480</v>
      </c>
      <c r="AI28" s="1" t="s">
        <v>480</v>
      </c>
      <c r="AJ28" s="1" t="s">
        <v>480</v>
      </c>
      <c r="AK28" s="1" t="s">
        <v>480</v>
      </c>
      <c r="AL28" s="1" t="s">
        <v>480</v>
      </c>
      <c r="AM28" s="1" t="s">
        <v>480</v>
      </c>
      <c r="AN28" s="1">
        <v>0</v>
      </c>
      <c r="AO28" s="1" t="s">
        <v>480</v>
      </c>
      <c r="AP28" s="1">
        <v>0</v>
      </c>
      <c r="AQ28" s="1" t="s">
        <v>480</v>
      </c>
      <c r="AR28" s="1" t="s">
        <v>480</v>
      </c>
      <c r="AS28" s="1" t="s">
        <v>480</v>
      </c>
      <c r="AT28" s="1">
        <f t="shared" si="7"/>
        <v>5</v>
      </c>
    </row>
    <row r="29" spans="1:46" x14ac:dyDescent="0.25">
      <c r="A29" s="1">
        <f>COUNTIF('Value Matchup'!$D$356:$D$423,'Team History'!B29)</f>
        <v>0</v>
      </c>
      <c r="B29" t="s">
        <v>141</v>
      </c>
      <c r="C29" s="1">
        <f t="shared" si="0"/>
        <v>0</v>
      </c>
      <c r="D29" s="1">
        <f t="shared" si="1"/>
        <v>0</v>
      </c>
      <c r="E29" s="1">
        <f t="shared" si="2"/>
        <v>0</v>
      </c>
      <c r="F29" s="1">
        <f t="shared" si="3"/>
        <v>0</v>
      </c>
      <c r="G29" s="1">
        <f t="shared" si="4"/>
        <v>0</v>
      </c>
      <c r="H29" s="1">
        <f t="shared" si="5"/>
        <v>0</v>
      </c>
      <c r="I29" s="64">
        <f t="shared" si="6"/>
        <v>0</v>
      </c>
      <c r="K29" s="90" t="s">
        <v>480</v>
      </c>
      <c r="L29" s="1" t="s">
        <v>480</v>
      </c>
      <c r="M29" s="1" t="s">
        <v>480</v>
      </c>
      <c r="N29" s="1" t="s">
        <v>480</v>
      </c>
      <c r="O29" s="1" t="s">
        <v>480</v>
      </c>
      <c r="P29" s="1" t="s">
        <v>480</v>
      </c>
      <c r="Q29" s="1" t="s">
        <v>480</v>
      </c>
      <c r="R29" s="1" t="s">
        <v>480</v>
      </c>
      <c r="S29" s="1" t="s">
        <v>480</v>
      </c>
      <c r="T29" s="1" t="s">
        <v>480</v>
      </c>
      <c r="U29" s="1" t="s">
        <v>480</v>
      </c>
      <c r="V29" s="1" t="s">
        <v>480</v>
      </c>
      <c r="W29" s="1" t="s">
        <v>480</v>
      </c>
      <c r="X29" s="1" t="s">
        <v>480</v>
      </c>
      <c r="Y29" s="1" t="s">
        <v>480</v>
      </c>
      <c r="Z29" s="1" t="s">
        <v>480</v>
      </c>
      <c r="AA29" s="1" t="s">
        <v>480</v>
      </c>
      <c r="AB29" s="1" t="s">
        <v>480</v>
      </c>
      <c r="AC29" s="1" t="s">
        <v>480</v>
      </c>
      <c r="AD29" s="1" t="s">
        <v>480</v>
      </c>
      <c r="AE29" s="1" t="s">
        <v>480</v>
      </c>
      <c r="AF29" s="1" t="s">
        <v>480</v>
      </c>
      <c r="AG29" s="1" t="s">
        <v>480</v>
      </c>
      <c r="AH29" s="1" t="s">
        <v>480</v>
      </c>
      <c r="AI29" s="1" t="s">
        <v>480</v>
      </c>
      <c r="AJ29" s="1" t="s">
        <v>480</v>
      </c>
      <c r="AK29" s="1" t="s">
        <v>480</v>
      </c>
      <c r="AL29" s="1" t="s">
        <v>480</v>
      </c>
      <c r="AM29" s="1" t="s">
        <v>480</v>
      </c>
      <c r="AN29" s="1" t="s">
        <v>480</v>
      </c>
      <c r="AO29" s="1" t="s">
        <v>480</v>
      </c>
      <c r="AP29" s="1" t="s">
        <v>480</v>
      </c>
      <c r="AQ29" s="1" t="s">
        <v>480</v>
      </c>
      <c r="AR29" s="1" t="s">
        <v>480</v>
      </c>
      <c r="AS29" s="1" t="s">
        <v>480</v>
      </c>
      <c r="AT29" s="1">
        <f t="shared" si="7"/>
        <v>0</v>
      </c>
    </row>
    <row r="30" spans="1:46" x14ac:dyDescent="0.25">
      <c r="A30" s="1">
        <f>COUNTIF('Value Matchup'!$D$356:$D$423,'Team History'!B30)</f>
        <v>0</v>
      </c>
      <c r="B30" t="s">
        <v>142</v>
      </c>
      <c r="C30" s="1">
        <f t="shared" si="0"/>
        <v>2</v>
      </c>
      <c r="D30" s="1">
        <f t="shared" si="1"/>
        <v>1</v>
      </c>
      <c r="E30" s="1">
        <f t="shared" si="2"/>
        <v>0</v>
      </c>
      <c r="F30" s="1">
        <f t="shared" si="3"/>
        <v>0</v>
      </c>
      <c r="G30" s="1">
        <f t="shared" si="4"/>
        <v>0</v>
      </c>
      <c r="H30" s="1">
        <f t="shared" si="5"/>
        <v>0</v>
      </c>
      <c r="I30" s="64">
        <f t="shared" si="6"/>
        <v>8</v>
      </c>
      <c r="K30" s="90">
        <v>0</v>
      </c>
      <c r="L30" s="1" t="s">
        <v>480</v>
      </c>
      <c r="M30" s="1" t="s">
        <v>480</v>
      </c>
      <c r="N30" s="1" t="s">
        <v>480</v>
      </c>
      <c r="O30" s="1" t="s">
        <v>480</v>
      </c>
      <c r="P30" s="1" t="s">
        <v>480</v>
      </c>
      <c r="Q30" s="1" t="s">
        <v>480</v>
      </c>
      <c r="R30" s="1" t="s">
        <v>480</v>
      </c>
      <c r="S30" s="1" t="s">
        <v>480</v>
      </c>
      <c r="T30" s="1" t="s">
        <v>480</v>
      </c>
      <c r="U30" s="1" t="s">
        <v>480</v>
      </c>
      <c r="V30" s="1" t="s">
        <v>480</v>
      </c>
      <c r="W30" s="1" t="s">
        <v>480</v>
      </c>
      <c r="X30" s="1">
        <v>2</v>
      </c>
      <c r="Y30" s="1" t="s">
        <v>480</v>
      </c>
      <c r="Z30" s="1" t="s">
        <v>480</v>
      </c>
      <c r="AA30" s="1" t="s">
        <v>480</v>
      </c>
      <c r="AB30" s="1" t="s">
        <v>480</v>
      </c>
      <c r="AC30" s="1" t="s">
        <v>480</v>
      </c>
      <c r="AD30" s="1" t="s">
        <v>480</v>
      </c>
      <c r="AE30" s="1" t="s">
        <v>480</v>
      </c>
      <c r="AF30" s="1" t="s">
        <v>480</v>
      </c>
      <c r="AG30" s="1" t="s">
        <v>480</v>
      </c>
      <c r="AH30" s="1">
        <v>0</v>
      </c>
      <c r="AI30" s="1" t="s">
        <v>480</v>
      </c>
      <c r="AJ30" s="1" t="s">
        <v>480</v>
      </c>
      <c r="AK30" s="1" t="s">
        <v>480</v>
      </c>
      <c r="AL30" s="1" t="s">
        <v>480</v>
      </c>
      <c r="AM30" s="1" t="s">
        <v>480</v>
      </c>
      <c r="AN30" s="1" t="s">
        <v>480</v>
      </c>
      <c r="AO30" s="1" t="s">
        <v>480</v>
      </c>
      <c r="AP30" s="1">
        <v>0</v>
      </c>
      <c r="AQ30" s="1" t="s">
        <v>480</v>
      </c>
      <c r="AR30" s="1">
        <v>1</v>
      </c>
      <c r="AS30" s="1" t="s">
        <v>480</v>
      </c>
      <c r="AT30" s="1">
        <f t="shared" si="7"/>
        <v>5</v>
      </c>
    </row>
    <row r="31" spans="1:46" x14ac:dyDescent="0.25">
      <c r="A31" s="1">
        <f>COUNTIF('Value Matchup'!$D$356:$D$423,'Team History'!B31)</f>
        <v>0</v>
      </c>
      <c r="B31" t="s">
        <v>144</v>
      </c>
      <c r="C31" s="1">
        <f t="shared" si="0"/>
        <v>0</v>
      </c>
      <c r="D31" s="1">
        <f t="shared" si="1"/>
        <v>0</v>
      </c>
      <c r="E31" s="1">
        <f t="shared" si="2"/>
        <v>0</v>
      </c>
      <c r="F31" s="1">
        <f t="shared" si="3"/>
        <v>0</v>
      </c>
      <c r="G31" s="1">
        <f t="shared" si="4"/>
        <v>0</v>
      </c>
      <c r="H31" s="1">
        <f t="shared" si="5"/>
        <v>0</v>
      </c>
      <c r="I31" s="64">
        <f t="shared" si="6"/>
        <v>1</v>
      </c>
      <c r="K31" s="90" t="s">
        <v>480</v>
      </c>
      <c r="L31" s="1" t="s">
        <v>480</v>
      </c>
      <c r="M31" s="1" t="s">
        <v>480</v>
      </c>
      <c r="N31" s="1" t="s">
        <v>480</v>
      </c>
      <c r="O31" s="1" t="s">
        <v>480</v>
      </c>
      <c r="P31" s="1" t="s">
        <v>480</v>
      </c>
      <c r="Q31" s="1" t="s">
        <v>480</v>
      </c>
      <c r="R31" s="1" t="s">
        <v>480</v>
      </c>
      <c r="S31" s="1" t="s">
        <v>480</v>
      </c>
      <c r="T31" s="1" t="s">
        <v>480</v>
      </c>
      <c r="U31" s="1" t="s">
        <v>480</v>
      </c>
      <c r="V31" s="1" t="s">
        <v>480</v>
      </c>
      <c r="W31" s="1" t="s">
        <v>480</v>
      </c>
      <c r="X31" s="1" t="s">
        <v>480</v>
      </c>
      <c r="Y31" s="1" t="s">
        <v>480</v>
      </c>
      <c r="Z31" s="1" t="s">
        <v>480</v>
      </c>
      <c r="AA31" s="1" t="s">
        <v>480</v>
      </c>
      <c r="AB31" s="1" t="s">
        <v>480</v>
      </c>
      <c r="AC31" s="1" t="s">
        <v>480</v>
      </c>
      <c r="AD31" s="1" t="s">
        <v>480</v>
      </c>
      <c r="AE31" s="1" t="s">
        <v>480</v>
      </c>
      <c r="AF31" s="1" t="s">
        <v>480</v>
      </c>
      <c r="AG31" s="1" t="s">
        <v>480</v>
      </c>
      <c r="AH31" s="1" t="s">
        <v>480</v>
      </c>
      <c r="AI31" s="1" t="s">
        <v>480</v>
      </c>
      <c r="AJ31" s="1" t="s">
        <v>480</v>
      </c>
      <c r="AK31" s="1" t="s">
        <v>480</v>
      </c>
      <c r="AL31" s="1" t="s">
        <v>480</v>
      </c>
      <c r="AM31" s="1" t="s">
        <v>480</v>
      </c>
      <c r="AN31" s="1" t="s">
        <v>480</v>
      </c>
      <c r="AO31" s="1" t="s">
        <v>480</v>
      </c>
      <c r="AP31" s="1" t="s">
        <v>480</v>
      </c>
      <c r="AQ31" s="1" t="s">
        <v>480</v>
      </c>
      <c r="AR31" s="1">
        <v>0</v>
      </c>
      <c r="AS31" s="1" t="s">
        <v>480</v>
      </c>
      <c r="AT31" s="1">
        <f t="shared" si="7"/>
        <v>1</v>
      </c>
    </row>
    <row r="32" spans="1:46" x14ac:dyDescent="0.25">
      <c r="A32" s="1">
        <f>COUNTIF('Value Matchup'!$D$356:$D$423,'Team History'!B32)</f>
        <v>0</v>
      </c>
      <c r="B32" t="s">
        <v>146</v>
      </c>
      <c r="C32" s="1">
        <f t="shared" si="0"/>
        <v>0</v>
      </c>
      <c r="D32" s="1">
        <f t="shared" si="1"/>
        <v>0</v>
      </c>
      <c r="E32" s="1">
        <f t="shared" si="2"/>
        <v>0</v>
      </c>
      <c r="F32" s="1">
        <f t="shared" si="3"/>
        <v>0</v>
      </c>
      <c r="G32" s="1">
        <f t="shared" si="4"/>
        <v>0</v>
      </c>
      <c r="H32" s="1">
        <f t="shared" si="5"/>
        <v>0</v>
      </c>
      <c r="I32" s="64">
        <f t="shared" si="6"/>
        <v>0</v>
      </c>
      <c r="K32" s="90" t="s">
        <v>480</v>
      </c>
      <c r="L32" s="1" t="s">
        <v>480</v>
      </c>
      <c r="M32" s="1" t="s">
        <v>480</v>
      </c>
      <c r="N32" s="1" t="s">
        <v>480</v>
      </c>
      <c r="O32" s="1" t="s">
        <v>480</v>
      </c>
      <c r="P32" s="1" t="s">
        <v>480</v>
      </c>
      <c r="Q32" s="1" t="s">
        <v>480</v>
      </c>
      <c r="R32" s="1" t="s">
        <v>480</v>
      </c>
      <c r="S32" s="1" t="s">
        <v>480</v>
      </c>
      <c r="T32" s="1" t="s">
        <v>480</v>
      </c>
      <c r="U32" s="1" t="s">
        <v>480</v>
      </c>
      <c r="V32" s="1" t="s">
        <v>480</v>
      </c>
      <c r="W32" s="1" t="s">
        <v>480</v>
      </c>
      <c r="X32" s="1" t="s">
        <v>480</v>
      </c>
      <c r="Y32" s="1" t="s">
        <v>480</v>
      </c>
      <c r="Z32" s="1" t="s">
        <v>480</v>
      </c>
      <c r="AA32" s="1" t="s">
        <v>480</v>
      </c>
      <c r="AB32" s="1" t="s">
        <v>480</v>
      </c>
      <c r="AC32" s="1" t="s">
        <v>480</v>
      </c>
      <c r="AD32" s="1" t="s">
        <v>480</v>
      </c>
      <c r="AE32" s="1" t="s">
        <v>480</v>
      </c>
      <c r="AF32" s="1" t="s">
        <v>480</v>
      </c>
      <c r="AG32" s="1" t="s">
        <v>480</v>
      </c>
      <c r="AH32" s="1" t="s">
        <v>480</v>
      </c>
      <c r="AI32" s="1" t="s">
        <v>480</v>
      </c>
      <c r="AJ32" s="1" t="s">
        <v>480</v>
      </c>
      <c r="AK32" s="1" t="s">
        <v>480</v>
      </c>
      <c r="AL32" s="1" t="s">
        <v>480</v>
      </c>
      <c r="AM32" s="1" t="s">
        <v>480</v>
      </c>
      <c r="AN32" s="1" t="s">
        <v>480</v>
      </c>
      <c r="AO32" s="1" t="s">
        <v>480</v>
      </c>
      <c r="AP32" s="1" t="s">
        <v>480</v>
      </c>
      <c r="AQ32" s="1" t="s">
        <v>480</v>
      </c>
      <c r="AR32" s="1" t="s">
        <v>480</v>
      </c>
      <c r="AS32" s="1" t="s">
        <v>480</v>
      </c>
      <c r="AT32" s="1">
        <f t="shared" si="7"/>
        <v>0</v>
      </c>
    </row>
    <row r="33" spans="1:46" x14ac:dyDescent="0.25">
      <c r="A33" s="1">
        <f>COUNTIF('Value Matchup'!$D$356:$D$423,'Team History'!B33)</f>
        <v>0</v>
      </c>
      <c r="B33" t="s">
        <v>148</v>
      </c>
      <c r="C33" s="1">
        <f t="shared" si="0"/>
        <v>2</v>
      </c>
      <c r="D33" s="1">
        <f t="shared" si="1"/>
        <v>0</v>
      </c>
      <c r="E33" s="1">
        <f t="shared" si="2"/>
        <v>0</v>
      </c>
      <c r="F33" s="1">
        <f t="shared" si="3"/>
        <v>0</v>
      </c>
      <c r="G33" s="1">
        <f t="shared" si="4"/>
        <v>0</v>
      </c>
      <c r="H33" s="1">
        <f t="shared" si="5"/>
        <v>0</v>
      </c>
      <c r="I33" s="64">
        <f t="shared" si="6"/>
        <v>10</v>
      </c>
      <c r="K33" s="90" t="s">
        <v>480</v>
      </c>
      <c r="L33" s="1">
        <v>0</v>
      </c>
      <c r="M33" s="1">
        <v>0</v>
      </c>
      <c r="N33" s="1" t="s">
        <v>480</v>
      </c>
      <c r="O33" s="1" t="s">
        <v>480</v>
      </c>
      <c r="P33" s="1" t="s">
        <v>480</v>
      </c>
      <c r="Q33" s="1">
        <v>0</v>
      </c>
      <c r="R33" s="1" t="s">
        <v>480</v>
      </c>
      <c r="S33" s="1">
        <v>0</v>
      </c>
      <c r="T33" s="1" t="s">
        <v>480</v>
      </c>
      <c r="U33" s="1" t="s">
        <v>480</v>
      </c>
      <c r="V33" s="1" t="s">
        <v>480</v>
      </c>
      <c r="W33" s="1" t="s">
        <v>480</v>
      </c>
      <c r="X33" s="1">
        <v>1</v>
      </c>
      <c r="Y33" s="1">
        <v>1</v>
      </c>
      <c r="Z33" s="1" t="s">
        <v>480</v>
      </c>
      <c r="AA33" s="1" t="s">
        <v>480</v>
      </c>
      <c r="AB33" s="1" t="s">
        <v>480</v>
      </c>
      <c r="AC33" s="1" t="s">
        <v>480</v>
      </c>
      <c r="AD33" s="1" t="s">
        <v>480</v>
      </c>
      <c r="AE33" s="1" t="s">
        <v>480</v>
      </c>
      <c r="AF33" s="1" t="s">
        <v>480</v>
      </c>
      <c r="AG33" s="1" t="s">
        <v>480</v>
      </c>
      <c r="AH33" s="1" t="s">
        <v>480</v>
      </c>
      <c r="AI33" s="1" t="s">
        <v>480</v>
      </c>
      <c r="AJ33" s="1" t="s">
        <v>480</v>
      </c>
      <c r="AK33" s="1" t="s">
        <v>480</v>
      </c>
      <c r="AL33" s="1" t="s">
        <v>480</v>
      </c>
      <c r="AM33" s="1" t="s">
        <v>480</v>
      </c>
      <c r="AN33" s="1" t="s">
        <v>480</v>
      </c>
      <c r="AO33" s="1">
        <v>0</v>
      </c>
      <c r="AP33" s="1" t="s">
        <v>480</v>
      </c>
      <c r="AQ33" s="1">
        <v>0</v>
      </c>
      <c r="AR33" s="1" t="s">
        <v>480</v>
      </c>
      <c r="AS33" s="1" t="s">
        <v>480</v>
      </c>
      <c r="AT33" s="1">
        <f t="shared" si="7"/>
        <v>8</v>
      </c>
    </row>
    <row r="34" spans="1:46" x14ac:dyDescent="0.25">
      <c r="A34" s="1">
        <f>COUNTIF('Value Matchup'!$D$356:$D$423,'Team History'!B34)</f>
        <v>0</v>
      </c>
      <c r="B34" t="s">
        <v>30</v>
      </c>
      <c r="C34" s="1">
        <f t="shared" si="0"/>
        <v>2</v>
      </c>
      <c r="D34" s="1">
        <f t="shared" si="1"/>
        <v>0</v>
      </c>
      <c r="E34" s="1">
        <f t="shared" si="2"/>
        <v>0</v>
      </c>
      <c r="F34" s="1">
        <f t="shared" si="3"/>
        <v>0</v>
      </c>
      <c r="G34" s="1">
        <f t="shared" si="4"/>
        <v>0</v>
      </c>
      <c r="H34" s="1">
        <f t="shared" si="5"/>
        <v>0</v>
      </c>
      <c r="I34" s="64">
        <f t="shared" si="6"/>
        <v>8</v>
      </c>
      <c r="K34" s="90">
        <v>1</v>
      </c>
      <c r="L34" s="1">
        <v>1</v>
      </c>
      <c r="M34" s="1" t="s">
        <v>480</v>
      </c>
      <c r="N34" s="1">
        <v>0</v>
      </c>
      <c r="O34" s="1">
        <v>0</v>
      </c>
      <c r="P34" s="1" t="s">
        <v>480</v>
      </c>
      <c r="Q34" s="1" t="s">
        <v>480</v>
      </c>
      <c r="R34" s="1" t="s">
        <v>480</v>
      </c>
      <c r="S34" s="1" t="s">
        <v>480</v>
      </c>
      <c r="T34" s="1" t="s">
        <v>480</v>
      </c>
      <c r="U34" s="1" t="s">
        <v>480</v>
      </c>
      <c r="V34" s="1" t="s">
        <v>480</v>
      </c>
      <c r="W34" s="1" t="s">
        <v>480</v>
      </c>
      <c r="X34" s="1" t="s">
        <v>480</v>
      </c>
      <c r="Y34" s="1" t="s">
        <v>480</v>
      </c>
      <c r="Z34" s="1" t="s">
        <v>480</v>
      </c>
      <c r="AA34" s="1" t="s">
        <v>480</v>
      </c>
      <c r="AB34" s="1" t="s">
        <v>480</v>
      </c>
      <c r="AC34" s="1" t="s">
        <v>480</v>
      </c>
      <c r="AD34" s="1" t="s">
        <v>480</v>
      </c>
      <c r="AE34" s="1" t="s">
        <v>480</v>
      </c>
      <c r="AF34" s="1" t="s">
        <v>480</v>
      </c>
      <c r="AG34" s="1" t="s">
        <v>480</v>
      </c>
      <c r="AH34" s="1" t="s">
        <v>480</v>
      </c>
      <c r="AI34" s="1" t="s">
        <v>480</v>
      </c>
      <c r="AJ34" s="1" t="s">
        <v>480</v>
      </c>
      <c r="AK34" s="1" t="s">
        <v>480</v>
      </c>
      <c r="AL34" s="1" t="s">
        <v>480</v>
      </c>
      <c r="AM34" s="1" t="s">
        <v>480</v>
      </c>
      <c r="AN34" s="1" t="s">
        <v>480</v>
      </c>
      <c r="AO34" s="1" t="s">
        <v>480</v>
      </c>
      <c r="AP34" s="1" t="s">
        <v>480</v>
      </c>
      <c r="AQ34" s="1" t="s">
        <v>480</v>
      </c>
      <c r="AR34" s="1" t="s">
        <v>480</v>
      </c>
      <c r="AS34" s="1" t="s">
        <v>480</v>
      </c>
      <c r="AT34" s="1">
        <f t="shared" si="7"/>
        <v>4</v>
      </c>
    </row>
    <row r="35" spans="1:46" x14ac:dyDescent="0.25">
      <c r="A35" s="1">
        <f>COUNTIF('Value Matchup'!$D$356:$D$423,'Team History'!B35)</f>
        <v>0</v>
      </c>
      <c r="B35" t="s">
        <v>33</v>
      </c>
      <c r="C35" s="1">
        <f t="shared" si="0"/>
        <v>11</v>
      </c>
      <c r="D35" s="1">
        <f t="shared" si="1"/>
        <v>5</v>
      </c>
      <c r="E35" s="1">
        <f t="shared" si="2"/>
        <v>2</v>
      </c>
      <c r="F35" s="1">
        <f t="shared" si="3"/>
        <v>2</v>
      </c>
      <c r="G35" s="1">
        <f t="shared" si="4"/>
        <v>2</v>
      </c>
      <c r="H35" s="1">
        <f t="shared" si="5"/>
        <v>0</v>
      </c>
      <c r="I35" s="64">
        <f t="shared" si="6"/>
        <v>53</v>
      </c>
      <c r="K35" s="90" t="s">
        <v>480</v>
      </c>
      <c r="L35" s="1">
        <v>1</v>
      </c>
      <c r="M35" s="1">
        <v>2</v>
      </c>
      <c r="N35" s="1">
        <v>1</v>
      </c>
      <c r="O35" s="1">
        <v>1</v>
      </c>
      <c r="P35" s="1" t="s">
        <v>480</v>
      </c>
      <c r="Q35" s="1">
        <v>1</v>
      </c>
      <c r="R35" s="1" t="s">
        <v>480</v>
      </c>
      <c r="S35" s="1">
        <v>5</v>
      </c>
      <c r="T35" s="1">
        <v>5</v>
      </c>
      <c r="U35" s="1">
        <v>0</v>
      </c>
      <c r="V35" s="1">
        <v>1</v>
      </c>
      <c r="W35" s="1">
        <v>2</v>
      </c>
      <c r="X35" s="1" t="s">
        <v>480</v>
      </c>
      <c r="Y35" s="1" t="s">
        <v>480</v>
      </c>
      <c r="Z35" s="1" t="s">
        <v>480</v>
      </c>
      <c r="AA35" s="1">
        <v>2</v>
      </c>
      <c r="AB35" s="1" t="s">
        <v>480</v>
      </c>
      <c r="AC35" s="1">
        <v>1</v>
      </c>
      <c r="AD35" s="1">
        <v>0</v>
      </c>
      <c r="AE35" s="1" t="s">
        <v>480</v>
      </c>
      <c r="AF35" s="1">
        <v>0</v>
      </c>
      <c r="AG35" s="1">
        <v>0</v>
      </c>
      <c r="AH35" s="1" t="s">
        <v>480</v>
      </c>
      <c r="AI35" s="1" t="s">
        <v>480</v>
      </c>
      <c r="AJ35" s="1" t="s">
        <v>480</v>
      </c>
      <c r="AK35" s="1" t="s">
        <v>480</v>
      </c>
      <c r="AL35" s="1" t="s">
        <v>480</v>
      </c>
      <c r="AM35" s="1" t="s">
        <v>480</v>
      </c>
      <c r="AN35" s="1" t="s">
        <v>480</v>
      </c>
      <c r="AO35" s="1" t="s">
        <v>480</v>
      </c>
      <c r="AP35" s="1" t="s">
        <v>480</v>
      </c>
      <c r="AQ35" s="1" t="s">
        <v>480</v>
      </c>
      <c r="AR35" s="1" t="s">
        <v>480</v>
      </c>
      <c r="AS35" s="1" t="s">
        <v>480</v>
      </c>
      <c r="AT35" s="1">
        <f t="shared" si="7"/>
        <v>15</v>
      </c>
    </row>
    <row r="36" spans="1:46" x14ac:dyDescent="0.25">
      <c r="A36" s="1">
        <f>COUNTIF('Value Matchup'!$D$356:$D$423,'Team History'!B36)</f>
        <v>1</v>
      </c>
      <c r="B36" t="s">
        <v>72</v>
      </c>
      <c r="C36" s="1">
        <f t="shared" si="0"/>
        <v>5</v>
      </c>
      <c r="D36" s="1">
        <f t="shared" si="1"/>
        <v>1</v>
      </c>
      <c r="E36" s="1">
        <f t="shared" si="2"/>
        <v>0</v>
      </c>
      <c r="F36" s="1">
        <f t="shared" si="3"/>
        <v>0</v>
      </c>
      <c r="G36" s="1">
        <f t="shared" si="4"/>
        <v>0</v>
      </c>
      <c r="H36" s="1">
        <f t="shared" si="5"/>
        <v>0</v>
      </c>
      <c r="I36" s="64">
        <f t="shared" si="6"/>
        <v>27</v>
      </c>
      <c r="K36" s="90" t="s">
        <v>480</v>
      </c>
      <c r="L36" s="1" t="s">
        <v>480</v>
      </c>
      <c r="M36" s="1" t="s">
        <v>480</v>
      </c>
      <c r="N36" s="1" t="s">
        <v>480</v>
      </c>
      <c r="O36" s="1">
        <v>0</v>
      </c>
      <c r="P36" s="1">
        <v>0</v>
      </c>
      <c r="Q36" s="1" t="s">
        <v>480</v>
      </c>
      <c r="R36" s="1">
        <v>0</v>
      </c>
      <c r="S36" s="1">
        <v>2</v>
      </c>
      <c r="T36" s="1">
        <v>1</v>
      </c>
      <c r="U36" s="1">
        <v>0</v>
      </c>
      <c r="V36" s="1">
        <v>0</v>
      </c>
      <c r="W36" s="1">
        <v>0</v>
      </c>
      <c r="X36" s="1" t="s">
        <v>480</v>
      </c>
      <c r="Y36" s="1" t="s">
        <v>480</v>
      </c>
      <c r="Z36" s="1">
        <v>0</v>
      </c>
      <c r="AA36" s="1">
        <v>0</v>
      </c>
      <c r="AB36" s="1" t="s">
        <v>480</v>
      </c>
      <c r="AC36" s="1">
        <v>0</v>
      </c>
      <c r="AD36" s="1" t="s">
        <v>480</v>
      </c>
      <c r="AE36" s="1" t="s">
        <v>480</v>
      </c>
      <c r="AF36" s="1" t="s">
        <v>480</v>
      </c>
      <c r="AG36" s="1" t="s">
        <v>480</v>
      </c>
      <c r="AH36" s="1" t="s">
        <v>480</v>
      </c>
      <c r="AI36" s="1">
        <v>0</v>
      </c>
      <c r="AJ36" s="1" t="s">
        <v>480</v>
      </c>
      <c r="AK36" s="1">
        <v>1</v>
      </c>
      <c r="AL36" s="1">
        <v>0</v>
      </c>
      <c r="AM36" s="1">
        <v>1</v>
      </c>
      <c r="AN36" s="1">
        <v>0</v>
      </c>
      <c r="AO36" s="1" t="s">
        <v>480</v>
      </c>
      <c r="AP36" s="1">
        <v>1</v>
      </c>
      <c r="AQ36" s="1">
        <v>0</v>
      </c>
      <c r="AR36" s="1" t="s">
        <v>480</v>
      </c>
      <c r="AS36" s="1" t="s">
        <v>480</v>
      </c>
      <c r="AT36" s="1">
        <f t="shared" si="7"/>
        <v>18</v>
      </c>
    </row>
    <row r="37" spans="1:46" x14ac:dyDescent="0.25">
      <c r="A37" s="1">
        <f>COUNTIF('Value Matchup'!$D$356:$D$423,'Team History'!B37)</f>
        <v>0</v>
      </c>
      <c r="B37" t="s">
        <v>487</v>
      </c>
      <c r="C37" s="1">
        <f t="shared" si="0"/>
        <v>0</v>
      </c>
      <c r="D37" s="1">
        <f t="shared" si="1"/>
        <v>0</v>
      </c>
      <c r="E37" s="1">
        <f t="shared" si="2"/>
        <v>0</v>
      </c>
      <c r="F37" s="1">
        <f t="shared" si="3"/>
        <v>0</v>
      </c>
      <c r="G37" s="1">
        <f t="shared" si="4"/>
        <v>0</v>
      </c>
      <c r="H37" s="1">
        <f t="shared" si="5"/>
        <v>0</v>
      </c>
      <c r="I37" s="64">
        <f t="shared" si="6"/>
        <v>0</v>
      </c>
      <c r="K37" s="90" t="s">
        <v>480</v>
      </c>
      <c r="L37" s="1" t="s">
        <v>480</v>
      </c>
      <c r="M37" s="1" t="s">
        <v>480</v>
      </c>
      <c r="N37" s="1" t="s">
        <v>480</v>
      </c>
      <c r="O37" s="1" t="s">
        <v>480</v>
      </c>
      <c r="P37" s="1" t="s">
        <v>480</v>
      </c>
      <c r="Q37" s="1" t="s">
        <v>480</v>
      </c>
      <c r="R37" s="1" t="s">
        <v>480</v>
      </c>
      <c r="S37" s="1" t="s">
        <v>480</v>
      </c>
      <c r="T37" s="1" t="s">
        <v>480</v>
      </c>
      <c r="U37" s="1" t="s">
        <v>480</v>
      </c>
      <c r="V37" s="1" t="s">
        <v>480</v>
      </c>
      <c r="W37" s="1" t="s">
        <v>480</v>
      </c>
      <c r="X37" s="1" t="s">
        <v>480</v>
      </c>
      <c r="Y37" s="1" t="s">
        <v>480</v>
      </c>
      <c r="Z37" s="1" t="s">
        <v>480</v>
      </c>
      <c r="AA37" s="1" t="s">
        <v>480</v>
      </c>
      <c r="AB37" s="1" t="s">
        <v>480</v>
      </c>
      <c r="AC37" s="1" t="s">
        <v>480</v>
      </c>
      <c r="AD37" s="1" t="s">
        <v>480</v>
      </c>
      <c r="AE37" s="1" t="s">
        <v>480</v>
      </c>
      <c r="AF37" s="1" t="s">
        <v>480</v>
      </c>
      <c r="AG37" s="1" t="s">
        <v>480</v>
      </c>
      <c r="AH37" s="1" t="s">
        <v>480</v>
      </c>
      <c r="AI37" s="1" t="s">
        <v>480</v>
      </c>
      <c r="AJ37" s="1" t="s">
        <v>480</v>
      </c>
      <c r="AK37" s="1" t="s">
        <v>480</v>
      </c>
      <c r="AL37" s="1" t="s">
        <v>480</v>
      </c>
      <c r="AM37" s="1" t="s">
        <v>480</v>
      </c>
      <c r="AN37" s="1" t="s">
        <v>480</v>
      </c>
      <c r="AO37" s="1" t="s">
        <v>480</v>
      </c>
      <c r="AP37" s="1" t="s">
        <v>480</v>
      </c>
      <c r="AQ37" s="1" t="s">
        <v>480</v>
      </c>
      <c r="AR37" s="1" t="s">
        <v>480</v>
      </c>
      <c r="AS37" s="1" t="s">
        <v>480</v>
      </c>
      <c r="AT37" s="1">
        <f t="shared" si="7"/>
        <v>0</v>
      </c>
    </row>
    <row r="38" spans="1:46" x14ac:dyDescent="0.25">
      <c r="A38" s="1">
        <f>COUNTIF('Value Matchup'!$D$356:$D$423,'Team History'!B38)</f>
        <v>0</v>
      </c>
      <c r="B38" t="s">
        <v>151</v>
      </c>
      <c r="C38" s="1">
        <f t="shared" si="0"/>
        <v>0</v>
      </c>
      <c r="D38" s="1">
        <f t="shared" si="1"/>
        <v>0</v>
      </c>
      <c r="E38" s="1">
        <f t="shared" si="2"/>
        <v>0</v>
      </c>
      <c r="F38" s="1">
        <f t="shared" si="3"/>
        <v>0</v>
      </c>
      <c r="G38" s="1">
        <f t="shared" si="4"/>
        <v>0</v>
      </c>
      <c r="H38" s="1">
        <f t="shared" si="5"/>
        <v>0</v>
      </c>
      <c r="I38" s="64">
        <f t="shared" si="6"/>
        <v>1</v>
      </c>
      <c r="K38" s="90" t="s">
        <v>480</v>
      </c>
      <c r="L38" s="1" t="s">
        <v>480</v>
      </c>
      <c r="M38" s="1" t="s">
        <v>480</v>
      </c>
      <c r="N38" s="1" t="s">
        <v>480</v>
      </c>
      <c r="O38" s="1" t="s">
        <v>480</v>
      </c>
      <c r="P38" s="1">
        <v>0</v>
      </c>
      <c r="Q38" s="1" t="s">
        <v>480</v>
      </c>
      <c r="R38" s="1" t="s">
        <v>480</v>
      </c>
      <c r="S38" s="1" t="s">
        <v>480</v>
      </c>
      <c r="T38" s="1" t="s">
        <v>480</v>
      </c>
      <c r="U38" s="1" t="s">
        <v>480</v>
      </c>
      <c r="V38" s="1" t="s">
        <v>480</v>
      </c>
      <c r="W38" s="1" t="s">
        <v>480</v>
      </c>
      <c r="X38" s="1" t="s">
        <v>480</v>
      </c>
      <c r="Y38" s="1" t="s">
        <v>480</v>
      </c>
      <c r="Z38" s="1" t="s">
        <v>480</v>
      </c>
      <c r="AA38" s="1" t="s">
        <v>480</v>
      </c>
      <c r="AB38" s="1" t="s">
        <v>480</v>
      </c>
      <c r="AC38" s="1" t="s">
        <v>480</v>
      </c>
      <c r="AD38" s="1" t="s">
        <v>480</v>
      </c>
      <c r="AE38" s="1" t="s">
        <v>480</v>
      </c>
      <c r="AF38" s="1" t="s">
        <v>480</v>
      </c>
      <c r="AG38" s="1" t="s">
        <v>480</v>
      </c>
      <c r="AH38" s="1" t="s">
        <v>480</v>
      </c>
      <c r="AI38" s="1" t="s">
        <v>480</v>
      </c>
      <c r="AJ38" s="1" t="s">
        <v>480</v>
      </c>
      <c r="AK38" s="1" t="s">
        <v>480</v>
      </c>
      <c r="AL38" s="1" t="s">
        <v>480</v>
      </c>
      <c r="AM38" s="1" t="s">
        <v>480</v>
      </c>
      <c r="AN38" s="1" t="s">
        <v>480</v>
      </c>
      <c r="AO38" s="1" t="s">
        <v>480</v>
      </c>
      <c r="AP38" s="1" t="s">
        <v>480</v>
      </c>
      <c r="AQ38" s="1" t="s">
        <v>480</v>
      </c>
      <c r="AR38" s="1" t="s">
        <v>480</v>
      </c>
      <c r="AS38" s="1" t="s">
        <v>480</v>
      </c>
      <c r="AT38" s="1">
        <f t="shared" si="7"/>
        <v>1</v>
      </c>
    </row>
    <row r="39" spans="1:46" x14ac:dyDescent="0.25">
      <c r="A39" s="1">
        <f>COUNTIF('Value Matchup'!$D$356:$D$423,'Team History'!B39)</f>
        <v>0</v>
      </c>
      <c r="B39" t="s">
        <v>153</v>
      </c>
      <c r="C39" s="1">
        <f t="shared" si="0"/>
        <v>0</v>
      </c>
      <c r="D39" s="1">
        <f t="shared" si="1"/>
        <v>0</v>
      </c>
      <c r="E39" s="1">
        <f t="shared" si="2"/>
        <v>0</v>
      </c>
      <c r="F39" s="1">
        <f t="shared" si="3"/>
        <v>0</v>
      </c>
      <c r="G39" s="1">
        <f t="shared" si="4"/>
        <v>0</v>
      </c>
      <c r="H39" s="1">
        <f t="shared" si="5"/>
        <v>0</v>
      </c>
      <c r="I39" s="64">
        <f t="shared" si="6"/>
        <v>1</v>
      </c>
      <c r="K39" s="90" t="s">
        <v>480</v>
      </c>
      <c r="L39" s="1" t="s">
        <v>480</v>
      </c>
      <c r="M39" s="1" t="s">
        <v>480</v>
      </c>
      <c r="N39" s="1">
        <v>0</v>
      </c>
      <c r="O39" s="1" t="s">
        <v>480</v>
      </c>
      <c r="P39" s="1" t="s">
        <v>480</v>
      </c>
      <c r="Q39" s="1" t="s">
        <v>480</v>
      </c>
      <c r="R39" s="1" t="s">
        <v>480</v>
      </c>
      <c r="S39" s="1" t="s">
        <v>480</v>
      </c>
      <c r="T39" s="1" t="s">
        <v>480</v>
      </c>
      <c r="U39" s="1" t="s">
        <v>480</v>
      </c>
      <c r="V39" s="1" t="s">
        <v>480</v>
      </c>
      <c r="W39" s="1" t="s">
        <v>480</v>
      </c>
      <c r="X39" s="1" t="s">
        <v>480</v>
      </c>
      <c r="Y39" s="1" t="s">
        <v>480</v>
      </c>
      <c r="Z39" s="1" t="s">
        <v>480</v>
      </c>
      <c r="AA39" s="1" t="s">
        <v>480</v>
      </c>
      <c r="AB39" s="1" t="s">
        <v>480</v>
      </c>
      <c r="AC39" s="1" t="s">
        <v>480</v>
      </c>
      <c r="AD39" s="1" t="s">
        <v>480</v>
      </c>
      <c r="AE39" s="1" t="s">
        <v>480</v>
      </c>
      <c r="AF39" s="1" t="s">
        <v>480</v>
      </c>
      <c r="AG39" s="1" t="s">
        <v>480</v>
      </c>
      <c r="AH39" s="1" t="s">
        <v>480</v>
      </c>
      <c r="AI39" s="1" t="s">
        <v>480</v>
      </c>
      <c r="AJ39" s="1" t="s">
        <v>480</v>
      </c>
      <c r="AK39" s="1" t="s">
        <v>480</v>
      </c>
      <c r="AL39" s="1" t="s">
        <v>480</v>
      </c>
      <c r="AM39" s="1" t="s">
        <v>480</v>
      </c>
      <c r="AN39" s="1" t="s">
        <v>480</v>
      </c>
      <c r="AO39" s="1" t="s">
        <v>480</v>
      </c>
      <c r="AP39" s="1" t="s">
        <v>480</v>
      </c>
      <c r="AQ39" s="1" t="s">
        <v>480</v>
      </c>
      <c r="AR39" s="1" t="s">
        <v>480</v>
      </c>
      <c r="AS39" s="1" t="s">
        <v>480</v>
      </c>
      <c r="AT39" s="1">
        <f t="shared" si="7"/>
        <v>1</v>
      </c>
    </row>
    <row r="40" spans="1:46" x14ac:dyDescent="0.25">
      <c r="A40" s="1">
        <f>COUNTIF('Value Matchup'!$D$356:$D$423,'Team History'!B40)</f>
        <v>0</v>
      </c>
      <c r="B40" t="s">
        <v>155</v>
      </c>
      <c r="C40" s="1">
        <f t="shared" si="0"/>
        <v>0</v>
      </c>
      <c r="D40" s="1">
        <f t="shared" si="1"/>
        <v>0</v>
      </c>
      <c r="E40" s="1">
        <f t="shared" si="2"/>
        <v>0</v>
      </c>
      <c r="F40" s="1">
        <f t="shared" si="3"/>
        <v>0</v>
      </c>
      <c r="G40" s="1">
        <f t="shared" si="4"/>
        <v>0</v>
      </c>
      <c r="H40" s="1">
        <f t="shared" si="5"/>
        <v>0</v>
      </c>
      <c r="I40" s="64">
        <f t="shared" si="6"/>
        <v>2</v>
      </c>
      <c r="K40" s="90" t="s">
        <v>480</v>
      </c>
      <c r="L40" s="1">
        <v>0</v>
      </c>
      <c r="M40" s="1" t="s">
        <v>480</v>
      </c>
      <c r="N40" s="1" t="s">
        <v>480</v>
      </c>
      <c r="O40" s="1" t="s">
        <v>480</v>
      </c>
      <c r="P40" s="1" t="s">
        <v>480</v>
      </c>
      <c r="Q40" s="1" t="s">
        <v>480</v>
      </c>
      <c r="R40" s="1" t="s">
        <v>480</v>
      </c>
      <c r="S40" s="1" t="s">
        <v>480</v>
      </c>
      <c r="T40" s="1" t="s">
        <v>480</v>
      </c>
      <c r="U40" s="1" t="s">
        <v>480</v>
      </c>
      <c r="V40" s="1">
        <v>0</v>
      </c>
      <c r="W40" s="1" t="s">
        <v>480</v>
      </c>
      <c r="X40" s="1" t="s">
        <v>480</v>
      </c>
      <c r="Y40" s="1" t="s">
        <v>480</v>
      </c>
      <c r="Z40" s="1" t="s">
        <v>480</v>
      </c>
      <c r="AA40" s="1" t="s">
        <v>480</v>
      </c>
      <c r="AB40" s="1" t="s">
        <v>480</v>
      </c>
      <c r="AC40" s="1" t="s">
        <v>480</v>
      </c>
      <c r="AD40" s="1" t="s">
        <v>480</v>
      </c>
      <c r="AE40" s="1" t="s">
        <v>480</v>
      </c>
      <c r="AF40" s="1" t="s">
        <v>480</v>
      </c>
      <c r="AG40" s="1" t="s">
        <v>480</v>
      </c>
      <c r="AH40" s="1" t="s">
        <v>480</v>
      </c>
      <c r="AI40" s="1" t="s">
        <v>480</v>
      </c>
      <c r="AJ40" s="1" t="s">
        <v>480</v>
      </c>
      <c r="AK40" s="1" t="s">
        <v>480</v>
      </c>
      <c r="AL40" s="1" t="s">
        <v>480</v>
      </c>
      <c r="AM40" s="1" t="s">
        <v>480</v>
      </c>
      <c r="AN40" s="1" t="s">
        <v>480</v>
      </c>
      <c r="AO40" s="1" t="s">
        <v>480</v>
      </c>
      <c r="AP40" s="1" t="s">
        <v>480</v>
      </c>
      <c r="AQ40" s="1" t="s">
        <v>480</v>
      </c>
      <c r="AR40" s="1" t="s">
        <v>480</v>
      </c>
      <c r="AS40" s="1" t="s">
        <v>480</v>
      </c>
      <c r="AT40" s="1">
        <f t="shared" si="7"/>
        <v>2</v>
      </c>
    </row>
    <row r="41" spans="1:46" x14ac:dyDescent="0.25">
      <c r="A41" s="1">
        <f>COUNTIF('Value Matchup'!$D$356:$D$423,'Team History'!B41)</f>
        <v>0</v>
      </c>
      <c r="B41" t="s">
        <v>156</v>
      </c>
      <c r="C41" s="1">
        <f t="shared" si="0"/>
        <v>0</v>
      </c>
      <c r="D41" s="1">
        <f t="shared" si="1"/>
        <v>0</v>
      </c>
      <c r="E41" s="1">
        <f t="shared" si="2"/>
        <v>0</v>
      </c>
      <c r="F41" s="1">
        <f t="shared" si="3"/>
        <v>0</v>
      </c>
      <c r="G41" s="1">
        <f t="shared" si="4"/>
        <v>0</v>
      </c>
      <c r="H41" s="1">
        <f t="shared" si="5"/>
        <v>0</v>
      </c>
      <c r="I41" s="64">
        <f t="shared" si="6"/>
        <v>2</v>
      </c>
      <c r="K41" s="90" t="s">
        <v>480</v>
      </c>
      <c r="L41" s="1" t="s">
        <v>480</v>
      </c>
      <c r="M41" s="1" t="s">
        <v>480</v>
      </c>
      <c r="N41" s="1" t="s">
        <v>480</v>
      </c>
      <c r="O41" s="1" t="s">
        <v>480</v>
      </c>
      <c r="P41" s="1" t="s">
        <v>480</v>
      </c>
      <c r="Q41" s="1" t="s">
        <v>480</v>
      </c>
      <c r="R41" s="1" t="s">
        <v>480</v>
      </c>
      <c r="S41" s="1" t="s">
        <v>480</v>
      </c>
      <c r="T41" s="1" t="s">
        <v>480</v>
      </c>
      <c r="U41" s="1">
        <v>0</v>
      </c>
      <c r="V41" s="1" t="s">
        <v>480</v>
      </c>
      <c r="W41" s="1" t="s">
        <v>480</v>
      </c>
      <c r="X41" s="1" t="s">
        <v>480</v>
      </c>
      <c r="Y41" s="1" t="s">
        <v>480</v>
      </c>
      <c r="Z41" s="1" t="s">
        <v>480</v>
      </c>
      <c r="AA41" s="1" t="s">
        <v>480</v>
      </c>
      <c r="AB41" s="1" t="s">
        <v>480</v>
      </c>
      <c r="AC41" s="1">
        <v>0</v>
      </c>
      <c r="AD41" s="1" t="s">
        <v>480</v>
      </c>
      <c r="AE41" s="1" t="s">
        <v>480</v>
      </c>
      <c r="AF41" s="1" t="s">
        <v>480</v>
      </c>
      <c r="AG41" s="1" t="s">
        <v>480</v>
      </c>
      <c r="AH41" s="1" t="s">
        <v>480</v>
      </c>
      <c r="AI41" s="1" t="s">
        <v>480</v>
      </c>
      <c r="AJ41" s="1" t="s">
        <v>480</v>
      </c>
      <c r="AK41" s="1" t="s">
        <v>480</v>
      </c>
      <c r="AL41" s="1" t="s">
        <v>480</v>
      </c>
      <c r="AM41" s="1" t="s">
        <v>480</v>
      </c>
      <c r="AN41" s="1" t="s">
        <v>480</v>
      </c>
      <c r="AO41" s="1" t="s">
        <v>480</v>
      </c>
      <c r="AP41" s="1" t="s">
        <v>480</v>
      </c>
      <c r="AQ41" s="1" t="s">
        <v>480</v>
      </c>
      <c r="AR41" s="1" t="s">
        <v>480</v>
      </c>
      <c r="AS41" s="1" t="s">
        <v>480</v>
      </c>
      <c r="AT41" s="1">
        <f t="shared" si="7"/>
        <v>2</v>
      </c>
    </row>
    <row r="42" spans="1:46" x14ac:dyDescent="0.25">
      <c r="A42" s="1">
        <f>COUNTIF('Value Matchup'!$D$356:$D$423,'Team History'!B42)</f>
        <v>0</v>
      </c>
      <c r="B42" t="s">
        <v>84</v>
      </c>
      <c r="C42" s="1">
        <f t="shared" si="0"/>
        <v>7</v>
      </c>
      <c r="D42" s="1">
        <f t="shared" si="1"/>
        <v>2</v>
      </c>
      <c r="E42" s="1">
        <f t="shared" si="2"/>
        <v>0</v>
      </c>
      <c r="F42" s="1">
        <f t="shared" si="3"/>
        <v>0</v>
      </c>
      <c r="G42" s="1">
        <f t="shared" si="4"/>
        <v>0</v>
      </c>
      <c r="H42" s="1">
        <f t="shared" si="5"/>
        <v>0</v>
      </c>
      <c r="I42" s="64">
        <f t="shared" si="6"/>
        <v>25</v>
      </c>
      <c r="K42" s="90" t="s">
        <v>480</v>
      </c>
      <c r="L42" s="1" t="s">
        <v>480</v>
      </c>
      <c r="M42" s="1" t="s">
        <v>480</v>
      </c>
      <c r="N42" s="1">
        <v>0</v>
      </c>
      <c r="O42" s="1" t="s">
        <v>480</v>
      </c>
      <c r="P42" s="1" t="s">
        <v>480</v>
      </c>
      <c r="Q42" s="1">
        <v>1</v>
      </c>
      <c r="R42" s="1">
        <v>0</v>
      </c>
      <c r="S42" s="1" t="s">
        <v>480</v>
      </c>
      <c r="T42" s="1">
        <v>1</v>
      </c>
      <c r="U42" s="1">
        <v>0</v>
      </c>
      <c r="V42" s="1" t="s">
        <v>480</v>
      </c>
      <c r="W42" s="1" t="s">
        <v>480</v>
      </c>
      <c r="X42" s="1">
        <v>0</v>
      </c>
      <c r="Y42" s="1" t="s">
        <v>480</v>
      </c>
      <c r="Z42" s="1" t="s">
        <v>480</v>
      </c>
      <c r="AA42" s="1">
        <v>1</v>
      </c>
      <c r="AB42" s="1">
        <v>1</v>
      </c>
      <c r="AC42" s="1">
        <v>0</v>
      </c>
      <c r="AD42" s="1" t="s">
        <v>480</v>
      </c>
      <c r="AE42" s="1" t="s">
        <v>480</v>
      </c>
      <c r="AF42" s="1" t="s">
        <v>480</v>
      </c>
      <c r="AG42" s="1">
        <v>2</v>
      </c>
      <c r="AH42" s="1">
        <v>0</v>
      </c>
      <c r="AI42" s="1" t="s">
        <v>480</v>
      </c>
      <c r="AJ42" s="1">
        <v>0</v>
      </c>
      <c r="AK42" s="1">
        <v>2</v>
      </c>
      <c r="AL42" s="1" t="s">
        <v>480</v>
      </c>
      <c r="AM42" s="1" t="s">
        <v>480</v>
      </c>
      <c r="AN42" s="1">
        <v>1</v>
      </c>
      <c r="AO42" s="1" t="s">
        <v>480</v>
      </c>
      <c r="AP42" s="1" t="s">
        <v>480</v>
      </c>
      <c r="AQ42" s="1" t="s">
        <v>480</v>
      </c>
      <c r="AR42" s="1" t="s">
        <v>480</v>
      </c>
      <c r="AS42" s="1" t="s">
        <v>480</v>
      </c>
      <c r="AT42" s="1">
        <f t="shared" si="7"/>
        <v>14</v>
      </c>
    </row>
    <row r="43" spans="1:46" x14ac:dyDescent="0.25">
      <c r="A43" s="1">
        <f>COUNTIF('Value Matchup'!$D$356:$D$423,'Team History'!B43)</f>
        <v>0</v>
      </c>
      <c r="B43" t="s">
        <v>157</v>
      </c>
      <c r="C43" s="1">
        <f t="shared" si="0"/>
        <v>0</v>
      </c>
      <c r="D43" s="1">
        <f t="shared" si="1"/>
        <v>0</v>
      </c>
      <c r="E43" s="1">
        <f t="shared" si="2"/>
        <v>0</v>
      </c>
      <c r="F43" s="1">
        <f t="shared" si="3"/>
        <v>0</v>
      </c>
      <c r="G43" s="1">
        <f t="shared" si="4"/>
        <v>0</v>
      </c>
      <c r="H43" s="1">
        <f t="shared" si="5"/>
        <v>0</v>
      </c>
      <c r="I43" s="64">
        <f t="shared" si="6"/>
        <v>1</v>
      </c>
      <c r="K43" s="90" t="s">
        <v>480</v>
      </c>
      <c r="L43" s="1" t="s">
        <v>480</v>
      </c>
      <c r="M43" s="1" t="s">
        <v>480</v>
      </c>
      <c r="N43" s="1" t="s">
        <v>480</v>
      </c>
      <c r="O43" s="1" t="s">
        <v>480</v>
      </c>
      <c r="P43" s="1" t="s">
        <v>480</v>
      </c>
      <c r="Q43" s="1" t="s">
        <v>480</v>
      </c>
      <c r="R43" s="1" t="s">
        <v>480</v>
      </c>
      <c r="S43" s="1" t="s">
        <v>480</v>
      </c>
      <c r="T43" s="1" t="s">
        <v>480</v>
      </c>
      <c r="U43" s="1" t="s">
        <v>480</v>
      </c>
      <c r="V43" s="1" t="s">
        <v>480</v>
      </c>
      <c r="W43" s="1" t="s">
        <v>480</v>
      </c>
      <c r="X43" s="1" t="s">
        <v>480</v>
      </c>
      <c r="Y43" s="1" t="s">
        <v>480</v>
      </c>
      <c r="Z43" s="1" t="s">
        <v>480</v>
      </c>
      <c r="AA43" s="1" t="s">
        <v>480</v>
      </c>
      <c r="AB43" s="1" t="s">
        <v>480</v>
      </c>
      <c r="AC43" s="1" t="s">
        <v>480</v>
      </c>
      <c r="AD43" s="1" t="s">
        <v>480</v>
      </c>
      <c r="AE43" s="1" t="s">
        <v>480</v>
      </c>
      <c r="AF43" s="1" t="s">
        <v>480</v>
      </c>
      <c r="AG43" s="1" t="s">
        <v>480</v>
      </c>
      <c r="AH43" s="1" t="s">
        <v>480</v>
      </c>
      <c r="AI43" s="1" t="s">
        <v>480</v>
      </c>
      <c r="AJ43" s="1" t="s">
        <v>480</v>
      </c>
      <c r="AK43" s="1" t="s">
        <v>480</v>
      </c>
      <c r="AL43" s="1">
        <v>0</v>
      </c>
      <c r="AM43" s="1" t="s">
        <v>480</v>
      </c>
      <c r="AN43" s="1" t="s">
        <v>480</v>
      </c>
      <c r="AO43" s="1" t="s">
        <v>480</v>
      </c>
      <c r="AP43" s="1" t="s">
        <v>480</v>
      </c>
      <c r="AQ43" s="1" t="s">
        <v>480</v>
      </c>
      <c r="AR43" s="1" t="s">
        <v>480</v>
      </c>
      <c r="AS43" s="1" t="s">
        <v>480</v>
      </c>
      <c r="AT43" s="1">
        <f t="shared" si="7"/>
        <v>1</v>
      </c>
    </row>
    <row r="44" spans="1:46" x14ac:dyDescent="0.25">
      <c r="A44" s="1">
        <f>COUNTIF('Value Matchup'!$D$356:$D$423,'Team History'!B44)</f>
        <v>0</v>
      </c>
      <c r="B44" t="s">
        <v>159</v>
      </c>
      <c r="C44" s="1">
        <f t="shared" si="0"/>
        <v>0</v>
      </c>
      <c r="D44" s="1">
        <f t="shared" si="1"/>
        <v>0</v>
      </c>
      <c r="E44" s="1">
        <f t="shared" si="2"/>
        <v>0</v>
      </c>
      <c r="F44" s="1">
        <f t="shared" si="3"/>
        <v>0</v>
      </c>
      <c r="G44" s="1">
        <f t="shared" si="4"/>
        <v>0</v>
      </c>
      <c r="H44" s="1">
        <f t="shared" si="5"/>
        <v>0</v>
      </c>
      <c r="I44" s="64">
        <f t="shared" si="6"/>
        <v>1</v>
      </c>
      <c r="K44" s="90" t="s">
        <v>480</v>
      </c>
      <c r="L44" s="1" t="s">
        <v>480</v>
      </c>
      <c r="M44" s="1" t="s">
        <v>480</v>
      </c>
      <c r="N44" s="1" t="s">
        <v>480</v>
      </c>
      <c r="O44" s="1" t="s">
        <v>480</v>
      </c>
      <c r="P44" s="1" t="s">
        <v>480</v>
      </c>
      <c r="Q44" s="1" t="s">
        <v>480</v>
      </c>
      <c r="R44" s="1" t="s">
        <v>480</v>
      </c>
      <c r="S44" s="1" t="s">
        <v>480</v>
      </c>
      <c r="T44" s="1" t="s">
        <v>480</v>
      </c>
      <c r="U44" s="1" t="s">
        <v>480</v>
      </c>
      <c r="V44" s="1" t="s">
        <v>480</v>
      </c>
      <c r="W44" s="1" t="s">
        <v>480</v>
      </c>
      <c r="X44" s="1" t="s">
        <v>480</v>
      </c>
      <c r="Y44" s="1" t="s">
        <v>480</v>
      </c>
      <c r="Z44" s="1" t="s">
        <v>480</v>
      </c>
      <c r="AA44" s="1" t="s">
        <v>480</v>
      </c>
      <c r="AB44" s="1" t="s">
        <v>480</v>
      </c>
      <c r="AC44" s="1" t="s">
        <v>480</v>
      </c>
      <c r="AD44" s="1" t="s">
        <v>480</v>
      </c>
      <c r="AE44" s="1" t="s">
        <v>480</v>
      </c>
      <c r="AF44" s="1" t="s">
        <v>480</v>
      </c>
      <c r="AG44" s="1" t="s">
        <v>480</v>
      </c>
      <c r="AH44" s="1">
        <v>0</v>
      </c>
      <c r="AI44" s="1" t="s">
        <v>480</v>
      </c>
      <c r="AJ44" s="1" t="s">
        <v>480</v>
      </c>
      <c r="AK44" s="1" t="s">
        <v>480</v>
      </c>
      <c r="AL44" s="1" t="s">
        <v>480</v>
      </c>
      <c r="AM44" s="1" t="s">
        <v>480</v>
      </c>
      <c r="AN44" s="1" t="s">
        <v>480</v>
      </c>
      <c r="AO44" s="1" t="s">
        <v>480</v>
      </c>
      <c r="AP44" s="1" t="s">
        <v>480</v>
      </c>
      <c r="AQ44" s="1" t="s">
        <v>480</v>
      </c>
      <c r="AR44" s="1" t="s">
        <v>480</v>
      </c>
      <c r="AS44" s="1" t="s">
        <v>480</v>
      </c>
      <c r="AT44" s="1">
        <f t="shared" si="7"/>
        <v>1</v>
      </c>
    </row>
    <row r="45" spans="1:46" x14ac:dyDescent="0.25">
      <c r="A45" s="1">
        <f>COUNTIF('Value Matchup'!$D$356:$D$423,'Team History'!B45)</f>
        <v>0</v>
      </c>
      <c r="B45" t="s">
        <v>161</v>
      </c>
      <c r="C45" s="1">
        <f t="shared" si="0"/>
        <v>0</v>
      </c>
      <c r="D45" s="1">
        <f t="shared" si="1"/>
        <v>0</v>
      </c>
      <c r="E45" s="1">
        <f t="shared" si="2"/>
        <v>0</v>
      </c>
      <c r="F45" s="1">
        <f t="shared" si="3"/>
        <v>0</v>
      </c>
      <c r="G45" s="1">
        <f t="shared" si="4"/>
        <v>0</v>
      </c>
      <c r="H45" s="1">
        <f t="shared" si="5"/>
        <v>0</v>
      </c>
      <c r="I45" s="64">
        <f t="shared" si="6"/>
        <v>0</v>
      </c>
      <c r="K45" s="90" t="s">
        <v>480</v>
      </c>
      <c r="L45" s="1" t="s">
        <v>480</v>
      </c>
      <c r="M45" s="1" t="s">
        <v>480</v>
      </c>
      <c r="N45" s="1" t="s">
        <v>480</v>
      </c>
      <c r="O45" s="1" t="s">
        <v>480</v>
      </c>
      <c r="P45" s="1" t="s">
        <v>480</v>
      </c>
      <c r="Q45" s="1" t="s">
        <v>480</v>
      </c>
      <c r="R45" s="1" t="s">
        <v>480</v>
      </c>
      <c r="S45" s="1" t="s">
        <v>480</v>
      </c>
      <c r="T45" s="1" t="s">
        <v>480</v>
      </c>
      <c r="U45" s="1" t="s">
        <v>480</v>
      </c>
      <c r="V45" s="1" t="s">
        <v>480</v>
      </c>
      <c r="W45" s="1" t="s">
        <v>480</v>
      </c>
      <c r="X45" s="1" t="s">
        <v>480</v>
      </c>
      <c r="Y45" s="1" t="s">
        <v>480</v>
      </c>
      <c r="Z45" s="1" t="s">
        <v>480</v>
      </c>
      <c r="AA45" s="1" t="s">
        <v>480</v>
      </c>
      <c r="AB45" s="1" t="s">
        <v>480</v>
      </c>
      <c r="AC45" s="1" t="s">
        <v>480</v>
      </c>
      <c r="AD45" s="1" t="s">
        <v>480</v>
      </c>
      <c r="AE45" s="1" t="s">
        <v>480</v>
      </c>
      <c r="AF45" s="1" t="s">
        <v>480</v>
      </c>
      <c r="AG45" s="1" t="s">
        <v>480</v>
      </c>
      <c r="AH45" s="1" t="s">
        <v>480</v>
      </c>
      <c r="AI45" s="1" t="s">
        <v>480</v>
      </c>
      <c r="AJ45" s="1" t="s">
        <v>480</v>
      </c>
      <c r="AK45" s="1" t="s">
        <v>480</v>
      </c>
      <c r="AL45" s="1" t="s">
        <v>480</v>
      </c>
      <c r="AM45" s="1" t="s">
        <v>480</v>
      </c>
      <c r="AN45" s="1" t="s">
        <v>480</v>
      </c>
      <c r="AO45" s="1" t="s">
        <v>480</v>
      </c>
      <c r="AP45" s="1" t="s">
        <v>480</v>
      </c>
      <c r="AQ45" s="1" t="s">
        <v>480</v>
      </c>
      <c r="AR45" s="1" t="s">
        <v>480</v>
      </c>
      <c r="AS45" s="1" t="s">
        <v>480</v>
      </c>
      <c r="AT45" s="1">
        <f t="shared" si="7"/>
        <v>0</v>
      </c>
    </row>
    <row r="46" spans="1:46" x14ac:dyDescent="0.25">
      <c r="A46" s="1">
        <f>COUNTIF('Value Matchup'!$D$356:$D$423,'Team History'!B46)</f>
        <v>0</v>
      </c>
      <c r="B46" t="s">
        <v>162</v>
      </c>
      <c r="C46" s="1">
        <f t="shared" si="0"/>
        <v>0</v>
      </c>
      <c r="D46" s="1">
        <f t="shared" si="1"/>
        <v>0</v>
      </c>
      <c r="E46" s="1">
        <f t="shared" si="2"/>
        <v>0</v>
      </c>
      <c r="F46" s="1">
        <f t="shared" si="3"/>
        <v>0</v>
      </c>
      <c r="G46" s="1">
        <f t="shared" si="4"/>
        <v>0</v>
      </c>
      <c r="H46" s="1">
        <f t="shared" si="5"/>
        <v>0</v>
      </c>
      <c r="I46" s="64">
        <f t="shared" si="6"/>
        <v>3</v>
      </c>
      <c r="K46" s="90" t="s">
        <v>480</v>
      </c>
      <c r="L46" s="1" t="s">
        <v>480</v>
      </c>
      <c r="M46" s="1" t="s">
        <v>480</v>
      </c>
      <c r="N46" s="1" t="s">
        <v>480</v>
      </c>
      <c r="O46" s="1" t="s">
        <v>480</v>
      </c>
      <c r="P46" s="1" t="s">
        <v>480</v>
      </c>
      <c r="Q46" s="1" t="s">
        <v>480</v>
      </c>
      <c r="R46" s="1" t="s">
        <v>480</v>
      </c>
      <c r="S46" s="1" t="s">
        <v>480</v>
      </c>
      <c r="T46" s="1" t="s">
        <v>480</v>
      </c>
      <c r="U46" s="1" t="s">
        <v>480</v>
      </c>
      <c r="V46" s="1" t="s">
        <v>480</v>
      </c>
      <c r="W46" s="1">
        <v>0</v>
      </c>
      <c r="X46" s="1" t="s">
        <v>480</v>
      </c>
      <c r="Y46" s="1" t="s">
        <v>480</v>
      </c>
      <c r="Z46" s="1" t="s">
        <v>480</v>
      </c>
      <c r="AA46" s="1" t="s">
        <v>480</v>
      </c>
      <c r="AB46" s="1">
        <v>0</v>
      </c>
      <c r="AC46" s="1" t="s">
        <v>480</v>
      </c>
      <c r="AD46" s="1">
        <v>0</v>
      </c>
      <c r="AE46" s="1" t="s">
        <v>480</v>
      </c>
      <c r="AF46" s="1" t="s">
        <v>480</v>
      </c>
      <c r="AG46" s="1" t="s">
        <v>480</v>
      </c>
      <c r="AH46" s="1" t="s">
        <v>480</v>
      </c>
      <c r="AI46" s="1" t="s">
        <v>480</v>
      </c>
      <c r="AJ46" s="1" t="s">
        <v>480</v>
      </c>
      <c r="AK46" s="1" t="s">
        <v>480</v>
      </c>
      <c r="AL46" s="1" t="s">
        <v>480</v>
      </c>
      <c r="AM46" s="1" t="s">
        <v>480</v>
      </c>
      <c r="AN46" s="1" t="s">
        <v>480</v>
      </c>
      <c r="AO46" s="1" t="s">
        <v>480</v>
      </c>
      <c r="AP46" s="1" t="s">
        <v>480</v>
      </c>
      <c r="AQ46" s="1" t="s">
        <v>480</v>
      </c>
      <c r="AR46" s="1" t="s">
        <v>480</v>
      </c>
      <c r="AS46" s="1" t="s">
        <v>480</v>
      </c>
      <c r="AT46" s="1">
        <f t="shared" si="7"/>
        <v>3</v>
      </c>
    </row>
    <row r="47" spans="1:46" x14ac:dyDescent="0.25">
      <c r="A47" s="1">
        <f>COUNTIF('Value Matchup'!$D$356:$D$423,'Team History'!B47)</f>
        <v>0</v>
      </c>
      <c r="B47" t="s">
        <v>163</v>
      </c>
      <c r="C47" s="1">
        <f t="shared" si="0"/>
        <v>1</v>
      </c>
      <c r="D47" s="1">
        <f t="shared" si="1"/>
        <v>0</v>
      </c>
      <c r="E47" s="1">
        <f t="shared" si="2"/>
        <v>0</v>
      </c>
      <c r="F47" s="1">
        <f t="shared" si="3"/>
        <v>0</v>
      </c>
      <c r="G47" s="1">
        <f t="shared" si="4"/>
        <v>0</v>
      </c>
      <c r="H47" s="1">
        <f t="shared" si="5"/>
        <v>0</v>
      </c>
      <c r="I47" s="64">
        <f t="shared" si="6"/>
        <v>3</v>
      </c>
      <c r="K47" s="90" t="s">
        <v>480</v>
      </c>
      <c r="L47" s="1" t="s">
        <v>480</v>
      </c>
      <c r="M47" s="1" t="s">
        <v>480</v>
      </c>
      <c r="N47" s="1" t="s">
        <v>480</v>
      </c>
      <c r="O47" s="1" t="s">
        <v>480</v>
      </c>
      <c r="P47" s="1" t="s">
        <v>480</v>
      </c>
      <c r="Q47" s="1" t="s">
        <v>480</v>
      </c>
      <c r="R47" s="1" t="s">
        <v>480</v>
      </c>
      <c r="S47" s="1" t="s">
        <v>480</v>
      </c>
      <c r="T47" s="1" t="s">
        <v>480</v>
      </c>
      <c r="U47" s="1" t="s">
        <v>480</v>
      </c>
      <c r="V47" s="1" t="s">
        <v>480</v>
      </c>
      <c r="W47" s="1" t="s">
        <v>480</v>
      </c>
      <c r="X47" s="1" t="s">
        <v>480</v>
      </c>
      <c r="Y47" s="1" t="s">
        <v>480</v>
      </c>
      <c r="Z47" s="1" t="s">
        <v>480</v>
      </c>
      <c r="AA47" s="1">
        <v>1</v>
      </c>
      <c r="AB47" s="1" t="s">
        <v>480</v>
      </c>
      <c r="AC47" s="1" t="s">
        <v>480</v>
      </c>
      <c r="AD47" s="1" t="s">
        <v>480</v>
      </c>
      <c r="AE47" s="1" t="s">
        <v>480</v>
      </c>
      <c r="AF47" s="1" t="s">
        <v>480</v>
      </c>
      <c r="AG47" s="1" t="s">
        <v>480</v>
      </c>
      <c r="AH47" s="1" t="s">
        <v>480</v>
      </c>
      <c r="AI47" s="1" t="s">
        <v>480</v>
      </c>
      <c r="AJ47" s="1" t="s">
        <v>480</v>
      </c>
      <c r="AK47" s="1" t="s">
        <v>480</v>
      </c>
      <c r="AL47" s="1" t="s">
        <v>480</v>
      </c>
      <c r="AM47" s="1" t="s">
        <v>480</v>
      </c>
      <c r="AN47" s="1" t="s">
        <v>480</v>
      </c>
      <c r="AO47" s="1" t="s">
        <v>480</v>
      </c>
      <c r="AP47" s="1" t="s">
        <v>480</v>
      </c>
      <c r="AQ47" s="1">
        <v>0</v>
      </c>
      <c r="AR47" s="1" t="s">
        <v>480</v>
      </c>
      <c r="AS47" s="1" t="s">
        <v>480</v>
      </c>
      <c r="AT47" s="1">
        <f t="shared" si="7"/>
        <v>2</v>
      </c>
    </row>
    <row r="48" spans="1:46" x14ac:dyDescent="0.25">
      <c r="A48" s="1">
        <f>COUNTIF('Value Matchup'!$D$356:$D$423,'Team History'!B48)</f>
        <v>0</v>
      </c>
      <c r="B48" t="s">
        <v>488</v>
      </c>
      <c r="C48" s="1">
        <f t="shared" si="0"/>
        <v>0</v>
      </c>
      <c r="D48" s="1">
        <f t="shared" si="1"/>
        <v>0</v>
      </c>
      <c r="E48" s="1">
        <f t="shared" si="2"/>
        <v>0</v>
      </c>
      <c r="F48" s="1">
        <f t="shared" si="3"/>
        <v>0</v>
      </c>
      <c r="G48" s="1">
        <f t="shared" si="4"/>
        <v>0</v>
      </c>
      <c r="H48" s="1">
        <f t="shared" si="5"/>
        <v>0</v>
      </c>
      <c r="I48" s="64">
        <f t="shared" si="6"/>
        <v>0</v>
      </c>
      <c r="K48" s="90" t="s">
        <v>480</v>
      </c>
      <c r="L48" s="1" t="s">
        <v>480</v>
      </c>
      <c r="M48" s="1" t="s">
        <v>480</v>
      </c>
      <c r="N48" s="1" t="s">
        <v>480</v>
      </c>
      <c r="O48" s="1" t="s">
        <v>480</v>
      </c>
      <c r="P48" s="1" t="s">
        <v>480</v>
      </c>
      <c r="Q48" s="1" t="s">
        <v>480</v>
      </c>
      <c r="R48" s="1" t="s">
        <v>480</v>
      </c>
      <c r="S48" s="1" t="s">
        <v>480</v>
      </c>
      <c r="T48" s="1" t="s">
        <v>480</v>
      </c>
      <c r="U48" s="1" t="s">
        <v>480</v>
      </c>
      <c r="V48" s="1" t="s">
        <v>480</v>
      </c>
      <c r="W48" s="1" t="s">
        <v>480</v>
      </c>
      <c r="X48" s="1" t="s">
        <v>480</v>
      </c>
      <c r="Y48" s="1" t="s">
        <v>480</v>
      </c>
      <c r="Z48" s="1" t="s">
        <v>480</v>
      </c>
      <c r="AA48" s="1" t="s">
        <v>480</v>
      </c>
      <c r="AB48" s="1" t="s">
        <v>480</v>
      </c>
      <c r="AC48" s="1" t="s">
        <v>480</v>
      </c>
      <c r="AD48" s="1" t="s">
        <v>480</v>
      </c>
      <c r="AE48" s="1" t="s">
        <v>480</v>
      </c>
      <c r="AF48" s="1" t="s">
        <v>480</v>
      </c>
      <c r="AG48" s="1" t="s">
        <v>480</v>
      </c>
      <c r="AH48" s="1" t="s">
        <v>480</v>
      </c>
      <c r="AI48" s="1" t="s">
        <v>480</v>
      </c>
      <c r="AJ48" s="1" t="s">
        <v>480</v>
      </c>
      <c r="AK48" s="1" t="s">
        <v>480</v>
      </c>
      <c r="AL48" s="1" t="s">
        <v>480</v>
      </c>
      <c r="AM48" s="1" t="s">
        <v>480</v>
      </c>
      <c r="AN48" s="1" t="s">
        <v>480</v>
      </c>
      <c r="AO48" s="1" t="s">
        <v>480</v>
      </c>
      <c r="AP48" s="1" t="s">
        <v>480</v>
      </c>
      <c r="AQ48" s="1" t="s">
        <v>480</v>
      </c>
      <c r="AR48" s="1" t="s">
        <v>480</v>
      </c>
      <c r="AS48" s="1" t="s">
        <v>480</v>
      </c>
      <c r="AT48" s="1">
        <f t="shared" si="7"/>
        <v>0</v>
      </c>
    </row>
    <row r="49" spans="1:46" x14ac:dyDescent="0.25">
      <c r="A49" s="1">
        <f>COUNTIF('Value Matchup'!$D$356:$D$423,'Team History'!B49)</f>
        <v>0</v>
      </c>
      <c r="B49" t="s">
        <v>164</v>
      </c>
      <c r="C49" s="1">
        <f t="shared" si="0"/>
        <v>1</v>
      </c>
      <c r="D49" s="1">
        <f t="shared" si="1"/>
        <v>0</v>
      </c>
      <c r="E49" s="1">
        <f t="shared" si="2"/>
        <v>0</v>
      </c>
      <c r="F49" s="1">
        <f t="shared" si="3"/>
        <v>0</v>
      </c>
      <c r="G49" s="1">
        <f t="shared" si="4"/>
        <v>0</v>
      </c>
      <c r="H49" s="1">
        <f t="shared" si="5"/>
        <v>0</v>
      </c>
      <c r="I49" s="64">
        <f t="shared" si="6"/>
        <v>5</v>
      </c>
      <c r="K49" s="90" t="s">
        <v>480</v>
      </c>
      <c r="L49" s="1" t="s">
        <v>480</v>
      </c>
      <c r="M49" s="1" t="s">
        <v>480</v>
      </c>
      <c r="N49" s="1" t="s">
        <v>480</v>
      </c>
      <c r="O49" s="1" t="s">
        <v>480</v>
      </c>
      <c r="P49" s="1" t="s">
        <v>480</v>
      </c>
      <c r="Q49" s="1" t="s">
        <v>480</v>
      </c>
      <c r="R49" s="1" t="s">
        <v>480</v>
      </c>
      <c r="S49" s="1" t="s">
        <v>480</v>
      </c>
      <c r="T49" s="1" t="s">
        <v>480</v>
      </c>
      <c r="U49" s="1" t="s">
        <v>480</v>
      </c>
      <c r="V49" s="1" t="s">
        <v>480</v>
      </c>
      <c r="W49" s="1" t="s">
        <v>480</v>
      </c>
      <c r="X49" s="1" t="s">
        <v>480</v>
      </c>
      <c r="Y49" s="1" t="s">
        <v>480</v>
      </c>
      <c r="Z49" s="1" t="s">
        <v>480</v>
      </c>
      <c r="AA49" s="1" t="s">
        <v>480</v>
      </c>
      <c r="AB49" s="1" t="s">
        <v>480</v>
      </c>
      <c r="AC49" s="1" t="s">
        <v>480</v>
      </c>
      <c r="AD49" s="1" t="s">
        <v>480</v>
      </c>
      <c r="AE49" s="1">
        <v>0</v>
      </c>
      <c r="AF49" s="1">
        <v>0</v>
      </c>
      <c r="AG49" s="1">
        <v>1</v>
      </c>
      <c r="AH49" s="1" t="s">
        <v>480</v>
      </c>
      <c r="AI49" s="1" t="s">
        <v>480</v>
      </c>
      <c r="AJ49" s="1">
        <v>0</v>
      </c>
      <c r="AK49" s="1" t="s">
        <v>480</v>
      </c>
      <c r="AL49" s="1" t="s">
        <v>480</v>
      </c>
      <c r="AM49" s="1" t="s">
        <v>480</v>
      </c>
      <c r="AN49" s="1" t="s">
        <v>480</v>
      </c>
      <c r="AO49" s="1" t="s">
        <v>480</v>
      </c>
      <c r="AP49" s="1" t="s">
        <v>480</v>
      </c>
      <c r="AQ49" s="1" t="s">
        <v>480</v>
      </c>
      <c r="AR49" s="1" t="s">
        <v>480</v>
      </c>
      <c r="AS49" s="1" t="s">
        <v>480</v>
      </c>
      <c r="AT49" s="1">
        <f t="shared" si="7"/>
        <v>4</v>
      </c>
    </row>
    <row r="50" spans="1:46" x14ac:dyDescent="0.25">
      <c r="A50" s="1">
        <f>COUNTIF('Value Matchup'!$D$356:$D$423,'Team History'!B50)</f>
        <v>0</v>
      </c>
      <c r="B50" t="s">
        <v>165</v>
      </c>
      <c r="C50" s="1">
        <f t="shared" si="0"/>
        <v>4</v>
      </c>
      <c r="D50" s="1">
        <f t="shared" si="1"/>
        <v>0</v>
      </c>
      <c r="E50" s="1">
        <f t="shared" si="2"/>
        <v>0</v>
      </c>
      <c r="F50" s="1">
        <f t="shared" si="3"/>
        <v>0</v>
      </c>
      <c r="G50" s="1">
        <f t="shared" si="4"/>
        <v>0</v>
      </c>
      <c r="H50" s="1">
        <f t="shared" si="5"/>
        <v>0</v>
      </c>
      <c r="I50" s="64">
        <f t="shared" si="6"/>
        <v>14</v>
      </c>
      <c r="K50" s="90" t="s">
        <v>480</v>
      </c>
      <c r="L50" s="1" t="s">
        <v>480</v>
      </c>
      <c r="M50" s="1" t="s">
        <v>480</v>
      </c>
      <c r="N50" s="1" t="s">
        <v>480</v>
      </c>
      <c r="O50" s="1" t="s">
        <v>480</v>
      </c>
      <c r="P50" s="1" t="s">
        <v>480</v>
      </c>
      <c r="Q50" s="1" t="s">
        <v>480</v>
      </c>
      <c r="R50" s="1" t="s">
        <v>480</v>
      </c>
      <c r="S50" s="1" t="s">
        <v>480</v>
      </c>
      <c r="T50" s="1" t="s">
        <v>480</v>
      </c>
      <c r="U50" s="1" t="s">
        <v>480</v>
      </c>
      <c r="V50" s="1" t="s">
        <v>480</v>
      </c>
      <c r="W50" s="1" t="s">
        <v>480</v>
      </c>
      <c r="X50" s="1" t="s">
        <v>480</v>
      </c>
      <c r="Y50" s="1">
        <v>0</v>
      </c>
      <c r="Z50" s="1">
        <v>0</v>
      </c>
      <c r="AA50" s="1" t="s">
        <v>480</v>
      </c>
      <c r="AB50" s="1">
        <v>0</v>
      </c>
      <c r="AC50" s="1">
        <v>1</v>
      </c>
      <c r="AD50" s="1" t="s">
        <v>480</v>
      </c>
      <c r="AE50" s="1">
        <v>1</v>
      </c>
      <c r="AF50" s="1">
        <v>1</v>
      </c>
      <c r="AG50" s="1">
        <v>1</v>
      </c>
      <c r="AH50" s="1" t="s">
        <v>480</v>
      </c>
      <c r="AI50" s="1">
        <v>0</v>
      </c>
      <c r="AJ50" s="1" t="s">
        <v>480</v>
      </c>
      <c r="AK50" s="1" t="s">
        <v>480</v>
      </c>
      <c r="AL50" s="1">
        <v>0</v>
      </c>
      <c r="AM50" s="1" t="s">
        <v>480</v>
      </c>
      <c r="AN50" s="1" t="s">
        <v>480</v>
      </c>
      <c r="AO50" s="1" t="s">
        <v>480</v>
      </c>
      <c r="AP50" s="1">
        <v>0</v>
      </c>
      <c r="AQ50" s="1" t="s">
        <v>480</v>
      </c>
      <c r="AR50" s="1" t="s">
        <v>480</v>
      </c>
      <c r="AS50" s="1" t="s">
        <v>480</v>
      </c>
      <c r="AT50" s="1">
        <f t="shared" si="7"/>
        <v>10</v>
      </c>
    </row>
    <row r="51" spans="1:46" x14ac:dyDescent="0.25">
      <c r="A51" s="1">
        <f>COUNTIF('Value Matchup'!$D$356:$D$423,'Team History'!B51)</f>
        <v>0</v>
      </c>
      <c r="B51" t="s">
        <v>167</v>
      </c>
      <c r="C51" s="1">
        <f t="shared" si="0"/>
        <v>1</v>
      </c>
      <c r="D51" s="1">
        <f t="shared" si="1"/>
        <v>1</v>
      </c>
      <c r="E51" s="1">
        <f t="shared" si="2"/>
        <v>0</v>
      </c>
      <c r="F51" s="1">
        <f t="shared" si="3"/>
        <v>0</v>
      </c>
      <c r="G51" s="1">
        <f t="shared" si="4"/>
        <v>0</v>
      </c>
      <c r="H51" s="1">
        <f t="shared" si="5"/>
        <v>0</v>
      </c>
      <c r="I51" s="64">
        <f t="shared" si="6"/>
        <v>10</v>
      </c>
      <c r="K51" s="90" t="s">
        <v>480</v>
      </c>
      <c r="L51" s="1" t="s">
        <v>480</v>
      </c>
      <c r="M51" s="1" t="s">
        <v>480</v>
      </c>
      <c r="N51" s="1">
        <v>0</v>
      </c>
      <c r="O51" s="1" t="s">
        <v>480</v>
      </c>
      <c r="P51" s="1" t="s">
        <v>480</v>
      </c>
      <c r="Q51" s="1" t="s">
        <v>480</v>
      </c>
      <c r="R51" s="1" t="s">
        <v>480</v>
      </c>
      <c r="S51" s="1" t="s">
        <v>480</v>
      </c>
      <c r="T51" s="1" t="s">
        <v>480</v>
      </c>
      <c r="U51" s="1">
        <v>0</v>
      </c>
      <c r="V51" s="1" t="s">
        <v>480</v>
      </c>
      <c r="W51" s="1" t="s">
        <v>480</v>
      </c>
      <c r="X51" s="1" t="s">
        <v>480</v>
      </c>
      <c r="Y51" s="1">
        <v>0</v>
      </c>
      <c r="Z51" s="1" t="s">
        <v>480</v>
      </c>
      <c r="AA51" s="1" t="s">
        <v>480</v>
      </c>
      <c r="AB51" s="1" t="s">
        <v>480</v>
      </c>
      <c r="AC51" s="1" t="s">
        <v>480</v>
      </c>
      <c r="AD51" s="1" t="s">
        <v>480</v>
      </c>
      <c r="AE51" s="1" t="s">
        <v>480</v>
      </c>
      <c r="AF51" s="1" t="s">
        <v>480</v>
      </c>
      <c r="AG51" s="1">
        <v>2</v>
      </c>
      <c r="AH51" s="1" t="s">
        <v>480</v>
      </c>
      <c r="AI51" s="1">
        <v>0</v>
      </c>
      <c r="AJ51" s="1">
        <v>0</v>
      </c>
      <c r="AK51" s="1">
        <v>0</v>
      </c>
      <c r="AL51" s="1" t="s">
        <v>480</v>
      </c>
      <c r="AM51" s="1" t="s">
        <v>480</v>
      </c>
      <c r="AN51" s="1" t="s">
        <v>480</v>
      </c>
      <c r="AO51" s="1" t="s">
        <v>480</v>
      </c>
      <c r="AP51" s="1">
        <v>0</v>
      </c>
      <c r="AQ51" s="1" t="s">
        <v>480</v>
      </c>
      <c r="AR51" s="1" t="s">
        <v>480</v>
      </c>
      <c r="AS51" s="1" t="s">
        <v>480</v>
      </c>
      <c r="AT51" s="1">
        <f t="shared" si="7"/>
        <v>8</v>
      </c>
    </row>
    <row r="52" spans="1:46" x14ac:dyDescent="0.25">
      <c r="A52" s="1">
        <f>COUNTIF('Value Matchup'!$D$356:$D$423,'Team History'!B52)</f>
        <v>0</v>
      </c>
      <c r="B52" t="s">
        <v>169</v>
      </c>
      <c r="C52" s="1">
        <f t="shared" si="0"/>
        <v>0</v>
      </c>
      <c r="D52" s="1">
        <f t="shared" si="1"/>
        <v>0</v>
      </c>
      <c r="E52" s="1">
        <f t="shared" si="2"/>
        <v>0</v>
      </c>
      <c r="F52" s="1">
        <f t="shared" si="3"/>
        <v>0</v>
      </c>
      <c r="G52" s="1">
        <f t="shared" si="4"/>
        <v>0</v>
      </c>
      <c r="H52" s="1">
        <f t="shared" si="5"/>
        <v>0</v>
      </c>
      <c r="I52" s="64">
        <f t="shared" si="6"/>
        <v>0</v>
      </c>
      <c r="K52" s="90" t="s">
        <v>480</v>
      </c>
      <c r="L52" s="1" t="s">
        <v>480</v>
      </c>
      <c r="M52" s="1" t="s">
        <v>480</v>
      </c>
      <c r="N52" s="1" t="s">
        <v>480</v>
      </c>
      <c r="O52" s="1" t="s">
        <v>480</v>
      </c>
      <c r="P52" s="1" t="s">
        <v>480</v>
      </c>
      <c r="Q52" s="1" t="s">
        <v>480</v>
      </c>
      <c r="R52" s="1" t="s">
        <v>480</v>
      </c>
      <c r="S52" s="1" t="s">
        <v>480</v>
      </c>
      <c r="T52" s="1" t="s">
        <v>480</v>
      </c>
      <c r="U52" s="1" t="s">
        <v>480</v>
      </c>
      <c r="V52" s="1" t="s">
        <v>480</v>
      </c>
      <c r="W52" s="1" t="s">
        <v>480</v>
      </c>
      <c r="X52" s="1" t="s">
        <v>480</v>
      </c>
      <c r="Y52" s="1" t="s">
        <v>480</v>
      </c>
      <c r="Z52" s="1" t="s">
        <v>480</v>
      </c>
      <c r="AA52" s="1" t="s">
        <v>480</v>
      </c>
      <c r="AB52" s="1" t="s">
        <v>480</v>
      </c>
      <c r="AC52" s="1" t="s">
        <v>480</v>
      </c>
      <c r="AD52" s="1" t="s">
        <v>480</v>
      </c>
      <c r="AE52" s="1" t="s">
        <v>480</v>
      </c>
      <c r="AF52" s="1" t="s">
        <v>480</v>
      </c>
      <c r="AG52" s="1" t="s">
        <v>480</v>
      </c>
      <c r="AH52" s="1" t="s">
        <v>480</v>
      </c>
      <c r="AI52" s="1" t="s">
        <v>480</v>
      </c>
      <c r="AJ52" s="1" t="s">
        <v>480</v>
      </c>
      <c r="AK52" s="1" t="s">
        <v>480</v>
      </c>
      <c r="AL52" s="1" t="s">
        <v>480</v>
      </c>
      <c r="AM52" s="1" t="s">
        <v>480</v>
      </c>
      <c r="AN52" s="1" t="s">
        <v>480</v>
      </c>
      <c r="AO52" s="1" t="s">
        <v>480</v>
      </c>
      <c r="AP52" s="1" t="s">
        <v>480</v>
      </c>
      <c r="AQ52" s="1" t="s">
        <v>480</v>
      </c>
      <c r="AR52" s="1" t="s">
        <v>480</v>
      </c>
      <c r="AS52" s="1" t="s">
        <v>480</v>
      </c>
      <c r="AT52" s="1">
        <f t="shared" si="7"/>
        <v>0</v>
      </c>
    </row>
    <row r="53" spans="1:46" x14ac:dyDescent="0.25">
      <c r="A53" s="1">
        <f>COUNTIF('Value Matchup'!$D$356:$D$423,'Team History'!B53)</f>
        <v>0</v>
      </c>
      <c r="B53" t="s">
        <v>28</v>
      </c>
      <c r="C53" s="1">
        <f t="shared" si="0"/>
        <v>17</v>
      </c>
      <c r="D53" s="1">
        <f t="shared" si="1"/>
        <v>5</v>
      </c>
      <c r="E53" s="1">
        <f t="shared" si="2"/>
        <v>3</v>
      </c>
      <c r="F53" s="1">
        <f t="shared" si="3"/>
        <v>1</v>
      </c>
      <c r="G53" s="1">
        <f t="shared" si="4"/>
        <v>0</v>
      </c>
      <c r="H53" s="1">
        <f t="shared" si="5"/>
        <v>0</v>
      </c>
      <c r="I53" s="64">
        <f t="shared" si="6"/>
        <v>55</v>
      </c>
      <c r="K53" s="90">
        <v>0</v>
      </c>
      <c r="L53" s="1">
        <v>1</v>
      </c>
      <c r="M53" s="1">
        <v>1</v>
      </c>
      <c r="N53" s="1">
        <v>0</v>
      </c>
      <c r="O53" s="1">
        <v>1</v>
      </c>
      <c r="P53" s="1">
        <v>0</v>
      </c>
      <c r="Q53" s="1">
        <v>0</v>
      </c>
      <c r="R53" s="1">
        <v>2</v>
      </c>
      <c r="S53" s="1">
        <v>1</v>
      </c>
      <c r="T53" s="1" t="s">
        <v>480</v>
      </c>
      <c r="U53" s="1" t="s">
        <v>480</v>
      </c>
      <c r="V53" s="1" t="s">
        <v>480</v>
      </c>
      <c r="W53" s="1" t="s">
        <v>480</v>
      </c>
      <c r="X53" s="1" t="s">
        <v>480</v>
      </c>
      <c r="Y53" s="1">
        <v>1</v>
      </c>
      <c r="Z53" s="1">
        <v>1</v>
      </c>
      <c r="AA53" s="1">
        <v>0</v>
      </c>
      <c r="AB53" s="1">
        <v>1</v>
      </c>
      <c r="AC53" s="1">
        <v>2</v>
      </c>
      <c r="AD53" s="1">
        <v>1</v>
      </c>
      <c r="AE53" s="1">
        <v>1</v>
      </c>
      <c r="AF53" s="1">
        <v>1</v>
      </c>
      <c r="AG53" s="1">
        <v>1</v>
      </c>
      <c r="AH53" s="1">
        <v>3</v>
      </c>
      <c r="AI53" s="1">
        <v>1</v>
      </c>
      <c r="AJ53" s="1">
        <v>0</v>
      </c>
      <c r="AK53" s="1">
        <v>3</v>
      </c>
      <c r="AL53" s="1">
        <v>4</v>
      </c>
      <c r="AM53" s="1" t="s">
        <v>480</v>
      </c>
      <c r="AN53" s="1" t="s">
        <v>480</v>
      </c>
      <c r="AO53" s="1" t="s">
        <v>480</v>
      </c>
      <c r="AP53" s="1" t="s">
        <v>480</v>
      </c>
      <c r="AQ53" s="1" t="s">
        <v>480</v>
      </c>
      <c r="AR53" s="1" t="s">
        <v>480</v>
      </c>
      <c r="AS53" s="1" t="s">
        <v>480</v>
      </c>
      <c r="AT53" s="1">
        <f t="shared" si="7"/>
        <v>23</v>
      </c>
    </row>
    <row r="54" spans="1:46" x14ac:dyDescent="0.25">
      <c r="A54" s="1">
        <f>COUNTIF('Value Matchup'!$D$356:$D$423,'Team History'!B54)</f>
        <v>1</v>
      </c>
      <c r="B54" t="s">
        <v>89</v>
      </c>
      <c r="C54" s="1">
        <f t="shared" si="0"/>
        <v>4</v>
      </c>
      <c r="D54" s="1">
        <f t="shared" si="1"/>
        <v>3</v>
      </c>
      <c r="E54" s="1">
        <f t="shared" si="2"/>
        <v>0</v>
      </c>
      <c r="F54" s="1">
        <f t="shared" si="3"/>
        <v>0</v>
      </c>
      <c r="G54" s="1">
        <f t="shared" si="4"/>
        <v>0</v>
      </c>
      <c r="H54" s="1">
        <f t="shared" si="5"/>
        <v>0</v>
      </c>
      <c r="I54" s="64">
        <f t="shared" si="6"/>
        <v>20</v>
      </c>
      <c r="K54" s="90" t="s">
        <v>480</v>
      </c>
      <c r="L54" s="1">
        <v>2</v>
      </c>
      <c r="M54" s="1" t="s">
        <v>480</v>
      </c>
      <c r="N54" s="1" t="s">
        <v>480</v>
      </c>
      <c r="O54" s="1" t="s">
        <v>480</v>
      </c>
      <c r="P54" s="1" t="s">
        <v>480</v>
      </c>
      <c r="Q54" s="1" t="s">
        <v>480</v>
      </c>
      <c r="R54" s="1" t="s">
        <v>480</v>
      </c>
      <c r="S54" s="1">
        <v>0</v>
      </c>
      <c r="T54" s="1">
        <v>0</v>
      </c>
      <c r="U54" s="1">
        <v>0</v>
      </c>
      <c r="V54" s="1">
        <v>0</v>
      </c>
      <c r="W54" s="1" t="s">
        <v>480</v>
      </c>
      <c r="X54" s="1" t="s">
        <v>480</v>
      </c>
      <c r="Y54" s="1" t="s">
        <v>480</v>
      </c>
      <c r="Z54" s="1" t="s">
        <v>480</v>
      </c>
      <c r="AA54" s="1" t="s">
        <v>480</v>
      </c>
      <c r="AB54" s="1" t="s">
        <v>480</v>
      </c>
      <c r="AC54" s="1" t="s">
        <v>480</v>
      </c>
      <c r="AD54" s="1" t="s">
        <v>480</v>
      </c>
      <c r="AE54" s="1" t="s">
        <v>480</v>
      </c>
      <c r="AF54" s="1">
        <v>0</v>
      </c>
      <c r="AG54" s="1">
        <v>2</v>
      </c>
      <c r="AH54" s="1">
        <v>0</v>
      </c>
      <c r="AI54" s="1" t="s">
        <v>480</v>
      </c>
      <c r="AJ54" s="1" t="s">
        <v>480</v>
      </c>
      <c r="AK54" s="1" t="s">
        <v>480</v>
      </c>
      <c r="AL54" s="1" t="s">
        <v>480</v>
      </c>
      <c r="AM54" s="1" t="s">
        <v>480</v>
      </c>
      <c r="AN54" s="1">
        <v>2</v>
      </c>
      <c r="AO54" s="1">
        <v>1</v>
      </c>
      <c r="AP54" s="1" t="s">
        <v>480</v>
      </c>
      <c r="AQ54" s="1">
        <v>0</v>
      </c>
      <c r="AR54" s="1" t="s">
        <v>480</v>
      </c>
      <c r="AS54" s="1" t="s">
        <v>480</v>
      </c>
      <c r="AT54" s="1">
        <f t="shared" si="7"/>
        <v>11</v>
      </c>
    </row>
    <row r="55" spans="1:46" x14ac:dyDescent="0.25">
      <c r="A55" s="1">
        <f>COUNTIF('Value Matchup'!$D$356:$D$423,'Team History'!B55)</f>
        <v>1</v>
      </c>
      <c r="B55" t="s">
        <v>171</v>
      </c>
      <c r="C55" s="1">
        <f t="shared" si="0"/>
        <v>2</v>
      </c>
      <c r="D55" s="1">
        <f t="shared" si="1"/>
        <v>1</v>
      </c>
      <c r="E55" s="1">
        <f t="shared" si="2"/>
        <v>0</v>
      </c>
      <c r="F55" s="1">
        <f t="shared" si="3"/>
        <v>0</v>
      </c>
      <c r="G55" s="1">
        <f t="shared" si="4"/>
        <v>0</v>
      </c>
      <c r="H55" s="1">
        <f t="shared" si="5"/>
        <v>0</v>
      </c>
      <c r="I55" s="64">
        <f t="shared" si="6"/>
        <v>5</v>
      </c>
      <c r="K55" s="90" t="s">
        <v>480</v>
      </c>
      <c r="L55" s="1" t="s">
        <v>480</v>
      </c>
      <c r="M55" s="1" t="s">
        <v>480</v>
      </c>
      <c r="N55" s="1" t="s">
        <v>480</v>
      </c>
      <c r="O55" s="1" t="s">
        <v>480</v>
      </c>
      <c r="P55" s="1" t="s">
        <v>480</v>
      </c>
      <c r="Q55" s="1" t="s">
        <v>480</v>
      </c>
      <c r="R55" s="1" t="s">
        <v>480</v>
      </c>
      <c r="S55" s="1" t="s">
        <v>480</v>
      </c>
      <c r="T55" s="1" t="s">
        <v>480</v>
      </c>
      <c r="U55" s="1">
        <v>1</v>
      </c>
      <c r="V55" s="1" t="s">
        <v>480</v>
      </c>
      <c r="W55" s="1" t="s">
        <v>480</v>
      </c>
      <c r="X55" s="1" t="s">
        <v>480</v>
      </c>
      <c r="Y55" s="1" t="s">
        <v>480</v>
      </c>
      <c r="Z55" s="1" t="s">
        <v>480</v>
      </c>
      <c r="AA55" s="1" t="s">
        <v>480</v>
      </c>
      <c r="AB55" s="1" t="s">
        <v>480</v>
      </c>
      <c r="AC55" s="1" t="s">
        <v>480</v>
      </c>
      <c r="AD55" s="1" t="s">
        <v>480</v>
      </c>
      <c r="AE55" s="1" t="s">
        <v>480</v>
      </c>
      <c r="AF55" s="1" t="s">
        <v>480</v>
      </c>
      <c r="AG55" s="1" t="s">
        <v>480</v>
      </c>
      <c r="AH55" s="1" t="s">
        <v>480</v>
      </c>
      <c r="AI55" s="1" t="s">
        <v>480</v>
      </c>
      <c r="AJ55" s="1" t="s">
        <v>480</v>
      </c>
      <c r="AK55" s="1" t="s">
        <v>480</v>
      </c>
      <c r="AL55" s="1" t="s">
        <v>480</v>
      </c>
      <c r="AM55" s="1" t="s">
        <v>480</v>
      </c>
      <c r="AN55" s="1" t="s">
        <v>480</v>
      </c>
      <c r="AO55" s="1" t="s">
        <v>480</v>
      </c>
      <c r="AP55" s="1" t="s">
        <v>480</v>
      </c>
      <c r="AQ55" s="1" t="s">
        <v>480</v>
      </c>
      <c r="AR55" s="1">
        <v>2</v>
      </c>
      <c r="AS55" s="1" t="s">
        <v>480</v>
      </c>
      <c r="AT55" s="1">
        <f t="shared" si="7"/>
        <v>2</v>
      </c>
    </row>
    <row r="56" spans="1:46" x14ac:dyDescent="0.25">
      <c r="A56" s="1">
        <f>COUNTIF('Value Matchup'!$D$356:$D$423,'Team History'!B56)</f>
        <v>0</v>
      </c>
      <c r="B56" t="s">
        <v>173</v>
      </c>
      <c r="C56" s="1">
        <f t="shared" si="0"/>
        <v>0</v>
      </c>
      <c r="D56" s="1">
        <f t="shared" si="1"/>
        <v>0</v>
      </c>
      <c r="E56" s="1">
        <f t="shared" si="2"/>
        <v>0</v>
      </c>
      <c r="F56" s="1">
        <f t="shared" si="3"/>
        <v>0</v>
      </c>
      <c r="G56" s="1">
        <f t="shared" si="4"/>
        <v>0</v>
      </c>
      <c r="H56" s="1">
        <f t="shared" si="5"/>
        <v>0</v>
      </c>
      <c r="I56" s="64">
        <f t="shared" si="6"/>
        <v>4</v>
      </c>
      <c r="K56" s="90" t="s">
        <v>480</v>
      </c>
      <c r="L56" s="1" t="s">
        <v>480</v>
      </c>
      <c r="M56" s="1" t="s">
        <v>480</v>
      </c>
      <c r="N56" s="1" t="s">
        <v>480</v>
      </c>
      <c r="O56" s="1">
        <v>0</v>
      </c>
      <c r="P56" s="1">
        <v>0</v>
      </c>
      <c r="Q56" s="1" t="s">
        <v>480</v>
      </c>
      <c r="R56" s="1" t="s">
        <v>480</v>
      </c>
      <c r="S56" s="1" t="s">
        <v>480</v>
      </c>
      <c r="T56" s="1" t="s">
        <v>480</v>
      </c>
      <c r="U56" s="1" t="s">
        <v>480</v>
      </c>
      <c r="V56" s="1" t="s">
        <v>480</v>
      </c>
      <c r="W56" s="1" t="s">
        <v>480</v>
      </c>
      <c r="X56" s="1" t="s">
        <v>480</v>
      </c>
      <c r="Y56" s="1" t="s">
        <v>480</v>
      </c>
      <c r="Z56" s="1" t="s">
        <v>480</v>
      </c>
      <c r="AA56" s="1" t="s">
        <v>480</v>
      </c>
      <c r="AB56" s="1" t="s">
        <v>480</v>
      </c>
      <c r="AC56" s="1" t="s">
        <v>480</v>
      </c>
      <c r="AD56" s="1" t="s">
        <v>480</v>
      </c>
      <c r="AE56" s="1" t="s">
        <v>480</v>
      </c>
      <c r="AF56" s="1" t="s">
        <v>480</v>
      </c>
      <c r="AG56" s="1" t="s">
        <v>480</v>
      </c>
      <c r="AH56" s="1" t="s">
        <v>480</v>
      </c>
      <c r="AI56" s="1" t="s">
        <v>480</v>
      </c>
      <c r="AJ56" s="1" t="s">
        <v>480</v>
      </c>
      <c r="AK56" s="1">
        <v>0</v>
      </c>
      <c r="AL56" s="1" t="s">
        <v>480</v>
      </c>
      <c r="AM56" s="1">
        <v>0</v>
      </c>
      <c r="AN56" s="1" t="s">
        <v>480</v>
      </c>
      <c r="AO56" s="1" t="s">
        <v>480</v>
      </c>
      <c r="AP56" s="1" t="s">
        <v>480</v>
      </c>
      <c r="AQ56" s="1" t="s">
        <v>480</v>
      </c>
      <c r="AR56" s="1" t="s">
        <v>480</v>
      </c>
      <c r="AS56" s="1" t="s">
        <v>480</v>
      </c>
      <c r="AT56" s="1">
        <f t="shared" si="7"/>
        <v>4</v>
      </c>
    </row>
    <row r="57" spans="1:46" x14ac:dyDescent="0.25">
      <c r="A57" s="1">
        <f>COUNTIF('Value Matchup'!$D$356:$D$423,'Team History'!B57)</f>
        <v>1</v>
      </c>
      <c r="B57" t="s">
        <v>174</v>
      </c>
      <c r="C57" s="1">
        <f t="shared" si="0"/>
        <v>0</v>
      </c>
      <c r="D57" s="1">
        <f t="shared" si="1"/>
        <v>0</v>
      </c>
      <c r="E57" s="1">
        <f t="shared" si="2"/>
        <v>0</v>
      </c>
      <c r="F57" s="1">
        <f t="shared" si="3"/>
        <v>0</v>
      </c>
      <c r="G57" s="1">
        <f t="shared" si="4"/>
        <v>0</v>
      </c>
      <c r="H57" s="1">
        <f t="shared" si="5"/>
        <v>0</v>
      </c>
      <c r="I57" s="64">
        <f t="shared" si="6"/>
        <v>3</v>
      </c>
      <c r="K57" s="90">
        <v>0</v>
      </c>
      <c r="L57" s="1" t="s">
        <v>480</v>
      </c>
      <c r="M57" s="1" t="s">
        <v>480</v>
      </c>
      <c r="N57" s="1" t="s">
        <v>480</v>
      </c>
      <c r="O57" s="1" t="s">
        <v>480</v>
      </c>
      <c r="P57" s="1" t="s">
        <v>480</v>
      </c>
      <c r="Q57" s="1" t="s">
        <v>480</v>
      </c>
      <c r="R57" s="1" t="s">
        <v>480</v>
      </c>
      <c r="S57" s="1" t="s">
        <v>480</v>
      </c>
      <c r="T57" s="1" t="s">
        <v>480</v>
      </c>
      <c r="U57" s="1" t="s">
        <v>480</v>
      </c>
      <c r="V57" s="1" t="s">
        <v>480</v>
      </c>
      <c r="W57" s="1" t="s">
        <v>480</v>
      </c>
      <c r="X57" s="1" t="s">
        <v>480</v>
      </c>
      <c r="Y57" s="1" t="s">
        <v>480</v>
      </c>
      <c r="Z57" s="1" t="s">
        <v>480</v>
      </c>
      <c r="AA57" s="1" t="s">
        <v>480</v>
      </c>
      <c r="AB57" s="1" t="s">
        <v>480</v>
      </c>
      <c r="AC57" s="1" t="s">
        <v>480</v>
      </c>
      <c r="AD57" s="1" t="s">
        <v>480</v>
      </c>
      <c r="AE57" s="1" t="s">
        <v>480</v>
      </c>
      <c r="AF57" s="1" t="s">
        <v>480</v>
      </c>
      <c r="AG57" s="1" t="s">
        <v>480</v>
      </c>
      <c r="AH57" s="1">
        <v>0</v>
      </c>
      <c r="AI57" s="1">
        <v>0</v>
      </c>
      <c r="AJ57" s="1" t="s">
        <v>480</v>
      </c>
      <c r="AK57" s="1" t="s">
        <v>480</v>
      </c>
      <c r="AL57" s="1" t="s">
        <v>480</v>
      </c>
      <c r="AM57" s="1" t="s">
        <v>480</v>
      </c>
      <c r="AN57" s="1" t="s">
        <v>480</v>
      </c>
      <c r="AO57" s="1" t="s">
        <v>480</v>
      </c>
      <c r="AP57" s="1" t="s">
        <v>480</v>
      </c>
      <c r="AQ57" s="1" t="s">
        <v>480</v>
      </c>
      <c r="AR57" s="1" t="s">
        <v>480</v>
      </c>
      <c r="AS57" s="1" t="s">
        <v>480</v>
      </c>
      <c r="AT57" s="1">
        <f t="shared" si="7"/>
        <v>3</v>
      </c>
    </row>
    <row r="58" spans="1:46" x14ac:dyDescent="0.25">
      <c r="A58" s="1">
        <f>COUNTIF('Value Matchup'!$D$356:$D$423,'Team History'!B58)</f>
        <v>1</v>
      </c>
      <c r="B58" t="s">
        <v>95</v>
      </c>
      <c r="C58" s="1">
        <f t="shared" si="0"/>
        <v>2</v>
      </c>
      <c r="D58" s="1">
        <f t="shared" si="1"/>
        <v>0</v>
      </c>
      <c r="E58" s="1">
        <f t="shared" si="2"/>
        <v>0</v>
      </c>
      <c r="F58" s="1">
        <f t="shared" si="3"/>
        <v>0</v>
      </c>
      <c r="G58" s="1">
        <f t="shared" si="4"/>
        <v>0</v>
      </c>
      <c r="H58" s="1">
        <f t="shared" si="5"/>
        <v>0</v>
      </c>
      <c r="I58" s="64">
        <f t="shared" si="6"/>
        <v>9</v>
      </c>
      <c r="K58" s="90" t="s">
        <v>480</v>
      </c>
      <c r="L58" s="1" t="s">
        <v>480</v>
      </c>
      <c r="M58" s="1" t="s">
        <v>480</v>
      </c>
      <c r="N58" s="1">
        <v>0</v>
      </c>
      <c r="O58" s="1" t="s">
        <v>480</v>
      </c>
      <c r="P58" s="1">
        <v>0</v>
      </c>
      <c r="Q58" s="1">
        <v>0</v>
      </c>
      <c r="R58" s="1">
        <v>1</v>
      </c>
      <c r="S58" s="1" t="s">
        <v>480</v>
      </c>
      <c r="T58" s="1" t="s">
        <v>480</v>
      </c>
      <c r="U58" s="1" t="s">
        <v>480</v>
      </c>
      <c r="V58" s="1" t="s">
        <v>480</v>
      </c>
      <c r="W58" s="1" t="s">
        <v>480</v>
      </c>
      <c r="X58" s="1" t="s">
        <v>480</v>
      </c>
      <c r="Y58" s="1" t="s">
        <v>480</v>
      </c>
      <c r="Z58" s="1" t="s">
        <v>480</v>
      </c>
      <c r="AA58" s="1">
        <v>0</v>
      </c>
      <c r="AB58" s="1" t="s">
        <v>480</v>
      </c>
      <c r="AC58" s="1" t="s">
        <v>480</v>
      </c>
      <c r="AD58" s="1" t="s">
        <v>480</v>
      </c>
      <c r="AE58" s="1" t="s">
        <v>480</v>
      </c>
      <c r="AF58" s="1" t="s">
        <v>480</v>
      </c>
      <c r="AG58" s="1">
        <v>1</v>
      </c>
      <c r="AH58" s="1" t="s">
        <v>480</v>
      </c>
      <c r="AI58" s="1" t="s">
        <v>480</v>
      </c>
      <c r="AJ58" s="1" t="s">
        <v>480</v>
      </c>
      <c r="AK58" s="1" t="s">
        <v>480</v>
      </c>
      <c r="AL58" s="1" t="s">
        <v>480</v>
      </c>
      <c r="AM58" s="1" t="s">
        <v>480</v>
      </c>
      <c r="AN58" s="1" t="s">
        <v>480</v>
      </c>
      <c r="AO58" s="1" t="s">
        <v>480</v>
      </c>
      <c r="AP58" s="1" t="s">
        <v>480</v>
      </c>
      <c r="AQ58" s="1" t="s">
        <v>480</v>
      </c>
      <c r="AR58" s="1" t="s">
        <v>480</v>
      </c>
      <c r="AS58" s="1" t="s">
        <v>480</v>
      </c>
      <c r="AT58" s="1">
        <f t="shared" si="7"/>
        <v>6</v>
      </c>
    </row>
    <row r="59" spans="1:46" x14ac:dyDescent="0.25">
      <c r="A59" s="1">
        <f>COUNTIF('Value Matchup'!$D$356:$D$423,'Team History'!B59)</f>
        <v>0</v>
      </c>
      <c r="B59" t="s">
        <v>176</v>
      </c>
      <c r="C59" s="1">
        <f t="shared" si="0"/>
        <v>2</v>
      </c>
      <c r="D59" s="1">
        <f t="shared" si="1"/>
        <v>0</v>
      </c>
      <c r="E59" s="1">
        <f t="shared" si="2"/>
        <v>0</v>
      </c>
      <c r="F59" s="1">
        <f t="shared" si="3"/>
        <v>0</v>
      </c>
      <c r="G59" s="1">
        <f t="shared" si="4"/>
        <v>0</v>
      </c>
      <c r="H59" s="1">
        <f t="shared" si="5"/>
        <v>0</v>
      </c>
      <c r="I59" s="64">
        <f t="shared" si="6"/>
        <v>8</v>
      </c>
      <c r="K59" s="90" t="s">
        <v>480</v>
      </c>
      <c r="L59" s="1" t="s">
        <v>480</v>
      </c>
      <c r="M59" s="1" t="s">
        <v>480</v>
      </c>
      <c r="N59" s="1" t="s">
        <v>480</v>
      </c>
      <c r="O59" s="1" t="s">
        <v>480</v>
      </c>
      <c r="P59" s="1" t="s">
        <v>480</v>
      </c>
      <c r="Q59" s="1">
        <v>1</v>
      </c>
      <c r="R59" s="1">
        <v>0</v>
      </c>
      <c r="S59" s="1" t="s">
        <v>480</v>
      </c>
      <c r="T59" s="1" t="s">
        <v>480</v>
      </c>
      <c r="U59" s="1" t="s">
        <v>480</v>
      </c>
      <c r="V59" s="1" t="s">
        <v>480</v>
      </c>
      <c r="W59" s="1" t="s">
        <v>480</v>
      </c>
      <c r="X59" s="1" t="s">
        <v>480</v>
      </c>
      <c r="Y59" s="1" t="s">
        <v>480</v>
      </c>
      <c r="Z59" s="1" t="s">
        <v>480</v>
      </c>
      <c r="AA59" s="1">
        <v>0</v>
      </c>
      <c r="AB59" s="1" t="s">
        <v>480</v>
      </c>
      <c r="AC59" s="1" t="s">
        <v>480</v>
      </c>
      <c r="AD59" s="1" t="s">
        <v>480</v>
      </c>
      <c r="AE59" s="1" t="s">
        <v>480</v>
      </c>
      <c r="AF59" s="1" t="s">
        <v>480</v>
      </c>
      <c r="AG59" s="1" t="s">
        <v>480</v>
      </c>
      <c r="AH59" s="1" t="s">
        <v>480</v>
      </c>
      <c r="AI59" s="1" t="s">
        <v>480</v>
      </c>
      <c r="AJ59" s="1" t="s">
        <v>480</v>
      </c>
      <c r="AK59" s="1" t="s">
        <v>480</v>
      </c>
      <c r="AL59" s="1" t="s">
        <v>480</v>
      </c>
      <c r="AM59" s="1" t="s">
        <v>480</v>
      </c>
      <c r="AN59" s="1">
        <v>0</v>
      </c>
      <c r="AO59" s="1">
        <v>1</v>
      </c>
      <c r="AP59" s="1" t="s">
        <v>480</v>
      </c>
      <c r="AQ59" s="1" t="s">
        <v>480</v>
      </c>
      <c r="AR59" s="1" t="s">
        <v>480</v>
      </c>
      <c r="AS59" s="1" t="s">
        <v>480</v>
      </c>
      <c r="AT59" s="1">
        <f t="shared" si="7"/>
        <v>5</v>
      </c>
    </row>
    <row r="60" spans="1:46" x14ac:dyDescent="0.25">
      <c r="A60" s="1">
        <f>COUNTIF('Value Matchup'!$D$356:$D$423,'Team History'!B60)</f>
        <v>0</v>
      </c>
      <c r="B60" t="s">
        <v>177</v>
      </c>
      <c r="C60" s="1">
        <f t="shared" si="0"/>
        <v>0</v>
      </c>
      <c r="D60" s="1">
        <f t="shared" si="1"/>
        <v>0</v>
      </c>
      <c r="E60" s="1">
        <f t="shared" si="2"/>
        <v>0</v>
      </c>
      <c r="F60" s="1">
        <f t="shared" si="3"/>
        <v>0</v>
      </c>
      <c r="G60" s="1">
        <f t="shared" si="4"/>
        <v>0</v>
      </c>
      <c r="H60" s="1">
        <f t="shared" si="5"/>
        <v>0</v>
      </c>
      <c r="I60" s="64">
        <f t="shared" si="6"/>
        <v>0</v>
      </c>
      <c r="K60" s="90" t="s">
        <v>480</v>
      </c>
      <c r="L60" s="1" t="s">
        <v>480</v>
      </c>
      <c r="M60" s="1" t="s">
        <v>480</v>
      </c>
      <c r="N60" s="1" t="s">
        <v>480</v>
      </c>
      <c r="O60" s="1" t="s">
        <v>480</v>
      </c>
      <c r="P60" s="1" t="s">
        <v>480</v>
      </c>
      <c r="Q60" s="1" t="s">
        <v>480</v>
      </c>
      <c r="R60" s="1" t="s">
        <v>480</v>
      </c>
      <c r="S60" s="1" t="s">
        <v>480</v>
      </c>
      <c r="T60" s="1" t="s">
        <v>480</v>
      </c>
      <c r="U60" s="1" t="s">
        <v>480</v>
      </c>
      <c r="V60" s="1" t="s">
        <v>480</v>
      </c>
      <c r="W60" s="1" t="s">
        <v>480</v>
      </c>
      <c r="X60" s="1" t="s">
        <v>480</v>
      </c>
      <c r="Y60" s="1" t="s">
        <v>480</v>
      </c>
      <c r="Z60" s="1" t="s">
        <v>480</v>
      </c>
      <c r="AA60" s="1" t="s">
        <v>480</v>
      </c>
      <c r="AB60" s="1" t="s">
        <v>480</v>
      </c>
      <c r="AC60" s="1" t="s">
        <v>480</v>
      </c>
      <c r="AD60" s="1" t="s">
        <v>480</v>
      </c>
      <c r="AE60" s="1" t="s">
        <v>480</v>
      </c>
      <c r="AF60" s="1" t="s">
        <v>480</v>
      </c>
      <c r="AG60" s="1" t="s">
        <v>480</v>
      </c>
      <c r="AH60" s="1" t="s">
        <v>480</v>
      </c>
      <c r="AI60" s="1" t="s">
        <v>480</v>
      </c>
      <c r="AJ60" s="1" t="s">
        <v>480</v>
      </c>
      <c r="AK60" s="1" t="s">
        <v>480</v>
      </c>
      <c r="AL60" s="1" t="s">
        <v>480</v>
      </c>
      <c r="AM60" s="1" t="s">
        <v>480</v>
      </c>
      <c r="AN60" s="1" t="s">
        <v>480</v>
      </c>
      <c r="AO60" s="1" t="s">
        <v>480</v>
      </c>
      <c r="AP60" s="1" t="s">
        <v>480</v>
      </c>
      <c r="AQ60" s="1" t="s">
        <v>480</v>
      </c>
      <c r="AR60" s="1" t="s">
        <v>480</v>
      </c>
      <c r="AS60" s="1" t="s">
        <v>480</v>
      </c>
      <c r="AT60" s="1">
        <f t="shared" si="7"/>
        <v>0</v>
      </c>
    </row>
    <row r="61" spans="1:46" x14ac:dyDescent="0.25">
      <c r="A61" s="1">
        <f>COUNTIF('Value Matchup'!$D$356:$D$423,'Team History'!B61)</f>
        <v>1</v>
      </c>
      <c r="B61" t="s">
        <v>80</v>
      </c>
      <c r="C61" s="1">
        <f t="shared" si="0"/>
        <v>14</v>
      </c>
      <c r="D61" s="1">
        <f t="shared" si="1"/>
        <v>10</v>
      </c>
      <c r="E61" s="1">
        <f t="shared" si="2"/>
        <v>6</v>
      </c>
      <c r="F61" s="1">
        <f t="shared" si="3"/>
        <v>1</v>
      </c>
      <c r="G61" s="1">
        <f t="shared" si="4"/>
        <v>0</v>
      </c>
      <c r="H61" s="1">
        <f t="shared" si="5"/>
        <v>0</v>
      </c>
      <c r="I61" s="64">
        <f t="shared" si="6"/>
        <v>48</v>
      </c>
      <c r="K61" s="90" t="s">
        <v>480</v>
      </c>
      <c r="L61" s="1" t="s">
        <v>480</v>
      </c>
      <c r="M61" s="1" t="s">
        <v>480</v>
      </c>
      <c r="N61" s="1">
        <v>1</v>
      </c>
      <c r="O61" s="1" t="s">
        <v>480</v>
      </c>
      <c r="P61" s="1" t="s">
        <v>480</v>
      </c>
      <c r="Q61" s="1" t="s">
        <v>480</v>
      </c>
      <c r="R61" s="1">
        <v>0</v>
      </c>
      <c r="S61" s="1" t="s">
        <v>480</v>
      </c>
      <c r="T61" s="1" t="s">
        <v>480</v>
      </c>
      <c r="U61" s="1">
        <v>4</v>
      </c>
      <c r="V61" s="1">
        <v>0</v>
      </c>
      <c r="W61" s="1" t="s">
        <v>480</v>
      </c>
      <c r="X61" s="1">
        <v>3</v>
      </c>
      <c r="Y61" s="1">
        <v>1</v>
      </c>
      <c r="Z61" s="1" t="s">
        <v>480</v>
      </c>
      <c r="AA61" s="1">
        <v>2</v>
      </c>
      <c r="AB61" s="1">
        <v>3</v>
      </c>
      <c r="AC61" s="1" t="s">
        <v>480</v>
      </c>
      <c r="AD61" s="1">
        <v>1</v>
      </c>
      <c r="AE61" s="1" t="s">
        <v>480</v>
      </c>
      <c r="AF61" s="1">
        <v>3</v>
      </c>
      <c r="AG61" s="1" t="s">
        <v>480</v>
      </c>
      <c r="AH61" s="1">
        <v>2</v>
      </c>
      <c r="AI61" s="1">
        <v>3</v>
      </c>
      <c r="AJ61" s="1">
        <v>2</v>
      </c>
      <c r="AK61" s="1" t="s">
        <v>480</v>
      </c>
      <c r="AL61" s="1">
        <v>1</v>
      </c>
      <c r="AM61" s="1">
        <v>2</v>
      </c>
      <c r="AN61" s="1">
        <v>3</v>
      </c>
      <c r="AO61" s="1" t="s">
        <v>480</v>
      </c>
      <c r="AP61" s="1" t="s">
        <v>480</v>
      </c>
      <c r="AQ61" s="1" t="s">
        <v>480</v>
      </c>
      <c r="AR61" s="1" t="s">
        <v>480</v>
      </c>
      <c r="AS61" s="1" t="s">
        <v>480</v>
      </c>
      <c r="AT61" s="1">
        <f t="shared" si="7"/>
        <v>16</v>
      </c>
    </row>
    <row r="62" spans="1:46" x14ac:dyDescent="0.25">
      <c r="A62" s="1">
        <f>COUNTIF('Value Matchup'!$D$356:$D$423,'Team History'!B62)</f>
        <v>0</v>
      </c>
      <c r="B62" t="s">
        <v>178</v>
      </c>
      <c r="C62" s="1">
        <f t="shared" si="0"/>
        <v>1</v>
      </c>
      <c r="D62" s="1">
        <f t="shared" si="1"/>
        <v>0</v>
      </c>
      <c r="E62" s="1">
        <f t="shared" si="2"/>
        <v>0</v>
      </c>
      <c r="F62" s="1">
        <f t="shared" si="3"/>
        <v>0</v>
      </c>
      <c r="G62" s="1">
        <f t="shared" si="4"/>
        <v>0</v>
      </c>
      <c r="H62" s="1">
        <f t="shared" si="5"/>
        <v>0</v>
      </c>
      <c r="I62" s="64">
        <f t="shared" si="6"/>
        <v>5</v>
      </c>
      <c r="K62" s="90" t="s">
        <v>480</v>
      </c>
      <c r="L62" s="1" t="s">
        <v>480</v>
      </c>
      <c r="M62" s="1" t="s">
        <v>480</v>
      </c>
      <c r="N62" s="1" t="s">
        <v>480</v>
      </c>
      <c r="O62" s="1" t="s">
        <v>480</v>
      </c>
      <c r="P62" s="1" t="s">
        <v>480</v>
      </c>
      <c r="Q62" s="1" t="s">
        <v>480</v>
      </c>
      <c r="R62" s="1" t="s">
        <v>480</v>
      </c>
      <c r="S62" s="1" t="s">
        <v>480</v>
      </c>
      <c r="T62" s="1" t="s">
        <v>480</v>
      </c>
      <c r="U62" s="1" t="s">
        <v>480</v>
      </c>
      <c r="V62" s="1">
        <v>0</v>
      </c>
      <c r="W62" s="1" t="s">
        <v>480</v>
      </c>
      <c r="X62" s="1" t="s">
        <v>480</v>
      </c>
      <c r="Y62" s="1" t="s">
        <v>480</v>
      </c>
      <c r="Z62" s="1" t="s">
        <v>480</v>
      </c>
      <c r="AA62" s="1" t="s">
        <v>480</v>
      </c>
      <c r="AB62" s="1" t="s">
        <v>480</v>
      </c>
      <c r="AC62" s="1" t="s">
        <v>480</v>
      </c>
      <c r="AD62" s="1" t="s">
        <v>480</v>
      </c>
      <c r="AE62" s="1" t="s">
        <v>480</v>
      </c>
      <c r="AF62" s="1" t="s">
        <v>480</v>
      </c>
      <c r="AG62" s="1">
        <v>1</v>
      </c>
      <c r="AH62" s="1" t="s">
        <v>480</v>
      </c>
      <c r="AI62" s="1" t="s">
        <v>480</v>
      </c>
      <c r="AJ62" s="1" t="s">
        <v>480</v>
      </c>
      <c r="AK62" s="1">
        <v>0</v>
      </c>
      <c r="AL62" s="1" t="s">
        <v>480</v>
      </c>
      <c r="AM62" s="1" t="s">
        <v>480</v>
      </c>
      <c r="AN62" s="1">
        <v>0</v>
      </c>
      <c r="AO62" s="1" t="s">
        <v>480</v>
      </c>
      <c r="AP62" s="1" t="s">
        <v>480</v>
      </c>
      <c r="AQ62" s="1" t="s">
        <v>480</v>
      </c>
      <c r="AR62" s="1" t="s">
        <v>480</v>
      </c>
      <c r="AS62" s="1" t="s">
        <v>480</v>
      </c>
      <c r="AT62" s="1">
        <f t="shared" si="7"/>
        <v>4</v>
      </c>
    </row>
    <row r="63" spans="1:46" x14ac:dyDescent="0.25">
      <c r="A63" s="1">
        <f>COUNTIF('Value Matchup'!$D$356:$D$423,'Team History'!B63)</f>
        <v>0</v>
      </c>
      <c r="B63" t="s">
        <v>179</v>
      </c>
      <c r="C63" s="1">
        <f t="shared" si="0"/>
        <v>1</v>
      </c>
      <c r="D63" s="1">
        <f t="shared" si="1"/>
        <v>1</v>
      </c>
      <c r="E63" s="1">
        <f t="shared" si="2"/>
        <v>0</v>
      </c>
      <c r="F63" s="1">
        <f t="shared" si="3"/>
        <v>0</v>
      </c>
      <c r="G63" s="1">
        <f t="shared" si="4"/>
        <v>0</v>
      </c>
      <c r="H63" s="1">
        <f t="shared" si="5"/>
        <v>0</v>
      </c>
      <c r="I63" s="64">
        <f t="shared" si="6"/>
        <v>8</v>
      </c>
      <c r="K63" s="90" t="s">
        <v>480</v>
      </c>
      <c r="L63" s="1" t="s">
        <v>480</v>
      </c>
      <c r="M63" s="1" t="s">
        <v>480</v>
      </c>
      <c r="N63" s="1" t="s">
        <v>480</v>
      </c>
      <c r="O63" s="1" t="s">
        <v>480</v>
      </c>
      <c r="P63" s="1" t="s">
        <v>480</v>
      </c>
      <c r="Q63" s="1" t="s">
        <v>480</v>
      </c>
      <c r="R63" s="1" t="s">
        <v>480</v>
      </c>
      <c r="S63" s="1" t="s">
        <v>480</v>
      </c>
      <c r="T63" s="1">
        <v>2</v>
      </c>
      <c r="U63" s="1">
        <v>0</v>
      </c>
      <c r="V63" s="1">
        <v>0</v>
      </c>
      <c r="W63" s="1" t="s">
        <v>480</v>
      </c>
      <c r="X63" s="1" t="s">
        <v>480</v>
      </c>
      <c r="Y63" s="1" t="s">
        <v>480</v>
      </c>
      <c r="Z63" s="1" t="s">
        <v>480</v>
      </c>
      <c r="AA63" s="1" t="s">
        <v>480</v>
      </c>
      <c r="AB63" s="1" t="s">
        <v>480</v>
      </c>
      <c r="AC63" s="1" t="s">
        <v>480</v>
      </c>
      <c r="AD63" s="1" t="s">
        <v>480</v>
      </c>
      <c r="AE63" s="1" t="s">
        <v>480</v>
      </c>
      <c r="AF63" s="1" t="s">
        <v>480</v>
      </c>
      <c r="AG63" s="1" t="s">
        <v>480</v>
      </c>
      <c r="AH63" s="1" t="s">
        <v>480</v>
      </c>
      <c r="AI63" s="1" t="s">
        <v>480</v>
      </c>
      <c r="AJ63" s="1" t="s">
        <v>480</v>
      </c>
      <c r="AK63" s="1" t="s">
        <v>480</v>
      </c>
      <c r="AL63" s="1" t="s">
        <v>480</v>
      </c>
      <c r="AM63" s="1" t="s">
        <v>480</v>
      </c>
      <c r="AN63" s="1" t="s">
        <v>480</v>
      </c>
      <c r="AO63" s="1" t="s">
        <v>480</v>
      </c>
      <c r="AP63" s="1">
        <v>0</v>
      </c>
      <c r="AQ63" s="1" t="s">
        <v>480</v>
      </c>
      <c r="AR63" s="1" t="s">
        <v>480</v>
      </c>
      <c r="AS63" s="1" t="s">
        <v>480</v>
      </c>
      <c r="AT63" s="1">
        <f t="shared" si="7"/>
        <v>4</v>
      </c>
    </row>
    <row r="64" spans="1:46" x14ac:dyDescent="0.25">
      <c r="A64" s="1">
        <f>COUNTIF('Value Matchup'!$D$356:$D$423,'Team History'!B64)</f>
        <v>1</v>
      </c>
      <c r="B64" t="s">
        <v>88</v>
      </c>
      <c r="C64" s="1">
        <f t="shared" si="0"/>
        <v>6</v>
      </c>
      <c r="D64" s="1">
        <f t="shared" si="1"/>
        <v>0</v>
      </c>
      <c r="E64" s="1">
        <f t="shared" si="2"/>
        <v>0</v>
      </c>
      <c r="F64" s="1">
        <f t="shared" si="3"/>
        <v>0</v>
      </c>
      <c r="G64" s="1">
        <f t="shared" si="4"/>
        <v>0</v>
      </c>
      <c r="H64" s="1">
        <f t="shared" si="5"/>
        <v>0</v>
      </c>
      <c r="I64" s="64">
        <f t="shared" si="6"/>
        <v>23</v>
      </c>
      <c r="K64" s="90" t="s">
        <v>480</v>
      </c>
      <c r="L64" s="1">
        <v>0</v>
      </c>
      <c r="M64" s="1">
        <v>0</v>
      </c>
      <c r="N64" s="1" t="s">
        <v>480</v>
      </c>
      <c r="O64" s="1" t="s">
        <v>480</v>
      </c>
      <c r="P64" s="1">
        <v>1</v>
      </c>
      <c r="Q64" s="1">
        <v>1</v>
      </c>
      <c r="R64" s="1">
        <v>1</v>
      </c>
      <c r="S64" s="1" t="s">
        <v>480</v>
      </c>
      <c r="T64" s="1" t="s">
        <v>480</v>
      </c>
      <c r="U64" s="1" t="s">
        <v>480</v>
      </c>
      <c r="V64" s="1" t="s">
        <v>480</v>
      </c>
      <c r="W64" s="1">
        <v>0</v>
      </c>
      <c r="X64" s="1" t="s">
        <v>480</v>
      </c>
      <c r="Y64" s="1">
        <v>0</v>
      </c>
      <c r="Z64" s="1" t="s">
        <v>480</v>
      </c>
      <c r="AA64" s="1">
        <v>0</v>
      </c>
      <c r="AB64" s="1">
        <v>1</v>
      </c>
      <c r="AC64" s="1">
        <v>0</v>
      </c>
      <c r="AD64" s="1">
        <v>0</v>
      </c>
      <c r="AE64" s="1">
        <v>1</v>
      </c>
      <c r="AF64" s="1" t="s">
        <v>480</v>
      </c>
      <c r="AG64" s="1" t="s">
        <v>480</v>
      </c>
      <c r="AH64" s="1" t="s">
        <v>480</v>
      </c>
      <c r="AI64" s="1" t="s">
        <v>480</v>
      </c>
      <c r="AJ64" s="1" t="s">
        <v>480</v>
      </c>
      <c r="AK64" s="1" t="s">
        <v>480</v>
      </c>
      <c r="AL64" s="1" t="s">
        <v>480</v>
      </c>
      <c r="AM64" s="1">
        <v>1</v>
      </c>
      <c r="AN64" s="1" t="s">
        <v>480</v>
      </c>
      <c r="AO64" s="1">
        <v>0</v>
      </c>
      <c r="AP64" s="1" t="s">
        <v>480</v>
      </c>
      <c r="AQ64" s="1" t="s">
        <v>480</v>
      </c>
      <c r="AR64" s="1" t="s">
        <v>480</v>
      </c>
      <c r="AS64" s="1" t="s">
        <v>480</v>
      </c>
      <c r="AT64" s="1">
        <f t="shared" si="7"/>
        <v>14</v>
      </c>
    </row>
    <row r="65" spans="1:46" x14ac:dyDescent="0.25">
      <c r="A65" s="1">
        <f>COUNTIF('Value Matchup'!$D$356:$D$423,'Team History'!B65)</f>
        <v>0</v>
      </c>
      <c r="B65" t="s">
        <v>180</v>
      </c>
      <c r="C65" s="1">
        <f t="shared" si="0"/>
        <v>0</v>
      </c>
      <c r="D65" s="1">
        <f t="shared" si="1"/>
        <v>0</v>
      </c>
      <c r="E65" s="1">
        <f t="shared" si="2"/>
        <v>0</v>
      </c>
      <c r="F65" s="1">
        <f t="shared" si="3"/>
        <v>0</v>
      </c>
      <c r="G65" s="1">
        <f t="shared" si="4"/>
        <v>0</v>
      </c>
      <c r="H65" s="1">
        <f t="shared" si="5"/>
        <v>0</v>
      </c>
      <c r="I65" s="64">
        <f t="shared" si="6"/>
        <v>0</v>
      </c>
      <c r="K65" s="90" t="s">
        <v>480</v>
      </c>
      <c r="L65" s="1" t="s">
        <v>480</v>
      </c>
      <c r="M65" s="1" t="s">
        <v>480</v>
      </c>
      <c r="N65" s="1" t="s">
        <v>480</v>
      </c>
      <c r="O65" s="1" t="s">
        <v>480</v>
      </c>
      <c r="P65" s="1" t="s">
        <v>480</v>
      </c>
      <c r="Q65" s="1" t="s">
        <v>480</v>
      </c>
      <c r="R65" s="1" t="s">
        <v>480</v>
      </c>
      <c r="S65" s="1" t="s">
        <v>480</v>
      </c>
      <c r="T65" s="1" t="s">
        <v>480</v>
      </c>
      <c r="U65" s="1" t="s">
        <v>480</v>
      </c>
      <c r="V65" s="1" t="s">
        <v>480</v>
      </c>
      <c r="W65" s="1" t="s">
        <v>480</v>
      </c>
      <c r="X65" s="1" t="s">
        <v>480</v>
      </c>
      <c r="Y65" s="1" t="s">
        <v>480</v>
      </c>
      <c r="Z65" s="1" t="s">
        <v>480</v>
      </c>
      <c r="AA65" s="1" t="s">
        <v>480</v>
      </c>
      <c r="AB65" s="1" t="s">
        <v>480</v>
      </c>
      <c r="AC65" s="1" t="s">
        <v>480</v>
      </c>
      <c r="AD65" s="1" t="s">
        <v>480</v>
      </c>
      <c r="AE65" s="1" t="s">
        <v>480</v>
      </c>
      <c r="AF65" s="1" t="s">
        <v>480</v>
      </c>
      <c r="AG65" s="1" t="s">
        <v>480</v>
      </c>
      <c r="AH65" s="1" t="s">
        <v>480</v>
      </c>
      <c r="AI65" s="1" t="s">
        <v>480</v>
      </c>
      <c r="AJ65" s="1" t="s">
        <v>480</v>
      </c>
      <c r="AK65" s="1" t="s">
        <v>480</v>
      </c>
      <c r="AL65" s="1" t="s">
        <v>480</v>
      </c>
      <c r="AM65" s="1" t="s">
        <v>480</v>
      </c>
      <c r="AN65" s="1" t="s">
        <v>480</v>
      </c>
      <c r="AO65" s="1" t="s">
        <v>480</v>
      </c>
      <c r="AP65" s="1" t="s">
        <v>480</v>
      </c>
      <c r="AQ65" s="1" t="s">
        <v>480</v>
      </c>
      <c r="AR65" s="1" t="s">
        <v>480</v>
      </c>
      <c r="AS65" s="1" t="s">
        <v>480</v>
      </c>
      <c r="AT65" s="1">
        <f t="shared" si="7"/>
        <v>0</v>
      </c>
    </row>
    <row r="66" spans="1:46" x14ac:dyDescent="0.25">
      <c r="A66" s="1">
        <f>COUNTIF('Value Matchup'!$D$356:$D$423,'Team History'!B66)</f>
        <v>0</v>
      </c>
      <c r="B66" t="s">
        <v>70</v>
      </c>
      <c r="C66" s="1">
        <f t="shared" si="0"/>
        <v>1</v>
      </c>
      <c r="D66" s="1">
        <f t="shared" si="1"/>
        <v>1</v>
      </c>
      <c r="E66" s="1">
        <f t="shared" si="2"/>
        <v>1</v>
      </c>
      <c r="F66" s="1">
        <f t="shared" si="3"/>
        <v>0</v>
      </c>
      <c r="G66" s="1">
        <f t="shared" si="4"/>
        <v>0</v>
      </c>
      <c r="H66" s="1">
        <f t="shared" si="5"/>
        <v>0</v>
      </c>
      <c r="I66" s="64">
        <f t="shared" si="6"/>
        <v>13</v>
      </c>
      <c r="K66" s="90" t="s">
        <v>480</v>
      </c>
      <c r="L66" s="1">
        <v>0</v>
      </c>
      <c r="M66" s="1" t="s">
        <v>480</v>
      </c>
      <c r="N66" s="1" t="s">
        <v>480</v>
      </c>
      <c r="O66" s="1">
        <v>0</v>
      </c>
      <c r="P66" s="1" t="s">
        <v>480</v>
      </c>
      <c r="Q66" s="1">
        <v>0</v>
      </c>
      <c r="R66" s="1">
        <v>0</v>
      </c>
      <c r="S66" s="1" t="s">
        <v>480</v>
      </c>
      <c r="T66" s="1" t="s">
        <v>480</v>
      </c>
      <c r="U66" s="1" t="s">
        <v>480</v>
      </c>
      <c r="V66" s="1">
        <v>3</v>
      </c>
      <c r="W66" s="1">
        <v>0</v>
      </c>
      <c r="X66" s="1">
        <v>0</v>
      </c>
      <c r="Y66" s="1" t="s">
        <v>480</v>
      </c>
      <c r="Z66" s="1" t="s">
        <v>480</v>
      </c>
      <c r="AA66" s="1" t="s">
        <v>480</v>
      </c>
      <c r="AB66" s="1">
        <v>0</v>
      </c>
      <c r="AC66" s="1" t="s">
        <v>480</v>
      </c>
      <c r="AD66" s="1" t="s">
        <v>480</v>
      </c>
      <c r="AE66" s="1" t="s">
        <v>480</v>
      </c>
      <c r="AF66" s="1">
        <v>0</v>
      </c>
      <c r="AG66" s="1" t="s">
        <v>480</v>
      </c>
      <c r="AH66" s="1" t="s">
        <v>480</v>
      </c>
      <c r="AI66" s="1" t="s">
        <v>480</v>
      </c>
      <c r="AJ66" s="1" t="s">
        <v>480</v>
      </c>
      <c r="AK66" s="1" t="s">
        <v>480</v>
      </c>
      <c r="AL66" s="1" t="s">
        <v>480</v>
      </c>
      <c r="AM66" s="1" t="s">
        <v>480</v>
      </c>
      <c r="AN66" s="1" t="s">
        <v>480</v>
      </c>
      <c r="AO66" s="1" t="s">
        <v>480</v>
      </c>
      <c r="AP66" s="1" t="s">
        <v>480</v>
      </c>
      <c r="AQ66" s="1" t="s">
        <v>480</v>
      </c>
      <c r="AR66" s="1">
        <v>0</v>
      </c>
      <c r="AS66" s="1" t="s">
        <v>480</v>
      </c>
      <c r="AT66" s="1">
        <f t="shared" si="7"/>
        <v>10</v>
      </c>
    </row>
    <row r="67" spans="1:46" x14ac:dyDescent="0.25">
      <c r="A67" s="1">
        <f>COUNTIF('Value Matchup'!$D$356:$D$423,'Team History'!B67)</f>
        <v>0</v>
      </c>
      <c r="B67" t="s">
        <v>57</v>
      </c>
      <c r="C67" s="1">
        <f t="shared" si="0"/>
        <v>4</v>
      </c>
      <c r="D67" s="1">
        <f t="shared" si="1"/>
        <v>1</v>
      </c>
      <c r="E67" s="1">
        <f t="shared" si="2"/>
        <v>1</v>
      </c>
      <c r="F67" s="1">
        <f t="shared" si="3"/>
        <v>0</v>
      </c>
      <c r="G67" s="1">
        <f t="shared" si="4"/>
        <v>0</v>
      </c>
      <c r="H67" s="1">
        <f t="shared" si="5"/>
        <v>0</v>
      </c>
      <c r="I67" s="64">
        <f t="shared" si="6"/>
        <v>20</v>
      </c>
      <c r="K67" s="90" t="s">
        <v>480</v>
      </c>
      <c r="L67" s="1" t="s">
        <v>480</v>
      </c>
      <c r="M67" s="1">
        <v>0</v>
      </c>
      <c r="N67" s="1">
        <v>0</v>
      </c>
      <c r="O67" s="1">
        <v>1</v>
      </c>
      <c r="P67" s="1">
        <v>3</v>
      </c>
      <c r="Q67" s="1" t="s">
        <v>480</v>
      </c>
      <c r="R67" s="1" t="s">
        <v>480</v>
      </c>
      <c r="S67" s="1" t="s">
        <v>480</v>
      </c>
      <c r="T67" s="1" t="s">
        <v>480</v>
      </c>
      <c r="U67" s="1">
        <v>1</v>
      </c>
      <c r="V67" s="1" t="s">
        <v>480</v>
      </c>
      <c r="W67" s="1" t="s">
        <v>480</v>
      </c>
      <c r="X67" s="1" t="s">
        <v>480</v>
      </c>
      <c r="Y67" s="1" t="s">
        <v>480</v>
      </c>
      <c r="Z67" s="1">
        <v>0</v>
      </c>
      <c r="AA67" s="1">
        <v>0</v>
      </c>
      <c r="AB67" s="1" t="s">
        <v>480</v>
      </c>
      <c r="AC67" s="1" t="s">
        <v>480</v>
      </c>
      <c r="AD67" s="1">
        <v>0</v>
      </c>
      <c r="AE67" s="1" t="s">
        <v>480</v>
      </c>
      <c r="AF67" s="1" t="s">
        <v>480</v>
      </c>
      <c r="AG67" s="1" t="s">
        <v>480</v>
      </c>
      <c r="AH67" s="1" t="s">
        <v>480</v>
      </c>
      <c r="AI67" s="1" t="s">
        <v>480</v>
      </c>
      <c r="AJ67" s="1" t="s">
        <v>480</v>
      </c>
      <c r="AK67" s="1" t="s">
        <v>480</v>
      </c>
      <c r="AL67" s="1" t="s">
        <v>480</v>
      </c>
      <c r="AM67" s="1" t="s">
        <v>480</v>
      </c>
      <c r="AN67" s="1">
        <v>1</v>
      </c>
      <c r="AO67" s="1" t="s">
        <v>480</v>
      </c>
      <c r="AP67" s="1" t="s">
        <v>480</v>
      </c>
      <c r="AQ67" s="1" t="s">
        <v>480</v>
      </c>
      <c r="AR67" s="1" t="s">
        <v>480</v>
      </c>
      <c r="AS67" s="1">
        <v>0</v>
      </c>
      <c r="AT67" s="1">
        <f t="shared" si="7"/>
        <v>10</v>
      </c>
    </row>
    <row r="68" spans="1:46" x14ac:dyDescent="0.25">
      <c r="A68" s="1">
        <f>COUNTIF('Value Matchup'!$D$356:$D$423,'Team History'!B68)</f>
        <v>0</v>
      </c>
      <c r="B68" t="s">
        <v>182</v>
      </c>
      <c r="C68" s="1">
        <f t="shared" ref="C68:C131" si="8">COUNTIF($K68:$AS68,"&gt;0")</f>
        <v>0</v>
      </c>
      <c r="D68" s="1">
        <f t="shared" ref="D68:D131" si="9">COUNTIF($K68:$AS68,"&gt;1")</f>
        <v>0</v>
      </c>
      <c r="E68" s="1">
        <f t="shared" ref="E68:E131" si="10">COUNTIF($K68:$AS68,"&gt;2")</f>
        <v>0</v>
      </c>
      <c r="F68" s="1">
        <f t="shared" ref="F68:F131" si="11">COUNTIF($K68:$AS68,"&gt;3")</f>
        <v>0</v>
      </c>
      <c r="G68" s="1">
        <f t="shared" ref="G68:G131" si="12">COUNTIF($K68:$AS68,"&gt;4")</f>
        <v>0</v>
      </c>
      <c r="H68" s="1">
        <f t="shared" ref="H68:H131" si="13">COUNTIF($K68:$AS68,"&gt;5")</f>
        <v>0</v>
      </c>
      <c r="I68" s="64">
        <f t="shared" ref="I68:I131" si="14">SUM(K68:AT68)+SUM(K68:T68)</f>
        <v>5</v>
      </c>
      <c r="K68" s="90" t="s">
        <v>480</v>
      </c>
      <c r="L68" s="1" t="s">
        <v>480</v>
      </c>
      <c r="M68" s="1" t="s">
        <v>480</v>
      </c>
      <c r="N68" s="1" t="s">
        <v>480</v>
      </c>
      <c r="O68" s="1" t="s">
        <v>480</v>
      </c>
      <c r="P68" s="1">
        <v>0</v>
      </c>
      <c r="Q68" s="1" t="s">
        <v>480</v>
      </c>
      <c r="R68" s="1" t="s">
        <v>480</v>
      </c>
      <c r="S68" s="1" t="s">
        <v>480</v>
      </c>
      <c r="T68" s="1" t="s">
        <v>480</v>
      </c>
      <c r="U68" s="1" t="s">
        <v>480</v>
      </c>
      <c r="V68" s="1" t="s">
        <v>480</v>
      </c>
      <c r="W68" s="1" t="s">
        <v>480</v>
      </c>
      <c r="X68" s="1" t="s">
        <v>480</v>
      </c>
      <c r="Y68" s="1" t="s">
        <v>480</v>
      </c>
      <c r="Z68" s="1" t="s">
        <v>480</v>
      </c>
      <c r="AA68" s="1" t="s">
        <v>480</v>
      </c>
      <c r="AB68" s="1" t="s">
        <v>480</v>
      </c>
      <c r="AC68" s="1" t="s">
        <v>480</v>
      </c>
      <c r="AD68" s="1" t="s">
        <v>480</v>
      </c>
      <c r="AE68" s="1">
        <v>0</v>
      </c>
      <c r="AF68" s="1">
        <v>0</v>
      </c>
      <c r="AG68" s="1" t="s">
        <v>480</v>
      </c>
      <c r="AH68" s="1" t="s">
        <v>480</v>
      </c>
      <c r="AI68" s="1" t="s">
        <v>480</v>
      </c>
      <c r="AJ68" s="1" t="s">
        <v>480</v>
      </c>
      <c r="AK68" s="1">
        <v>0</v>
      </c>
      <c r="AL68" s="1">
        <v>0</v>
      </c>
      <c r="AM68" s="1" t="s">
        <v>480</v>
      </c>
      <c r="AN68" s="1" t="s">
        <v>480</v>
      </c>
      <c r="AO68" s="1" t="s">
        <v>480</v>
      </c>
      <c r="AP68" s="1" t="s">
        <v>480</v>
      </c>
      <c r="AQ68" s="1" t="s">
        <v>480</v>
      </c>
      <c r="AR68" s="1" t="s">
        <v>480</v>
      </c>
      <c r="AS68" s="1" t="s">
        <v>480</v>
      </c>
      <c r="AT68" s="1">
        <f t="shared" ref="AT68:AT131" si="15">COUNT(K68:AS68)</f>
        <v>5</v>
      </c>
    </row>
    <row r="69" spans="1:46" x14ac:dyDescent="0.25">
      <c r="A69" s="1">
        <f>COUNTIF('Value Matchup'!$D$356:$D$423,'Team History'!B69)</f>
        <v>0</v>
      </c>
      <c r="B69" t="s">
        <v>183</v>
      </c>
      <c r="C69" s="1">
        <f t="shared" si="8"/>
        <v>0</v>
      </c>
      <c r="D69" s="1">
        <f t="shared" si="9"/>
        <v>0</v>
      </c>
      <c r="E69" s="1">
        <f t="shared" si="10"/>
        <v>0</v>
      </c>
      <c r="F69" s="1">
        <f t="shared" si="11"/>
        <v>0</v>
      </c>
      <c r="G69" s="1">
        <f t="shared" si="12"/>
        <v>0</v>
      </c>
      <c r="H69" s="1">
        <f t="shared" si="13"/>
        <v>0</v>
      </c>
      <c r="I69" s="64">
        <f t="shared" si="14"/>
        <v>1</v>
      </c>
      <c r="K69" s="90" t="s">
        <v>480</v>
      </c>
      <c r="L69" s="1" t="s">
        <v>480</v>
      </c>
      <c r="M69" s="1" t="s">
        <v>480</v>
      </c>
      <c r="N69" s="1" t="s">
        <v>480</v>
      </c>
      <c r="O69" s="1" t="s">
        <v>480</v>
      </c>
      <c r="P69" s="1" t="s">
        <v>480</v>
      </c>
      <c r="Q69" s="1" t="s">
        <v>480</v>
      </c>
      <c r="R69" s="1" t="s">
        <v>480</v>
      </c>
      <c r="S69" s="1" t="s">
        <v>480</v>
      </c>
      <c r="T69" s="1" t="s">
        <v>480</v>
      </c>
      <c r="U69" s="1" t="s">
        <v>480</v>
      </c>
      <c r="V69" s="1" t="s">
        <v>480</v>
      </c>
      <c r="W69" s="1" t="s">
        <v>480</v>
      </c>
      <c r="X69" s="1" t="s">
        <v>480</v>
      </c>
      <c r="Y69" s="1">
        <v>0</v>
      </c>
      <c r="Z69" s="1" t="s">
        <v>480</v>
      </c>
      <c r="AA69" s="1" t="s">
        <v>480</v>
      </c>
      <c r="AB69" s="1" t="s">
        <v>480</v>
      </c>
      <c r="AC69" s="1" t="s">
        <v>480</v>
      </c>
      <c r="AD69" s="1" t="s">
        <v>480</v>
      </c>
      <c r="AE69" s="1" t="s">
        <v>480</v>
      </c>
      <c r="AF69" s="1" t="s">
        <v>480</v>
      </c>
      <c r="AG69" s="1" t="s">
        <v>480</v>
      </c>
      <c r="AH69" s="1" t="s">
        <v>480</v>
      </c>
      <c r="AI69" s="1" t="s">
        <v>480</v>
      </c>
      <c r="AJ69" s="1" t="s">
        <v>480</v>
      </c>
      <c r="AK69" s="1" t="s">
        <v>480</v>
      </c>
      <c r="AL69" s="1" t="s">
        <v>480</v>
      </c>
      <c r="AM69" s="1" t="s">
        <v>480</v>
      </c>
      <c r="AN69" s="1" t="s">
        <v>480</v>
      </c>
      <c r="AO69" s="1" t="s">
        <v>480</v>
      </c>
      <c r="AP69" s="1" t="s">
        <v>480</v>
      </c>
      <c r="AQ69" s="1" t="s">
        <v>480</v>
      </c>
      <c r="AR69" s="1" t="s">
        <v>480</v>
      </c>
      <c r="AS69" s="1" t="s">
        <v>480</v>
      </c>
      <c r="AT69" s="1">
        <f t="shared" si="15"/>
        <v>1</v>
      </c>
    </row>
    <row r="70" spans="1:46" x14ac:dyDescent="0.25">
      <c r="A70" s="1">
        <f>COUNTIF('Value Matchup'!$D$356:$D$423,'Team History'!B70)</f>
        <v>0</v>
      </c>
      <c r="B70" t="s">
        <v>184</v>
      </c>
      <c r="C70" s="1">
        <f t="shared" si="8"/>
        <v>0</v>
      </c>
      <c r="D70" s="1">
        <f t="shared" si="9"/>
        <v>0</v>
      </c>
      <c r="E70" s="1">
        <f t="shared" si="10"/>
        <v>0</v>
      </c>
      <c r="F70" s="1">
        <f t="shared" si="11"/>
        <v>0</v>
      </c>
      <c r="G70" s="1">
        <f t="shared" si="12"/>
        <v>0</v>
      </c>
      <c r="H70" s="1">
        <f t="shared" si="13"/>
        <v>0</v>
      </c>
      <c r="I70" s="64">
        <f t="shared" si="14"/>
        <v>0</v>
      </c>
      <c r="K70" s="90" t="s">
        <v>480</v>
      </c>
      <c r="L70" s="1" t="s">
        <v>480</v>
      </c>
      <c r="M70" s="1" t="s">
        <v>480</v>
      </c>
      <c r="N70" s="1" t="s">
        <v>480</v>
      </c>
      <c r="O70" s="1" t="s">
        <v>480</v>
      </c>
      <c r="P70" s="1" t="s">
        <v>480</v>
      </c>
      <c r="Q70" s="1" t="s">
        <v>480</v>
      </c>
      <c r="R70" s="1" t="s">
        <v>480</v>
      </c>
      <c r="S70" s="1" t="s">
        <v>480</v>
      </c>
      <c r="T70" s="1" t="s">
        <v>480</v>
      </c>
      <c r="U70" s="1" t="s">
        <v>480</v>
      </c>
      <c r="V70" s="1" t="s">
        <v>480</v>
      </c>
      <c r="W70" s="1" t="s">
        <v>480</v>
      </c>
      <c r="X70" s="1" t="s">
        <v>480</v>
      </c>
      <c r="Y70" s="1" t="s">
        <v>480</v>
      </c>
      <c r="Z70" s="1" t="s">
        <v>480</v>
      </c>
      <c r="AA70" s="1" t="s">
        <v>480</v>
      </c>
      <c r="AB70" s="1" t="s">
        <v>480</v>
      </c>
      <c r="AC70" s="1" t="s">
        <v>480</v>
      </c>
      <c r="AD70" s="1" t="s">
        <v>480</v>
      </c>
      <c r="AE70" s="1" t="s">
        <v>480</v>
      </c>
      <c r="AF70" s="1" t="s">
        <v>480</v>
      </c>
      <c r="AG70" s="1" t="s">
        <v>480</v>
      </c>
      <c r="AH70" s="1" t="s">
        <v>480</v>
      </c>
      <c r="AI70" s="1" t="s">
        <v>480</v>
      </c>
      <c r="AJ70" s="1" t="s">
        <v>480</v>
      </c>
      <c r="AK70" s="1" t="s">
        <v>480</v>
      </c>
      <c r="AL70" s="1" t="s">
        <v>480</v>
      </c>
      <c r="AM70" s="1" t="s">
        <v>480</v>
      </c>
      <c r="AN70" s="1" t="s">
        <v>480</v>
      </c>
      <c r="AO70" s="1" t="s">
        <v>480</v>
      </c>
      <c r="AP70" s="1" t="s">
        <v>480</v>
      </c>
      <c r="AQ70" s="1" t="s">
        <v>480</v>
      </c>
      <c r="AR70" s="1" t="s">
        <v>480</v>
      </c>
      <c r="AS70" s="1" t="s">
        <v>480</v>
      </c>
      <c r="AT70" s="1">
        <f t="shared" si="15"/>
        <v>0</v>
      </c>
    </row>
    <row r="71" spans="1:46" x14ac:dyDescent="0.25">
      <c r="A71" s="1">
        <f>COUNTIF('Value Matchup'!$D$356:$D$423,'Team History'!B71)</f>
        <v>0</v>
      </c>
      <c r="B71" t="s">
        <v>186</v>
      </c>
      <c r="C71" s="1">
        <f t="shared" si="8"/>
        <v>5</v>
      </c>
      <c r="D71" s="1">
        <f t="shared" si="9"/>
        <v>2</v>
      </c>
      <c r="E71" s="1">
        <f t="shared" si="10"/>
        <v>0</v>
      </c>
      <c r="F71" s="1">
        <f t="shared" si="11"/>
        <v>0</v>
      </c>
      <c r="G71" s="1">
        <f t="shared" si="12"/>
        <v>0</v>
      </c>
      <c r="H71" s="1">
        <f t="shared" si="13"/>
        <v>0</v>
      </c>
      <c r="I71" s="64">
        <f t="shared" si="14"/>
        <v>16</v>
      </c>
      <c r="K71" s="90" t="s">
        <v>480</v>
      </c>
      <c r="L71" s="1" t="s">
        <v>480</v>
      </c>
      <c r="M71" s="1" t="s">
        <v>480</v>
      </c>
      <c r="N71" s="1" t="s">
        <v>480</v>
      </c>
      <c r="O71" s="1" t="s">
        <v>480</v>
      </c>
      <c r="P71" s="1" t="s">
        <v>480</v>
      </c>
      <c r="Q71" s="1" t="s">
        <v>480</v>
      </c>
      <c r="R71" s="1" t="s">
        <v>480</v>
      </c>
      <c r="S71" s="1" t="s">
        <v>480</v>
      </c>
      <c r="T71" s="1" t="s">
        <v>480</v>
      </c>
      <c r="U71" s="1" t="s">
        <v>480</v>
      </c>
      <c r="V71" s="1" t="s">
        <v>480</v>
      </c>
      <c r="W71" s="1" t="s">
        <v>480</v>
      </c>
      <c r="X71" s="1" t="s">
        <v>480</v>
      </c>
      <c r="Y71" s="1" t="s">
        <v>480</v>
      </c>
      <c r="Z71" s="1">
        <v>1</v>
      </c>
      <c r="AA71" s="1" t="s">
        <v>480</v>
      </c>
      <c r="AB71" s="1" t="s">
        <v>480</v>
      </c>
      <c r="AC71" s="1" t="s">
        <v>480</v>
      </c>
      <c r="AD71" s="1">
        <v>0</v>
      </c>
      <c r="AE71" s="1" t="s">
        <v>480</v>
      </c>
      <c r="AF71" s="1" t="s">
        <v>480</v>
      </c>
      <c r="AG71" s="1" t="s">
        <v>480</v>
      </c>
      <c r="AH71" s="1" t="s">
        <v>480</v>
      </c>
      <c r="AI71" s="1" t="s">
        <v>480</v>
      </c>
      <c r="AJ71" s="1" t="s">
        <v>480</v>
      </c>
      <c r="AK71" s="1" t="s">
        <v>480</v>
      </c>
      <c r="AL71" s="1">
        <v>0</v>
      </c>
      <c r="AM71" s="1">
        <v>0</v>
      </c>
      <c r="AN71" s="1" t="s">
        <v>480</v>
      </c>
      <c r="AO71" s="1">
        <v>1</v>
      </c>
      <c r="AP71" s="1">
        <v>1</v>
      </c>
      <c r="AQ71" s="1">
        <v>2</v>
      </c>
      <c r="AR71" s="1">
        <v>2</v>
      </c>
      <c r="AS71" s="1">
        <v>0</v>
      </c>
      <c r="AT71" s="1">
        <f t="shared" si="15"/>
        <v>9</v>
      </c>
    </row>
    <row r="72" spans="1:46" x14ac:dyDescent="0.25">
      <c r="A72" s="1">
        <f>COUNTIF('Value Matchup'!$D$356:$D$423,'Team History'!B72)</f>
        <v>0</v>
      </c>
      <c r="B72" t="s">
        <v>187</v>
      </c>
      <c r="C72" s="1">
        <f t="shared" si="8"/>
        <v>2</v>
      </c>
      <c r="D72" s="1">
        <f t="shared" si="9"/>
        <v>0</v>
      </c>
      <c r="E72" s="1">
        <f t="shared" si="10"/>
        <v>0</v>
      </c>
      <c r="F72" s="1">
        <f t="shared" si="11"/>
        <v>0</v>
      </c>
      <c r="G72" s="1">
        <f t="shared" si="12"/>
        <v>0</v>
      </c>
      <c r="H72" s="1">
        <f t="shared" si="13"/>
        <v>0</v>
      </c>
      <c r="I72" s="64">
        <f t="shared" si="14"/>
        <v>5</v>
      </c>
      <c r="K72" s="90" t="s">
        <v>480</v>
      </c>
      <c r="L72" s="1" t="s">
        <v>480</v>
      </c>
      <c r="M72" s="1" t="s">
        <v>480</v>
      </c>
      <c r="N72" s="1" t="s">
        <v>480</v>
      </c>
      <c r="O72" s="1" t="s">
        <v>480</v>
      </c>
      <c r="P72" s="1" t="s">
        <v>480</v>
      </c>
      <c r="Q72" s="1" t="s">
        <v>480</v>
      </c>
      <c r="R72" s="1">
        <v>0</v>
      </c>
      <c r="S72" s="1" t="s">
        <v>480</v>
      </c>
      <c r="T72" s="1" t="s">
        <v>480</v>
      </c>
      <c r="U72" s="1" t="s">
        <v>480</v>
      </c>
      <c r="V72" s="1" t="s">
        <v>480</v>
      </c>
      <c r="W72" s="1" t="s">
        <v>480</v>
      </c>
      <c r="X72" s="1" t="s">
        <v>480</v>
      </c>
      <c r="Y72" s="1" t="s">
        <v>480</v>
      </c>
      <c r="Z72" s="1" t="s">
        <v>480</v>
      </c>
      <c r="AA72" s="1" t="s">
        <v>480</v>
      </c>
      <c r="AB72" s="1" t="s">
        <v>480</v>
      </c>
      <c r="AC72" s="1" t="s">
        <v>480</v>
      </c>
      <c r="AD72" s="1" t="s">
        <v>480</v>
      </c>
      <c r="AE72" s="1">
        <v>1</v>
      </c>
      <c r="AF72" s="1">
        <v>1</v>
      </c>
      <c r="AG72" s="1" t="s">
        <v>480</v>
      </c>
      <c r="AH72" s="1" t="s">
        <v>480</v>
      </c>
      <c r="AI72" s="1" t="s">
        <v>480</v>
      </c>
      <c r="AJ72" s="1" t="s">
        <v>480</v>
      </c>
      <c r="AK72" s="1" t="s">
        <v>480</v>
      </c>
      <c r="AL72" s="1" t="s">
        <v>480</v>
      </c>
      <c r="AM72" s="1" t="s">
        <v>480</v>
      </c>
      <c r="AN72" s="1" t="s">
        <v>480</v>
      </c>
      <c r="AO72" s="1" t="s">
        <v>480</v>
      </c>
      <c r="AP72" s="1" t="s">
        <v>480</v>
      </c>
      <c r="AQ72" s="1" t="s">
        <v>480</v>
      </c>
      <c r="AR72" s="1" t="s">
        <v>480</v>
      </c>
      <c r="AS72" s="1" t="s">
        <v>480</v>
      </c>
      <c r="AT72" s="1">
        <f t="shared" si="15"/>
        <v>3</v>
      </c>
    </row>
    <row r="73" spans="1:46" x14ac:dyDescent="0.25">
      <c r="A73" s="1">
        <f>COUNTIF('Value Matchup'!$D$356:$D$423,'Team History'!B73)</f>
        <v>1</v>
      </c>
      <c r="B73" t="s">
        <v>188</v>
      </c>
      <c r="C73" s="1">
        <f t="shared" si="8"/>
        <v>0</v>
      </c>
      <c r="D73" s="1">
        <f t="shared" si="9"/>
        <v>0</v>
      </c>
      <c r="E73" s="1">
        <f t="shared" si="10"/>
        <v>0</v>
      </c>
      <c r="F73" s="1">
        <f t="shared" si="11"/>
        <v>0</v>
      </c>
      <c r="G73" s="1">
        <f t="shared" si="12"/>
        <v>0</v>
      </c>
      <c r="H73" s="1">
        <f t="shared" si="13"/>
        <v>0</v>
      </c>
      <c r="I73" s="64">
        <f t="shared" si="14"/>
        <v>1</v>
      </c>
      <c r="K73" s="90" t="s">
        <v>480</v>
      </c>
      <c r="L73" s="1" t="s">
        <v>480</v>
      </c>
      <c r="M73" s="1" t="s">
        <v>480</v>
      </c>
      <c r="N73" s="1" t="s">
        <v>480</v>
      </c>
      <c r="O73" s="1" t="s">
        <v>480</v>
      </c>
      <c r="P73" s="1" t="s">
        <v>480</v>
      </c>
      <c r="Q73" s="1" t="s">
        <v>480</v>
      </c>
      <c r="R73" s="1" t="s">
        <v>480</v>
      </c>
      <c r="S73" s="1" t="s">
        <v>480</v>
      </c>
      <c r="T73" s="1" t="s">
        <v>480</v>
      </c>
      <c r="U73" s="1" t="s">
        <v>480</v>
      </c>
      <c r="V73" s="1">
        <v>0</v>
      </c>
      <c r="W73" s="1" t="s">
        <v>480</v>
      </c>
      <c r="X73" s="1" t="s">
        <v>480</v>
      </c>
      <c r="Y73" s="1" t="s">
        <v>480</v>
      </c>
      <c r="Z73" s="1" t="s">
        <v>480</v>
      </c>
      <c r="AA73" s="1" t="s">
        <v>480</v>
      </c>
      <c r="AB73" s="1" t="s">
        <v>480</v>
      </c>
      <c r="AC73" s="1" t="s">
        <v>480</v>
      </c>
      <c r="AD73" s="1" t="s">
        <v>480</v>
      </c>
      <c r="AE73" s="1" t="s">
        <v>480</v>
      </c>
      <c r="AF73" s="1" t="s">
        <v>480</v>
      </c>
      <c r="AG73" s="1" t="s">
        <v>480</v>
      </c>
      <c r="AH73" s="1" t="s">
        <v>480</v>
      </c>
      <c r="AI73" s="1" t="s">
        <v>480</v>
      </c>
      <c r="AJ73" s="1" t="s">
        <v>480</v>
      </c>
      <c r="AK73" s="1" t="s">
        <v>480</v>
      </c>
      <c r="AL73" s="1" t="s">
        <v>480</v>
      </c>
      <c r="AM73" s="1" t="s">
        <v>480</v>
      </c>
      <c r="AN73" s="1" t="s">
        <v>480</v>
      </c>
      <c r="AO73" s="1" t="s">
        <v>480</v>
      </c>
      <c r="AP73" s="1" t="s">
        <v>480</v>
      </c>
      <c r="AQ73" s="1" t="s">
        <v>480</v>
      </c>
      <c r="AR73" s="1" t="s">
        <v>480</v>
      </c>
      <c r="AS73" s="1" t="s">
        <v>480</v>
      </c>
      <c r="AT73" s="1">
        <f t="shared" si="15"/>
        <v>1</v>
      </c>
    </row>
    <row r="74" spans="1:46" x14ac:dyDescent="0.25">
      <c r="A74" s="1">
        <f>COUNTIF('Value Matchup'!$D$356:$D$423,'Team History'!B74)</f>
        <v>1</v>
      </c>
      <c r="B74" t="s">
        <v>189</v>
      </c>
      <c r="C74" s="1">
        <f t="shared" si="8"/>
        <v>1</v>
      </c>
      <c r="D74" s="1">
        <f t="shared" si="9"/>
        <v>0</v>
      </c>
      <c r="E74" s="1">
        <f t="shared" si="10"/>
        <v>0</v>
      </c>
      <c r="F74" s="1">
        <f t="shared" si="11"/>
        <v>0</v>
      </c>
      <c r="G74" s="1">
        <f t="shared" si="12"/>
        <v>0</v>
      </c>
      <c r="H74" s="1">
        <f t="shared" si="13"/>
        <v>0</v>
      </c>
      <c r="I74" s="64">
        <f t="shared" si="14"/>
        <v>5</v>
      </c>
      <c r="K74" s="90" t="s">
        <v>480</v>
      </c>
      <c r="L74" s="1" t="s">
        <v>480</v>
      </c>
      <c r="M74" s="1" t="s">
        <v>480</v>
      </c>
      <c r="N74" s="1" t="s">
        <v>480</v>
      </c>
      <c r="O74" s="1" t="s">
        <v>480</v>
      </c>
      <c r="P74" s="1" t="s">
        <v>480</v>
      </c>
      <c r="Q74" s="1" t="s">
        <v>480</v>
      </c>
      <c r="R74" s="1" t="s">
        <v>480</v>
      </c>
      <c r="S74" s="1" t="s">
        <v>480</v>
      </c>
      <c r="T74" s="1" t="s">
        <v>480</v>
      </c>
      <c r="U74" s="1" t="s">
        <v>480</v>
      </c>
      <c r="V74" s="1" t="s">
        <v>480</v>
      </c>
      <c r="W74" s="1" t="s">
        <v>480</v>
      </c>
      <c r="X74" s="1" t="s">
        <v>480</v>
      </c>
      <c r="Y74" s="1" t="s">
        <v>480</v>
      </c>
      <c r="Z74" s="1" t="s">
        <v>480</v>
      </c>
      <c r="AA74" s="1" t="s">
        <v>480</v>
      </c>
      <c r="AB74" s="1" t="s">
        <v>480</v>
      </c>
      <c r="AC74" s="1" t="s">
        <v>480</v>
      </c>
      <c r="AD74" s="1" t="s">
        <v>480</v>
      </c>
      <c r="AE74" s="1" t="s">
        <v>480</v>
      </c>
      <c r="AF74" s="1" t="s">
        <v>480</v>
      </c>
      <c r="AG74" s="1" t="s">
        <v>480</v>
      </c>
      <c r="AH74" s="1">
        <v>1</v>
      </c>
      <c r="AI74" s="1">
        <v>0</v>
      </c>
      <c r="AJ74" s="1">
        <v>0</v>
      </c>
      <c r="AK74" s="1" t="s">
        <v>480</v>
      </c>
      <c r="AL74" s="1" t="s">
        <v>480</v>
      </c>
      <c r="AM74" s="1" t="s">
        <v>480</v>
      </c>
      <c r="AN74" s="1" t="s">
        <v>480</v>
      </c>
      <c r="AO74" s="1" t="s">
        <v>480</v>
      </c>
      <c r="AP74" s="1" t="s">
        <v>480</v>
      </c>
      <c r="AQ74" s="1" t="s">
        <v>480</v>
      </c>
      <c r="AR74" s="1">
        <v>0</v>
      </c>
      <c r="AS74" s="1" t="s">
        <v>480</v>
      </c>
      <c r="AT74" s="1">
        <f t="shared" si="15"/>
        <v>4</v>
      </c>
    </row>
    <row r="75" spans="1:46" x14ac:dyDescent="0.25">
      <c r="A75" s="1">
        <f>COUNTIF('Value Matchup'!$D$356:$D$423,'Team History'!B75)</f>
        <v>0</v>
      </c>
      <c r="B75" t="s">
        <v>64</v>
      </c>
      <c r="C75" s="1">
        <f t="shared" si="8"/>
        <v>25</v>
      </c>
      <c r="D75" s="1">
        <f t="shared" si="9"/>
        <v>20</v>
      </c>
      <c r="E75" s="1">
        <f t="shared" si="10"/>
        <v>11</v>
      </c>
      <c r="F75" s="1">
        <f t="shared" si="11"/>
        <v>7</v>
      </c>
      <c r="G75" s="1">
        <f t="shared" si="12"/>
        <v>4</v>
      </c>
      <c r="H75" s="1">
        <f t="shared" si="13"/>
        <v>0</v>
      </c>
      <c r="I75" s="64">
        <f t="shared" si="14"/>
        <v>110</v>
      </c>
      <c r="K75" s="90">
        <v>3</v>
      </c>
      <c r="L75" s="1">
        <v>3</v>
      </c>
      <c r="M75" s="1">
        <v>1</v>
      </c>
      <c r="N75" s="1">
        <v>2</v>
      </c>
      <c r="O75" s="1" t="s">
        <v>480</v>
      </c>
      <c r="P75" s="1">
        <v>0</v>
      </c>
      <c r="Q75" s="1">
        <v>3</v>
      </c>
      <c r="R75" s="1">
        <v>0</v>
      </c>
      <c r="S75" s="1">
        <v>2</v>
      </c>
      <c r="T75" s="1" t="s">
        <v>480</v>
      </c>
      <c r="U75" s="1">
        <v>2</v>
      </c>
      <c r="V75" s="1">
        <v>1</v>
      </c>
      <c r="W75" s="1">
        <v>0</v>
      </c>
      <c r="X75" s="1">
        <v>2</v>
      </c>
      <c r="Y75" s="1">
        <v>2</v>
      </c>
      <c r="Z75" s="1">
        <v>4</v>
      </c>
      <c r="AA75" s="1">
        <v>2</v>
      </c>
      <c r="AB75" s="1">
        <v>2</v>
      </c>
      <c r="AC75" s="1" t="s">
        <v>480</v>
      </c>
      <c r="AD75" s="1">
        <v>2</v>
      </c>
      <c r="AE75" s="1">
        <v>5</v>
      </c>
      <c r="AF75" s="1">
        <v>3</v>
      </c>
      <c r="AG75" s="1">
        <v>1</v>
      </c>
      <c r="AH75" s="1">
        <v>0</v>
      </c>
      <c r="AI75" s="1" t="s">
        <v>480</v>
      </c>
      <c r="AJ75" s="1">
        <v>5</v>
      </c>
      <c r="AK75" s="1">
        <v>1</v>
      </c>
      <c r="AL75" s="1" t="s">
        <v>480</v>
      </c>
      <c r="AM75" s="1" t="s">
        <v>480</v>
      </c>
      <c r="AN75" s="1">
        <v>5</v>
      </c>
      <c r="AO75" s="1">
        <v>4</v>
      </c>
      <c r="AP75" s="1">
        <v>4</v>
      </c>
      <c r="AQ75" s="1">
        <v>2</v>
      </c>
      <c r="AR75" s="1">
        <v>5</v>
      </c>
      <c r="AS75" s="1">
        <v>1</v>
      </c>
      <c r="AT75" s="1">
        <f t="shared" si="15"/>
        <v>29</v>
      </c>
    </row>
    <row r="76" spans="1:46" x14ac:dyDescent="0.25">
      <c r="A76" s="1">
        <f>COUNTIF('Value Matchup'!$D$356:$D$423,'Team History'!B76)</f>
        <v>0</v>
      </c>
      <c r="B76" t="s">
        <v>190</v>
      </c>
      <c r="C76" s="1">
        <f t="shared" si="8"/>
        <v>0</v>
      </c>
      <c r="D76" s="1">
        <f t="shared" si="9"/>
        <v>0</v>
      </c>
      <c r="E76" s="1">
        <f t="shared" si="10"/>
        <v>0</v>
      </c>
      <c r="F76" s="1">
        <f t="shared" si="11"/>
        <v>0</v>
      </c>
      <c r="G76" s="1">
        <f t="shared" si="12"/>
        <v>0</v>
      </c>
      <c r="H76" s="1">
        <f t="shared" si="13"/>
        <v>0</v>
      </c>
      <c r="I76" s="64">
        <f t="shared" si="14"/>
        <v>0</v>
      </c>
      <c r="K76" s="90" t="s">
        <v>480</v>
      </c>
      <c r="L76" s="1" t="s">
        <v>480</v>
      </c>
      <c r="M76" s="1" t="s">
        <v>480</v>
      </c>
      <c r="N76" s="1" t="s">
        <v>480</v>
      </c>
      <c r="O76" s="1" t="s">
        <v>480</v>
      </c>
      <c r="P76" s="1" t="s">
        <v>480</v>
      </c>
      <c r="Q76" s="1" t="s">
        <v>480</v>
      </c>
      <c r="R76" s="1" t="s">
        <v>480</v>
      </c>
      <c r="S76" s="1" t="s">
        <v>480</v>
      </c>
      <c r="T76" s="1" t="s">
        <v>480</v>
      </c>
      <c r="U76" s="1" t="s">
        <v>480</v>
      </c>
      <c r="V76" s="1" t="s">
        <v>480</v>
      </c>
      <c r="W76" s="1" t="s">
        <v>480</v>
      </c>
      <c r="X76" s="1" t="s">
        <v>480</v>
      </c>
      <c r="Y76" s="1" t="s">
        <v>480</v>
      </c>
      <c r="Z76" s="1" t="s">
        <v>480</v>
      </c>
      <c r="AA76" s="1" t="s">
        <v>480</v>
      </c>
      <c r="AB76" s="1" t="s">
        <v>480</v>
      </c>
      <c r="AC76" s="1" t="s">
        <v>480</v>
      </c>
      <c r="AD76" s="1" t="s">
        <v>480</v>
      </c>
      <c r="AE76" s="1" t="s">
        <v>480</v>
      </c>
      <c r="AF76" s="1" t="s">
        <v>480</v>
      </c>
      <c r="AG76" s="1" t="s">
        <v>480</v>
      </c>
      <c r="AH76" s="1" t="s">
        <v>480</v>
      </c>
      <c r="AI76" s="1" t="s">
        <v>480</v>
      </c>
      <c r="AJ76" s="1" t="s">
        <v>480</v>
      </c>
      <c r="AK76" s="1" t="s">
        <v>480</v>
      </c>
      <c r="AL76" s="1" t="s">
        <v>480</v>
      </c>
      <c r="AM76" s="1" t="s">
        <v>480</v>
      </c>
      <c r="AN76" s="1" t="s">
        <v>480</v>
      </c>
      <c r="AO76" s="1" t="s">
        <v>480</v>
      </c>
      <c r="AP76" s="1" t="s">
        <v>480</v>
      </c>
      <c r="AQ76" s="1" t="s">
        <v>480</v>
      </c>
      <c r="AR76" s="1" t="s">
        <v>480</v>
      </c>
      <c r="AS76" s="1" t="s">
        <v>480</v>
      </c>
      <c r="AT76" s="1">
        <f t="shared" si="15"/>
        <v>0</v>
      </c>
    </row>
    <row r="77" spans="1:46" x14ac:dyDescent="0.25">
      <c r="A77" s="1">
        <f>COUNTIF('Value Matchup'!$D$356:$D$423,'Team History'!B77)</f>
        <v>0</v>
      </c>
      <c r="B77" t="s">
        <v>191</v>
      </c>
      <c r="C77" s="1">
        <f t="shared" si="8"/>
        <v>0</v>
      </c>
      <c r="D77" s="1">
        <f t="shared" si="9"/>
        <v>0</v>
      </c>
      <c r="E77" s="1">
        <f t="shared" si="10"/>
        <v>0</v>
      </c>
      <c r="F77" s="1">
        <f t="shared" si="11"/>
        <v>0</v>
      </c>
      <c r="G77" s="1">
        <f t="shared" si="12"/>
        <v>0</v>
      </c>
      <c r="H77" s="1">
        <f t="shared" si="13"/>
        <v>0</v>
      </c>
      <c r="I77" s="64">
        <f t="shared" si="14"/>
        <v>1</v>
      </c>
      <c r="K77" s="90" t="s">
        <v>480</v>
      </c>
      <c r="L77" s="1" t="s">
        <v>480</v>
      </c>
      <c r="M77" s="1" t="s">
        <v>480</v>
      </c>
      <c r="N77" s="1" t="s">
        <v>480</v>
      </c>
      <c r="O77" s="1" t="s">
        <v>480</v>
      </c>
      <c r="P77" s="1" t="s">
        <v>480</v>
      </c>
      <c r="Q77" s="1" t="s">
        <v>480</v>
      </c>
      <c r="R77" s="1" t="s">
        <v>480</v>
      </c>
      <c r="S77" s="1" t="s">
        <v>480</v>
      </c>
      <c r="T77" s="1" t="s">
        <v>480</v>
      </c>
      <c r="U77" s="1" t="s">
        <v>480</v>
      </c>
      <c r="V77" s="1" t="s">
        <v>480</v>
      </c>
      <c r="W77" s="1" t="s">
        <v>480</v>
      </c>
      <c r="X77" s="1" t="s">
        <v>480</v>
      </c>
      <c r="Y77" s="1" t="s">
        <v>480</v>
      </c>
      <c r="Z77" s="1" t="s">
        <v>480</v>
      </c>
      <c r="AA77" s="1" t="s">
        <v>480</v>
      </c>
      <c r="AB77" s="1" t="s">
        <v>480</v>
      </c>
      <c r="AC77" s="1" t="s">
        <v>480</v>
      </c>
      <c r="AD77" s="1" t="s">
        <v>480</v>
      </c>
      <c r="AE77" s="1" t="s">
        <v>480</v>
      </c>
      <c r="AF77" s="1" t="s">
        <v>480</v>
      </c>
      <c r="AG77" s="1" t="s">
        <v>480</v>
      </c>
      <c r="AH77" s="1" t="s">
        <v>480</v>
      </c>
      <c r="AI77" s="1" t="s">
        <v>480</v>
      </c>
      <c r="AJ77" s="1" t="s">
        <v>480</v>
      </c>
      <c r="AK77" s="1">
        <v>0</v>
      </c>
      <c r="AL77" s="1" t="s">
        <v>480</v>
      </c>
      <c r="AM77" s="1" t="s">
        <v>480</v>
      </c>
      <c r="AN77" s="1" t="s">
        <v>480</v>
      </c>
      <c r="AO77" s="1" t="s">
        <v>480</v>
      </c>
      <c r="AP77" s="1" t="s">
        <v>480</v>
      </c>
      <c r="AQ77" s="1" t="s">
        <v>480</v>
      </c>
      <c r="AR77" s="1" t="s">
        <v>480</v>
      </c>
      <c r="AS77" s="1" t="s">
        <v>480</v>
      </c>
      <c r="AT77" s="1">
        <f t="shared" si="15"/>
        <v>1</v>
      </c>
    </row>
    <row r="78" spans="1:46" x14ac:dyDescent="0.25">
      <c r="A78" s="1">
        <f>COUNTIF('Value Matchup'!$D$356:$D$423,'Team History'!B78)</f>
        <v>0</v>
      </c>
      <c r="B78" t="s">
        <v>192</v>
      </c>
      <c r="C78" s="1">
        <f t="shared" si="8"/>
        <v>1</v>
      </c>
      <c r="D78" s="1">
        <f t="shared" si="9"/>
        <v>0</v>
      </c>
      <c r="E78" s="1">
        <f t="shared" si="10"/>
        <v>0</v>
      </c>
      <c r="F78" s="1">
        <f t="shared" si="11"/>
        <v>0</v>
      </c>
      <c r="G78" s="1">
        <f t="shared" si="12"/>
        <v>0</v>
      </c>
      <c r="H78" s="1">
        <f t="shared" si="13"/>
        <v>0</v>
      </c>
      <c r="I78" s="64">
        <f t="shared" si="14"/>
        <v>10</v>
      </c>
      <c r="K78" s="90" t="s">
        <v>480</v>
      </c>
      <c r="L78" s="1" t="s">
        <v>480</v>
      </c>
      <c r="M78" s="1">
        <v>0</v>
      </c>
      <c r="N78" s="1" t="s">
        <v>480</v>
      </c>
      <c r="O78" s="1" t="s">
        <v>480</v>
      </c>
      <c r="P78" s="1" t="s">
        <v>480</v>
      </c>
      <c r="Q78" s="1" t="s">
        <v>480</v>
      </c>
      <c r="R78" s="1" t="s">
        <v>480</v>
      </c>
      <c r="S78" s="1" t="s">
        <v>480</v>
      </c>
      <c r="T78" s="1">
        <v>0</v>
      </c>
      <c r="U78" s="1">
        <v>0</v>
      </c>
      <c r="V78" s="1" t="s">
        <v>480</v>
      </c>
      <c r="W78" s="1" t="s">
        <v>480</v>
      </c>
      <c r="X78" s="1" t="s">
        <v>480</v>
      </c>
      <c r="Y78" s="1" t="s">
        <v>480</v>
      </c>
      <c r="Z78" s="1">
        <v>0</v>
      </c>
      <c r="AA78" s="1">
        <v>0</v>
      </c>
      <c r="AB78" s="1" t="s">
        <v>480</v>
      </c>
      <c r="AC78" s="1" t="s">
        <v>480</v>
      </c>
      <c r="AD78" s="1" t="s">
        <v>480</v>
      </c>
      <c r="AE78" s="1" t="s">
        <v>480</v>
      </c>
      <c r="AF78" s="1" t="s">
        <v>480</v>
      </c>
      <c r="AG78" s="1" t="s">
        <v>480</v>
      </c>
      <c r="AH78" s="1" t="s">
        <v>480</v>
      </c>
      <c r="AI78" s="1" t="s">
        <v>480</v>
      </c>
      <c r="AJ78" s="1" t="s">
        <v>480</v>
      </c>
      <c r="AK78" s="1" t="s">
        <v>480</v>
      </c>
      <c r="AL78" s="1">
        <v>1</v>
      </c>
      <c r="AM78" s="1">
        <v>0</v>
      </c>
      <c r="AN78" s="1">
        <v>0</v>
      </c>
      <c r="AO78" s="1">
        <v>0</v>
      </c>
      <c r="AP78" s="1" t="s">
        <v>480</v>
      </c>
      <c r="AQ78" s="1" t="s">
        <v>480</v>
      </c>
      <c r="AR78" s="1" t="s">
        <v>480</v>
      </c>
      <c r="AS78" s="1" t="s">
        <v>480</v>
      </c>
      <c r="AT78" s="1">
        <f t="shared" si="15"/>
        <v>9</v>
      </c>
    </row>
    <row r="79" spans="1:46" x14ac:dyDescent="0.25">
      <c r="A79" s="1">
        <f>COUNTIF('Value Matchup'!$D$356:$D$423,'Team History'!B79)</f>
        <v>0</v>
      </c>
      <c r="B79" t="s">
        <v>193</v>
      </c>
      <c r="C79" s="1">
        <f t="shared" si="8"/>
        <v>0</v>
      </c>
      <c r="D79" s="1">
        <f t="shared" si="9"/>
        <v>0</v>
      </c>
      <c r="E79" s="1">
        <f t="shared" si="10"/>
        <v>0</v>
      </c>
      <c r="F79" s="1">
        <f t="shared" si="11"/>
        <v>0</v>
      </c>
      <c r="G79" s="1">
        <f t="shared" si="12"/>
        <v>0</v>
      </c>
      <c r="H79" s="1">
        <f t="shared" si="13"/>
        <v>0</v>
      </c>
      <c r="I79" s="64">
        <f t="shared" si="14"/>
        <v>2</v>
      </c>
      <c r="K79" s="90" t="s">
        <v>480</v>
      </c>
      <c r="L79" s="1" t="s">
        <v>480</v>
      </c>
      <c r="M79" s="1" t="s">
        <v>480</v>
      </c>
      <c r="N79" s="1" t="s">
        <v>480</v>
      </c>
      <c r="O79" s="1" t="s">
        <v>480</v>
      </c>
      <c r="P79" s="1" t="s">
        <v>480</v>
      </c>
      <c r="Q79" s="1" t="s">
        <v>480</v>
      </c>
      <c r="R79" s="1" t="s">
        <v>480</v>
      </c>
      <c r="S79" s="1" t="s">
        <v>480</v>
      </c>
      <c r="T79" s="1" t="s">
        <v>480</v>
      </c>
      <c r="U79" s="1" t="s">
        <v>480</v>
      </c>
      <c r="V79" s="1" t="s">
        <v>480</v>
      </c>
      <c r="W79" s="1" t="s">
        <v>480</v>
      </c>
      <c r="X79" s="1" t="s">
        <v>480</v>
      </c>
      <c r="Y79" s="1" t="s">
        <v>480</v>
      </c>
      <c r="Z79" s="1" t="s">
        <v>480</v>
      </c>
      <c r="AA79" s="1" t="s">
        <v>480</v>
      </c>
      <c r="AB79" s="1" t="s">
        <v>480</v>
      </c>
      <c r="AC79" s="1">
        <v>0</v>
      </c>
      <c r="AD79" s="1" t="s">
        <v>480</v>
      </c>
      <c r="AE79" s="1" t="s">
        <v>480</v>
      </c>
      <c r="AF79" s="1" t="s">
        <v>480</v>
      </c>
      <c r="AG79" s="1" t="s">
        <v>480</v>
      </c>
      <c r="AH79" s="1" t="s">
        <v>480</v>
      </c>
      <c r="AI79" s="1" t="s">
        <v>480</v>
      </c>
      <c r="AJ79" s="1" t="s">
        <v>480</v>
      </c>
      <c r="AK79" s="1" t="s">
        <v>480</v>
      </c>
      <c r="AL79" s="1">
        <v>0</v>
      </c>
      <c r="AM79" s="1" t="s">
        <v>480</v>
      </c>
      <c r="AN79" s="1" t="s">
        <v>480</v>
      </c>
      <c r="AO79" s="1" t="s">
        <v>480</v>
      </c>
      <c r="AP79" s="1" t="s">
        <v>480</v>
      </c>
      <c r="AQ79" s="1" t="s">
        <v>480</v>
      </c>
      <c r="AR79" s="1" t="s">
        <v>480</v>
      </c>
      <c r="AS79" s="1" t="s">
        <v>480</v>
      </c>
      <c r="AT79" s="1">
        <f t="shared" si="15"/>
        <v>2</v>
      </c>
    </row>
    <row r="80" spans="1:46" x14ac:dyDescent="0.25">
      <c r="A80" s="1">
        <f>COUNTIF('Value Matchup'!$D$356:$D$423,'Team History'!B80)</f>
        <v>0</v>
      </c>
      <c r="B80" t="s">
        <v>194</v>
      </c>
      <c r="C80" s="1">
        <f t="shared" si="8"/>
        <v>0</v>
      </c>
      <c r="D80" s="1">
        <f t="shared" si="9"/>
        <v>0</v>
      </c>
      <c r="E80" s="1">
        <f t="shared" si="10"/>
        <v>0</v>
      </c>
      <c r="F80" s="1">
        <f t="shared" si="11"/>
        <v>0</v>
      </c>
      <c r="G80" s="1">
        <f t="shared" si="12"/>
        <v>0</v>
      </c>
      <c r="H80" s="1">
        <f t="shared" si="13"/>
        <v>0</v>
      </c>
      <c r="I80" s="64">
        <f t="shared" si="14"/>
        <v>3</v>
      </c>
      <c r="K80" s="90" t="s">
        <v>480</v>
      </c>
      <c r="L80" s="1" t="s">
        <v>480</v>
      </c>
      <c r="M80" s="1" t="s">
        <v>480</v>
      </c>
      <c r="N80" s="1" t="s">
        <v>480</v>
      </c>
      <c r="O80" s="1" t="s">
        <v>480</v>
      </c>
      <c r="P80" s="1">
        <v>0</v>
      </c>
      <c r="Q80" s="1" t="s">
        <v>480</v>
      </c>
      <c r="R80" s="1" t="s">
        <v>480</v>
      </c>
      <c r="S80" s="1" t="s">
        <v>480</v>
      </c>
      <c r="T80" s="1" t="s">
        <v>480</v>
      </c>
      <c r="U80" s="1" t="s">
        <v>480</v>
      </c>
      <c r="V80" s="1" t="s">
        <v>480</v>
      </c>
      <c r="W80" s="1">
        <v>0</v>
      </c>
      <c r="X80" s="1" t="s">
        <v>480</v>
      </c>
      <c r="Y80" s="1">
        <v>0</v>
      </c>
      <c r="Z80" s="1" t="s">
        <v>480</v>
      </c>
      <c r="AA80" s="1" t="s">
        <v>480</v>
      </c>
      <c r="AB80" s="1" t="s">
        <v>480</v>
      </c>
      <c r="AC80" s="1" t="s">
        <v>480</v>
      </c>
      <c r="AD80" s="1" t="s">
        <v>480</v>
      </c>
      <c r="AE80" s="1" t="s">
        <v>480</v>
      </c>
      <c r="AF80" s="1" t="s">
        <v>480</v>
      </c>
      <c r="AG80" s="1" t="s">
        <v>480</v>
      </c>
      <c r="AH80" s="1" t="s">
        <v>480</v>
      </c>
      <c r="AI80" s="1" t="s">
        <v>480</v>
      </c>
      <c r="AJ80" s="1" t="s">
        <v>480</v>
      </c>
      <c r="AK80" s="1" t="s">
        <v>480</v>
      </c>
      <c r="AL80" s="1" t="s">
        <v>480</v>
      </c>
      <c r="AM80" s="1" t="s">
        <v>480</v>
      </c>
      <c r="AN80" s="1" t="s">
        <v>480</v>
      </c>
      <c r="AO80" s="1" t="s">
        <v>480</v>
      </c>
      <c r="AP80" s="1" t="s">
        <v>480</v>
      </c>
      <c r="AQ80" s="1" t="s">
        <v>480</v>
      </c>
      <c r="AR80" s="1" t="s">
        <v>480</v>
      </c>
      <c r="AS80" s="1" t="s">
        <v>480</v>
      </c>
      <c r="AT80" s="1">
        <f t="shared" si="15"/>
        <v>3</v>
      </c>
    </row>
    <row r="81" spans="1:46" x14ac:dyDescent="0.25">
      <c r="A81" s="1">
        <f>COUNTIF('Value Matchup'!$D$356:$D$423,'Team History'!B81)</f>
        <v>0</v>
      </c>
      <c r="B81" t="s">
        <v>195</v>
      </c>
      <c r="C81" s="1">
        <f t="shared" si="8"/>
        <v>2</v>
      </c>
      <c r="D81" s="1">
        <f t="shared" si="9"/>
        <v>1</v>
      </c>
      <c r="E81" s="1">
        <f t="shared" si="10"/>
        <v>0</v>
      </c>
      <c r="F81" s="1">
        <f t="shared" si="11"/>
        <v>0</v>
      </c>
      <c r="G81" s="1">
        <f t="shared" si="12"/>
        <v>0</v>
      </c>
      <c r="H81" s="1">
        <f t="shared" si="13"/>
        <v>0</v>
      </c>
      <c r="I81" s="64">
        <f t="shared" si="14"/>
        <v>7</v>
      </c>
      <c r="K81" s="90" t="s">
        <v>480</v>
      </c>
      <c r="L81" s="1" t="s">
        <v>480</v>
      </c>
      <c r="M81" s="1" t="s">
        <v>480</v>
      </c>
      <c r="N81" s="1" t="s">
        <v>480</v>
      </c>
      <c r="O81" s="1" t="s">
        <v>480</v>
      </c>
      <c r="P81" s="1" t="s">
        <v>480</v>
      </c>
      <c r="Q81" s="1" t="s">
        <v>480</v>
      </c>
      <c r="R81" s="1" t="s">
        <v>480</v>
      </c>
      <c r="S81" s="1" t="s">
        <v>480</v>
      </c>
      <c r="T81" s="1" t="s">
        <v>480</v>
      </c>
      <c r="U81" s="1" t="s">
        <v>480</v>
      </c>
      <c r="V81" s="1" t="s">
        <v>480</v>
      </c>
      <c r="W81" s="1" t="s">
        <v>480</v>
      </c>
      <c r="X81" s="1" t="s">
        <v>480</v>
      </c>
      <c r="Y81" s="1" t="s">
        <v>480</v>
      </c>
      <c r="Z81" s="1" t="s">
        <v>480</v>
      </c>
      <c r="AA81" s="1" t="s">
        <v>480</v>
      </c>
      <c r="AB81" s="1" t="s">
        <v>480</v>
      </c>
      <c r="AC81" s="1" t="s">
        <v>480</v>
      </c>
      <c r="AD81" s="1" t="s">
        <v>480</v>
      </c>
      <c r="AE81" s="1" t="s">
        <v>480</v>
      </c>
      <c r="AF81" s="1">
        <v>0</v>
      </c>
      <c r="AG81" s="1" t="s">
        <v>480</v>
      </c>
      <c r="AH81" s="1">
        <v>1</v>
      </c>
      <c r="AI81" s="1" t="s">
        <v>480</v>
      </c>
      <c r="AJ81" s="1" t="s">
        <v>480</v>
      </c>
      <c r="AK81" s="1" t="s">
        <v>480</v>
      </c>
      <c r="AL81" s="1" t="s">
        <v>480</v>
      </c>
      <c r="AM81" s="1">
        <v>2</v>
      </c>
      <c r="AN81" s="1" t="s">
        <v>480</v>
      </c>
      <c r="AO81" s="1" t="s">
        <v>480</v>
      </c>
      <c r="AP81" s="1">
        <v>0</v>
      </c>
      <c r="AQ81" s="1" t="s">
        <v>480</v>
      </c>
      <c r="AR81" s="1" t="s">
        <v>480</v>
      </c>
      <c r="AS81" s="1" t="s">
        <v>480</v>
      </c>
      <c r="AT81" s="1">
        <f t="shared" si="15"/>
        <v>4</v>
      </c>
    </row>
    <row r="82" spans="1:46" x14ac:dyDescent="0.25">
      <c r="A82" s="1">
        <f>COUNTIF('Value Matchup'!$D$356:$D$423,'Team History'!B82)</f>
        <v>1</v>
      </c>
      <c r="B82" t="s">
        <v>196</v>
      </c>
      <c r="C82" s="1">
        <f t="shared" si="8"/>
        <v>0</v>
      </c>
      <c r="D82" s="1">
        <f t="shared" si="9"/>
        <v>0</v>
      </c>
      <c r="E82" s="1">
        <f t="shared" si="10"/>
        <v>0</v>
      </c>
      <c r="F82" s="1">
        <f t="shared" si="11"/>
        <v>0</v>
      </c>
      <c r="G82" s="1">
        <f t="shared" si="12"/>
        <v>0</v>
      </c>
      <c r="H82" s="1">
        <f t="shared" si="13"/>
        <v>0</v>
      </c>
      <c r="I82" s="64">
        <f t="shared" si="14"/>
        <v>2</v>
      </c>
      <c r="K82" s="90" t="s">
        <v>480</v>
      </c>
      <c r="L82" s="1" t="s">
        <v>480</v>
      </c>
      <c r="M82" s="1" t="s">
        <v>480</v>
      </c>
      <c r="N82" s="1" t="s">
        <v>480</v>
      </c>
      <c r="O82" s="1">
        <v>0</v>
      </c>
      <c r="P82" s="1" t="s">
        <v>480</v>
      </c>
      <c r="Q82" s="1" t="s">
        <v>480</v>
      </c>
      <c r="R82" s="1" t="s">
        <v>480</v>
      </c>
      <c r="S82" s="1" t="s">
        <v>480</v>
      </c>
      <c r="T82" s="1" t="s">
        <v>480</v>
      </c>
      <c r="U82" s="1" t="s">
        <v>480</v>
      </c>
      <c r="V82" s="1" t="s">
        <v>480</v>
      </c>
      <c r="W82" s="1" t="s">
        <v>480</v>
      </c>
      <c r="X82" s="1" t="s">
        <v>480</v>
      </c>
      <c r="Y82" s="1" t="s">
        <v>480</v>
      </c>
      <c r="Z82" s="1">
        <v>0</v>
      </c>
      <c r="AA82" s="1" t="s">
        <v>480</v>
      </c>
      <c r="AB82" s="1" t="s">
        <v>480</v>
      </c>
      <c r="AC82" s="1" t="s">
        <v>480</v>
      </c>
      <c r="AD82" s="1" t="s">
        <v>480</v>
      </c>
      <c r="AE82" s="1" t="s">
        <v>480</v>
      </c>
      <c r="AF82" s="1" t="s">
        <v>480</v>
      </c>
      <c r="AG82" s="1" t="s">
        <v>480</v>
      </c>
      <c r="AH82" s="1" t="s">
        <v>480</v>
      </c>
      <c r="AI82" s="1" t="s">
        <v>480</v>
      </c>
      <c r="AJ82" s="1" t="s">
        <v>480</v>
      </c>
      <c r="AK82" s="1" t="s">
        <v>480</v>
      </c>
      <c r="AL82" s="1" t="s">
        <v>480</v>
      </c>
      <c r="AM82" s="1" t="s">
        <v>480</v>
      </c>
      <c r="AN82" s="1" t="s">
        <v>480</v>
      </c>
      <c r="AO82" s="1" t="s">
        <v>480</v>
      </c>
      <c r="AP82" s="1" t="s">
        <v>480</v>
      </c>
      <c r="AQ82" s="1" t="s">
        <v>480</v>
      </c>
      <c r="AR82" s="1" t="s">
        <v>480</v>
      </c>
      <c r="AS82" s="1" t="s">
        <v>480</v>
      </c>
      <c r="AT82" s="1">
        <f t="shared" si="15"/>
        <v>2</v>
      </c>
    </row>
    <row r="83" spans="1:46" x14ac:dyDescent="0.25">
      <c r="A83" s="1">
        <f>COUNTIF('Value Matchup'!$D$356:$D$423,'Team History'!B83)</f>
        <v>0</v>
      </c>
      <c r="B83" t="s">
        <v>198</v>
      </c>
      <c r="C83" s="1">
        <f t="shared" si="8"/>
        <v>0</v>
      </c>
      <c r="D83" s="1">
        <f t="shared" si="9"/>
        <v>0</v>
      </c>
      <c r="E83" s="1">
        <f t="shared" si="10"/>
        <v>0</v>
      </c>
      <c r="F83" s="1">
        <f t="shared" si="11"/>
        <v>0</v>
      </c>
      <c r="G83" s="1">
        <f t="shared" si="12"/>
        <v>0</v>
      </c>
      <c r="H83" s="1">
        <f t="shared" si="13"/>
        <v>0</v>
      </c>
      <c r="I83" s="64">
        <f t="shared" si="14"/>
        <v>0</v>
      </c>
      <c r="K83" s="90" t="s">
        <v>480</v>
      </c>
      <c r="L83" s="1" t="s">
        <v>480</v>
      </c>
      <c r="M83" s="1" t="s">
        <v>480</v>
      </c>
      <c r="N83" s="1" t="s">
        <v>480</v>
      </c>
      <c r="O83" s="1" t="s">
        <v>480</v>
      </c>
      <c r="P83" s="1" t="s">
        <v>480</v>
      </c>
      <c r="Q83" s="1" t="s">
        <v>480</v>
      </c>
      <c r="R83" s="1" t="s">
        <v>480</v>
      </c>
      <c r="S83" s="1" t="s">
        <v>480</v>
      </c>
      <c r="T83" s="1" t="s">
        <v>480</v>
      </c>
      <c r="U83" s="1" t="s">
        <v>480</v>
      </c>
      <c r="V83" s="1" t="s">
        <v>480</v>
      </c>
      <c r="W83" s="1" t="s">
        <v>480</v>
      </c>
      <c r="X83" s="1" t="s">
        <v>480</v>
      </c>
      <c r="Y83" s="1" t="s">
        <v>480</v>
      </c>
      <c r="Z83" s="1" t="s">
        <v>480</v>
      </c>
      <c r="AA83" s="1" t="s">
        <v>480</v>
      </c>
      <c r="AB83" s="1" t="s">
        <v>480</v>
      </c>
      <c r="AC83" s="1" t="s">
        <v>480</v>
      </c>
      <c r="AD83" s="1" t="s">
        <v>480</v>
      </c>
      <c r="AE83" s="1" t="s">
        <v>480</v>
      </c>
      <c r="AF83" s="1" t="s">
        <v>480</v>
      </c>
      <c r="AG83" s="1" t="s">
        <v>480</v>
      </c>
      <c r="AH83" s="1" t="s">
        <v>480</v>
      </c>
      <c r="AI83" s="1" t="s">
        <v>480</v>
      </c>
      <c r="AJ83" s="1" t="s">
        <v>480</v>
      </c>
      <c r="AK83" s="1" t="s">
        <v>480</v>
      </c>
      <c r="AL83" s="1" t="s">
        <v>480</v>
      </c>
      <c r="AM83" s="1" t="s">
        <v>480</v>
      </c>
      <c r="AN83" s="1" t="s">
        <v>480</v>
      </c>
      <c r="AO83" s="1" t="s">
        <v>480</v>
      </c>
      <c r="AP83" s="1" t="s">
        <v>480</v>
      </c>
      <c r="AQ83" s="1" t="s">
        <v>480</v>
      </c>
      <c r="AR83" s="1" t="s">
        <v>480</v>
      </c>
      <c r="AS83" s="1" t="s">
        <v>480</v>
      </c>
      <c r="AT83" s="1">
        <f t="shared" si="15"/>
        <v>0</v>
      </c>
    </row>
    <row r="84" spans="1:46" x14ac:dyDescent="0.25">
      <c r="A84" s="1">
        <f>COUNTIF('Value Matchup'!$D$356:$D$423,'Team History'!B84)</f>
        <v>0</v>
      </c>
      <c r="B84" t="s">
        <v>199</v>
      </c>
      <c r="C84" s="1">
        <f t="shared" si="8"/>
        <v>1</v>
      </c>
      <c r="D84" s="1">
        <f t="shared" si="9"/>
        <v>0</v>
      </c>
      <c r="E84" s="1">
        <f t="shared" si="10"/>
        <v>0</v>
      </c>
      <c r="F84" s="1">
        <f t="shared" si="11"/>
        <v>0</v>
      </c>
      <c r="G84" s="1">
        <f t="shared" si="12"/>
        <v>0</v>
      </c>
      <c r="H84" s="1">
        <f t="shared" si="13"/>
        <v>0</v>
      </c>
      <c r="I84" s="64">
        <f t="shared" si="14"/>
        <v>5</v>
      </c>
      <c r="K84" s="90" t="s">
        <v>480</v>
      </c>
      <c r="L84" s="1" t="s">
        <v>480</v>
      </c>
      <c r="M84" s="1" t="s">
        <v>480</v>
      </c>
      <c r="N84" s="1" t="s">
        <v>480</v>
      </c>
      <c r="O84" s="1" t="s">
        <v>480</v>
      </c>
      <c r="P84" s="1" t="s">
        <v>480</v>
      </c>
      <c r="Q84" s="1" t="s">
        <v>480</v>
      </c>
      <c r="R84" s="1" t="s">
        <v>480</v>
      </c>
      <c r="S84" s="1" t="s">
        <v>480</v>
      </c>
      <c r="T84" s="1" t="s">
        <v>480</v>
      </c>
      <c r="U84" s="1" t="s">
        <v>480</v>
      </c>
      <c r="V84" s="1" t="s">
        <v>480</v>
      </c>
      <c r="W84" s="1" t="s">
        <v>480</v>
      </c>
      <c r="X84" s="1" t="s">
        <v>480</v>
      </c>
      <c r="Y84" s="1" t="s">
        <v>480</v>
      </c>
      <c r="Z84" s="1" t="s">
        <v>480</v>
      </c>
      <c r="AA84" s="1" t="s">
        <v>480</v>
      </c>
      <c r="AB84" s="1" t="s">
        <v>480</v>
      </c>
      <c r="AC84" s="1" t="s">
        <v>480</v>
      </c>
      <c r="AD84" s="1" t="s">
        <v>480</v>
      </c>
      <c r="AE84" s="1">
        <v>0</v>
      </c>
      <c r="AF84" s="1" t="s">
        <v>480</v>
      </c>
      <c r="AG84" s="1" t="s">
        <v>480</v>
      </c>
      <c r="AH84" s="1" t="s">
        <v>480</v>
      </c>
      <c r="AI84" s="1" t="s">
        <v>480</v>
      </c>
      <c r="AJ84" s="1" t="s">
        <v>480</v>
      </c>
      <c r="AK84" s="1">
        <v>0</v>
      </c>
      <c r="AL84" s="1">
        <v>0</v>
      </c>
      <c r="AM84" s="1" t="s">
        <v>480</v>
      </c>
      <c r="AN84" s="1" t="s">
        <v>480</v>
      </c>
      <c r="AO84" s="1">
        <v>1</v>
      </c>
      <c r="AP84" s="1" t="s">
        <v>480</v>
      </c>
      <c r="AQ84" s="1" t="s">
        <v>480</v>
      </c>
      <c r="AR84" s="1" t="s">
        <v>480</v>
      </c>
      <c r="AS84" s="1" t="s">
        <v>480</v>
      </c>
      <c r="AT84" s="1">
        <f t="shared" si="15"/>
        <v>4</v>
      </c>
    </row>
    <row r="85" spans="1:46" x14ac:dyDescent="0.25">
      <c r="A85" s="1">
        <f>COUNTIF('Value Matchup'!$D$356:$D$423,'Team History'!B85)</f>
        <v>0</v>
      </c>
      <c r="B85" t="s">
        <v>200</v>
      </c>
      <c r="C85" s="1">
        <f t="shared" si="8"/>
        <v>0</v>
      </c>
      <c r="D85" s="1">
        <f t="shared" si="9"/>
        <v>0</v>
      </c>
      <c r="E85" s="1">
        <f t="shared" si="10"/>
        <v>0</v>
      </c>
      <c r="F85" s="1">
        <f t="shared" si="11"/>
        <v>0</v>
      </c>
      <c r="G85" s="1">
        <f t="shared" si="12"/>
        <v>0</v>
      </c>
      <c r="H85" s="1">
        <f t="shared" si="13"/>
        <v>0</v>
      </c>
      <c r="I85" s="64">
        <f t="shared" si="14"/>
        <v>3</v>
      </c>
      <c r="K85" s="90" t="s">
        <v>480</v>
      </c>
      <c r="L85" s="1" t="s">
        <v>480</v>
      </c>
      <c r="M85" s="1" t="s">
        <v>480</v>
      </c>
      <c r="N85" s="1" t="s">
        <v>480</v>
      </c>
      <c r="O85" s="1" t="s">
        <v>480</v>
      </c>
      <c r="P85" s="1" t="s">
        <v>480</v>
      </c>
      <c r="Q85" s="1" t="s">
        <v>480</v>
      </c>
      <c r="R85" s="1" t="s">
        <v>480</v>
      </c>
      <c r="S85" s="1" t="s">
        <v>480</v>
      </c>
      <c r="T85" s="1" t="s">
        <v>480</v>
      </c>
      <c r="U85" s="1" t="s">
        <v>480</v>
      </c>
      <c r="V85" s="1" t="s">
        <v>480</v>
      </c>
      <c r="W85" s="1" t="s">
        <v>480</v>
      </c>
      <c r="X85" s="1" t="s">
        <v>480</v>
      </c>
      <c r="Y85" s="1" t="s">
        <v>480</v>
      </c>
      <c r="Z85" s="1" t="s">
        <v>480</v>
      </c>
      <c r="AA85" s="1" t="s">
        <v>480</v>
      </c>
      <c r="AB85" s="1" t="s">
        <v>480</v>
      </c>
      <c r="AC85" s="1" t="s">
        <v>480</v>
      </c>
      <c r="AD85" s="1" t="s">
        <v>480</v>
      </c>
      <c r="AE85" s="1" t="s">
        <v>480</v>
      </c>
      <c r="AF85" s="1" t="s">
        <v>480</v>
      </c>
      <c r="AG85" s="1">
        <v>0</v>
      </c>
      <c r="AH85" s="1" t="s">
        <v>480</v>
      </c>
      <c r="AI85" s="1" t="s">
        <v>480</v>
      </c>
      <c r="AJ85" s="1" t="s">
        <v>480</v>
      </c>
      <c r="AK85" s="1" t="s">
        <v>480</v>
      </c>
      <c r="AL85" s="1" t="s">
        <v>480</v>
      </c>
      <c r="AM85" s="1" t="s">
        <v>480</v>
      </c>
      <c r="AN85" s="1" t="s">
        <v>480</v>
      </c>
      <c r="AO85" s="1" t="s">
        <v>480</v>
      </c>
      <c r="AP85" s="1" t="s">
        <v>480</v>
      </c>
      <c r="AQ85" s="1">
        <v>0</v>
      </c>
      <c r="AR85" s="1">
        <v>0</v>
      </c>
      <c r="AS85" s="1" t="s">
        <v>480</v>
      </c>
      <c r="AT85" s="1">
        <f t="shared" si="15"/>
        <v>3</v>
      </c>
    </row>
    <row r="86" spans="1:46" x14ac:dyDescent="0.25">
      <c r="A86" s="1">
        <f>COUNTIF('Value Matchup'!$D$356:$D$423,'Team History'!B86)</f>
        <v>0</v>
      </c>
      <c r="B86" t="s">
        <v>201</v>
      </c>
      <c r="C86" s="1">
        <f t="shared" si="8"/>
        <v>0</v>
      </c>
      <c r="D86" s="1">
        <f t="shared" si="9"/>
        <v>0</v>
      </c>
      <c r="E86" s="1">
        <f t="shared" si="10"/>
        <v>0</v>
      </c>
      <c r="F86" s="1">
        <f t="shared" si="11"/>
        <v>0</v>
      </c>
      <c r="G86" s="1">
        <f t="shared" si="12"/>
        <v>0</v>
      </c>
      <c r="H86" s="1">
        <f t="shared" si="13"/>
        <v>0</v>
      </c>
      <c r="I86" s="64">
        <f t="shared" si="14"/>
        <v>6</v>
      </c>
      <c r="K86" s="90">
        <v>0</v>
      </c>
      <c r="L86" s="1" t="s">
        <v>480</v>
      </c>
      <c r="M86" s="1" t="s">
        <v>480</v>
      </c>
      <c r="N86" s="1">
        <v>0</v>
      </c>
      <c r="O86" s="1" t="s">
        <v>480</v>
      </c>
      <c r="P86" s="1" t="s">
        <v>480</v>
      </c>
      <c r="Q86" s="1" t="s">
        <v>480</v>
      </c>
      <c r="R86" s="1" t="s">
        <v>480</v>
      </c>
      <c r="S86" s="1" t="s">
        <v>480</v>
      </c>
      <c r="T86" s="1" t="s">
        <v>480</v>
      </c>
      <c r="U86" s="1" t="s">
        <v>480</v>
      </c>
      <c r="V86" s="1" t="s">
        <v>480</v>
      </c>
      <c r="W86" s="1" t="s">
        <v>480</v>
      </c>
      <c r="X86" s="1" t="s">
        <v>480</v>
      </c>
      <c r="Y86" s="1">
        <v>0</v>
      </c>
      <c r="Z86" s="1" t="s">
        <v>480</v>
      </c>
      <c r="AA86" s="1" t="s">
        <v>480</v>
      </c>
      <c r="AB86" s="1" t="s">
        <v>480</v>
      </c>
      <c r="AC86" s="1" t="s">
        <v>480</v>
      </c>
      <c r="AD86" s="1" t="s">
        <v>480</v>
      </c>
      <c r="AE86" s="1" t="s">
        <v>480</v>
      </c>
      <c r="AF86" s="1">
        <v>0</v>
      </c>
      <c r="AG86" s="1" t="s">
        <v>480</v>
      </c>
      <c r="AH86" s="1" t="s">
        <v>480</v>
      </c>
      <c r="AI86" s="1" t="s">
        <v>480</v>
      </c>
      <c r="AJ86" s="1" t="s">
        <v>480</v>
      </c>
      <c r="AK86" s="1" t="s">
        <v>480</v>
      </c>
      <c r="AL86" s="1" t="s">
        <v>480</v>
      </c>
      <c r="AM86" s="1" t="s">
        <v>480</v>
      </c>
      <c r="AN86" s="1" t="s">
        <v>480</v>
      </c>
      <c r="AO86" s="1" t="s">
        <v>480</v>
      </c>
      <c r="AP86" s="1">
        <v>0</v>
      </c>
      <c r="AQ86" s="1" t="s">
        <v>480</v>
      </c>
      <c r="AR86" s="1" t="s">
        <v>480</v>
      </c>
      <c r="AS86" s="1">
        <v>0</v>
      </c>
      <c r="AT86" s="1">
        <f t="shared" si="15"/>
        <v>6</v>
      </c>
    </row>
    <row r="87" spans="1:46" x14ac:dyDescent="0.25">
      <c r="A87" s="1">
        <f>COUNTIF('Value Matchup'!$D$356:$D$423,'Team History'!B87)</f>
        <v>0</v>
      </c>
      <c r="B87" t="s">
        <v>202</v>
      </c>
      <c r="C87" s="1">
        <f t="shared" si="8"/>
        <v>0</v>
      </c>
      <c r="D87" s="1">
        <f t="shared" si="9"/>
        <v>0</v>
      </c>
      <c r="E87" s="1">
        <f t="shared" si="10"/>
        <v>0</v>
      </c>
      <c r="F87" s="1">
        <f t="shared" si="11"/>
        <v>0</v>
      </c>
      <c r="G87" s="1">
        <f t="shared" si="12"/>
        <v>0</v>
      </c>
      <c r="H87" s="1">
        <f t="shared" si="13"/>
        <v>0</v>
      </c>
      <c r="I87" s="64">
        <f t="shared" si="14"/>
        <v>1</v>
      </c>
      <c r="K87" s="90" t="s">
        <v>480</v>
      </c>
      <c r="L87" s="1" t="s">
        <v>480</v>
      </c>
      <c r="M87" s="1" t="s">
        <v>480</v>
      </c>
      <c r="N87" s="1" t="s">
        <v>480</v>
      </c>
      <c r="O87" s="1" t="s">
        <v>480</v>
      </c>
      <c r="P87" s="1" t="s">
        <v>480</v>
      </c>
      <c r="Q87" s="1" t="s">
        <v>480</v>
      </c>
      <c r="R87" s="1" t="s">
        <v>480</v>
      </c>
      <c r="S87" s="1" t="s">
        <v>480</v>
      </c>
      <c r="T87" s="1" t="s">
        <v>480</v>
      </c>
      <c r="U87" s="1" t="s">
        <v>480</v>
      </c>
      <c r="V87" s="1" t="s">
        <v>480</v>
      </c>
      <c r="W87" s="1" t="s">
        <v>480</v>
      </c>
      <c r="X87" s="1" t="s">
        <v>480</v>
      </c>
      <c r="Y87" s="1" t="s">
        <v>480</v>
      </c>
      <c r="Z87" s="1" t="s">
        <v>480</v>
      </c>
      <c r="AA87" s="1" t="s">
        <v>480</v>
      </c>
      <c r="AB87" s="1" t="s">
        <v>480</v>
      </c>
      <c r="AC87" s="1" t="s">
        <v>480</v>
      </c>
      <c r="AD87" s="1" t="s">
        <v>480</v>
      </c>
      <c r="AE87" s="1" t="s">
        <v>480</v>
      </c>
      <c r="AF87" s="1" t="s">
        <v>480</v>
      </c>
      <c r="AG87" s="1" t="s">
        <v>480</v>
      </c>
      <c r="AH87" s="1" t="s">
        <v>480</v>
      </c>
      <c r="AI87" s="1">
        <v>0</v>
      </c>
      <c r="AJ87" s="1" t="s">
        <v>480</v>
      </c>
      <c r="AK87" s="1" t="s">
        <v>480</v>
      </c>
      <c r="AL87" s="1" t="s">
        <v>480</v>
      </c>
      <c r="AM87" s="1" t="s">
        <v>480</v>
      </c>
      <c r="AN87" s="1" t="s">
        <v>480</v>
      </c>
      <c r="AO87" s="1" t="s">
        <v>480</v>
      </c>
      <c r="AP87" s="1" t="s">
        <v>480</v>
      </c>
      <c r="AQ87" s="1" t="s">
        <v>480</v>
      </c>
      <c r="AR87" s="1" t="s">
        <v>480</v>
      </c>
      <c r="AS87" s="1" t="s">
        <v>480</v>
      </c>
      <c r="AT87" s="1">
        <f t="shared" si="15"/>
        <v>1</v>
      </c>
    </row>
    <row r="88" spans="1:46" x14ac:dyDescent="0.25">
      <c r="A88" s="1">
        <f>COUNTIF('Value Matchup'!$D$356:$D$423,'Team History'!B88)</f>
        <v>1</v>
      </c>
      <c r="B88" t="s">
        <v>81</v>
      </c>
      <c r="C88" s="1">
        <f t="shared" si="8"/>
        <v>15</v>
      </c>
      <c r="D88" s="1">
        <f t="shared" si="9"/>
        <v>9</v>
      </c>
      <c r="E88" s="1">
        <f t="shared" si="10"/>
        <v>7</v>
      </c>
      <c r="F88" s="1">
        <f t="shared" si="11"/>
        <v>3</v>
      </c>
      <c r="G88" s="1">
        <f t="shared" si="12"/>
        <v>1</v>
      </c>
      <c r="H88" s="1">
        <f t="shared" si="13"/>
        <v>0</v>
      </c>
      <c r="I88" s="64">
        <f t="shared" si="14"/>
        <v>73</v>
      </c>
      <c r="K88" s="90">
        <v>1</v>
      </c>
      <c r="L88" s="1">
        <v>1</v>
      </c>
      <c r="M88" s="1">
        <v>3</v>
      </c>
      <c r="N88" s="1" t="s">
        <v>480</v>
      </c>
      <c r="O88" s="1" t="s">
        <v>480</v>
      </c>
      <c r="P88" s="1">
        <v>4</v>
      </c>
      <c r="Q88" s="1">
        <v>3</v>
      </c>
      <c r="R88" s="1">
        <v>3</v>
      </c>
      <c r="S88" s="1">
        <v>3</v>
      </c>
      <c r="T88" s="1">
        <v>0</v>
      </c>
      <c r="U88" s="1" t="s">
        <v>480</v>
      </c>
      <c r="V88" s="1" t="s">
        <v>480</v>
      </c>
      <c r="W88" s="1" t="s">
        <v>480</v>
      </c>
      <c r="X88" s="1" t="s">
        <v>480</v>
      </c>
      <c r="Y88" s="1">
        <v>1</v>
      </c>
      <c r="Z88" s="1">
        <v>0</v>
      </c>
      <c r="AA88" s="1">
        <v>1</v>
      </c>
      <c r="AB88" s="1">
        <v>0</v>
      </c>
      <c r="AC88" s="1">
        <v>1</v>
      </c>
      <c r="AD88" s="1">
        <v>5</v>
      </c>
      <c r="AE88" s="1">
        <v>2</v>
      </c>
      <c r="AF88" s="1" t="s">
        <v>480</v>
      </c>
      <c r="AG88" s="1" t="s">
        <v>480</v>
      </c>
      <c r="AH88" s="1" t="s">
        <v>480</v>
      </c>
      <c r="AI88" s="1">
        <v>0</v>
      </c>
      <c r="AJ88" s="1">
        <v>4</v>
      </c>
      <c r="AK88" s="1" t="s">
        <v>480</v>
      </c>
      <c r="AL88" s="1" t="s">
        <v>480</v>
      </c>
      <c r="AM88" s="1" t="s">
        <v>480</v>
      </c>
      <c r="AN88" s="1" t="s">
        <v>480</v>
      </c>
      <c r="AO88" s="1">
        <v>0</v>
      </c>
      <c r="AP88" s="1">
        <v>1</v>
      </c>
      <c r="AQ88" s="1">
        <v>2</v>
      </c>
      <c r="AR88" s="1" t="s">
        <v>480</v>
      </c>
      <c r="AS88" s="1" t="s">
        <v>480</v>
      </c>
      <c r="AT88" s="1">
        <f t="shared" si="15"/>
        <v>20</v>
      </c>
    </row>
    <row r="89" spans="1:46" x14ac:dyDescent="0.25">
      <c r="A89" s="1">
        <f>COUNTIF('Value Matchup'!$D$356:$D$423,'Team History'!B89)</f>
        <v>0</v>
      </c>
      <c r="B89" t="s">
        <v>203</v>
      </c>
      <c r="C89" s="1">
        <f t="shared" si="8"/>
        <v>0</v>
      </c>
      <c r="D89" s="1">
        <f t="shared" si="9"/>
        <v>0</v>
      </c>
      <c r="E89" s="1">
        <f t="shared" si="10"/>
        <v>0</v>
      </c>
      <c r="F89" s="1">
        <f t="shared" si="11"/>
        <v>0</v>
      </c>
      <c r="G89" s="1">
        <f t="shared" si="12"/>
        <v>0</v>
      </c>
      <c r="H89" s="1">
        <f t="shared" si="13"/>
        <v>0</v>
      </c>
      <c r="I89" s="64">
        <f t="shared" si="14"/>
        <v>3</v>
      </c>
      <c r="K89" s="90" t="s">
        <v>480</v>
      </c>
      <c r="L89" s="1" t="s">
        <v>480</v>
      </c>
      <c r="M89" s="1" t="s">
        <v>480</v>
      </c>
      <c r="N89" s="1" t="s">
        <v>480</v>
      </c>
      <c r="O89" s="1" t="s">
        <v>480</v>
      </c>
      <c r="P89" s="1" t="s">
        <v>480</v>
      </c>
      <c r="Q89" s="1" t="s">
        <v>480</v>
      </c>
      <c r="R89" s="1" t="s">
        <v>480</v>
      </c>
      <c r="S89" s="1" t="s">
        <v>480</v>
      </c>
      <c r="T89" s="1" t="s">
        <v>480</v>
      </c>
      <c r="U89" s="1" t="s">
        <v>480</v>
      </c>
      <c r="V89" s="1" t="s">
        <v>480</v>
      </c>
      <c r="W89" s="1">
        <v>0</v>
      </c>
      <c r="X89" s="1" t="s">
        <v>480</v>
      </c>
      <c r="Y89" s="1" t="s">
        <v>480</v>
      </c>
      <c r="Z89" s="1">
        <v>0</v>
      </c>
      <c r="AA89" s="1" t="s">
        <v>480</v>
      </c>
      <c r="AB89" s="1" t="s">
        <v>480</v>
      </c>
      <c r="AC89" s="1" t="s">
        <v>480</v>
      </c>
      <c r="AD89" s="1" t="s">
        <v>480</v>
      </c>
      <c r="AE89" s="1">
        <v>0</v>
      </c>
      <c r="AF89" s="1" t="s">
        <v>480</v>
      </c>
      <c r="AG89" s="1" t="s">
        <v>480</v>
      </c>
      <c r="AH89" s="1" t="s">
        <v>480</v>
      </c>
      <c r="AI89" s="1" t="s">
        <v>480</v>
      </c>
      <c r="AJ89" s="1" t="s">
        <v>480</v>
      </c>
      <c r="AK89" s="1" t="s">
        <v>480</v>
      </c>
      <c r="AL89" s="1" t="s">
        <v>480</v>
      </c>
      <c r="AM89" s="1" t="s">
        <v>480</v>
      </c>
      <c r="AN89" s="1" t="s">
        <v>480</v>
      </c>
      <c r="AO89" s="1" t="s">
        <v>480</v>
      </c>
      <c r="AP89" s="1" t="s">
        <v>480</v>
      </c>
      <c r="AQ89" s="1" t="s">
        <v>480</v>
      </c>
      <c r="AR89" s="1" t="s">
        <v>480</v>
      </c>
      <c r="AS89" s="1" t="s">
        <v>480</v>
      </c>
      <c r="AT89" s="1">
        <f t="shared" si="15"/>
        <v>3</v>
      </c>
    </row>
    <row r="90" spans="1:46" x14ac:dyDescent="0.25">
      <c r="A90" s="1">
        <f>COUNTIF('Value Matchup'!$D$356:$D$423,'Team History'!B90)</f>
        <v>0</v>
      </c>
      <c r="B90" t="s">
        <v>204</v>
      </c>
      <c r="C90" s="1">
        <f t="shared" si="8"/>
        <v>0</v>
      </c>
      <c r="D90" s="1">
        <f t="shared" si="9"/>
        <v>0</v>
      </c>
      <c r="E90" s="1">
        <f t="shared" si="10"/>
        <v>0</v>
      </c>
      <c r="F90" s="1">
        <f t="shared" si="11"/>
        <v>0</v>
      </c>
      <c r="G90" s="1">
        <f t="shared" si="12"/>
        <v>0</v>
      </c>
      <c r="H90" s="1">
        <f t="shared" si="13"/>
        <v>0</v>
      </c>
      <c r="I90" s="64">
        <f t="shared" si="14"/>
        <v>1</v>
      </c>
      <c r="K90" s="90" t="s">
        <v>480</v>
      </c>
      <c r="L90" s="1" t="s">
        <v>480</v>
      </c>
      <c r="M90" s="1" t="s">
        <v>480</v>
      </c>
      <c r="N90" s="1" t="s">
        <v>480</v>
      </c>
      <c r="O90" s="1" t="s">
        <v>480</v>
      </c>
      <c r="P90" s="1" t="s">
        <v>480</v>
      </c>
      <c r="Q90" s="1" t="s">
        <v>480</v>
      </c>
      <c r="R90" s="1" t="s">
        <v>480</v>
      </c>
      <c r="S90" s="1" t="s">
        <v>480</v>
      </c>
      <c r="T90" s="1" t="s">
        <v>480</v>
      </c>
      <c r="U90" s="1" t="s">
        <v>480</v>
      </c>
      <c r="V90" s="1" t="s">
        <v>480</v>
      </c>
      <c r="W90" s="1" t="s">
        <v>480</v>
      </c>
      <c r="X90" s="1" t="s">
        <v>480</v>
      </c>
      <c r="Y90" s="1" t="s">
        <v>480</v>
      </c>
      <c r="Z90" s="1" t="s">
        <v>480</v>
      </c>
      <c r="AA90" s="1" t="s">
        <v>480</v>
      </c>
      <c r="AB90" s="1">
        <v>0</v>
      </c>
      <c r="AC90" s="1" t="s">
        <v>480</v>
      </c>
      <c r="AD90" s="1" t="s">
        <v>480</v>
      </c>
      <c r="AE90" s="1" t="s">
        <v>480</v>
      </c>
      <c r="AF90" s="1" t="s">
        <v>480</v>
      </c>
      <c r="AG90" s="1" t="s">
        <v>480</v>
      </c>
      <c r="AH90" s="1" t="s">
        <v>480</v>
      </c>
      <c r="AI90" s="1" t="s">
        <v>480</v>
      </c>
      <c r="AJ90" s="1" t="s">
        <v>480</v>
      </c>
      <c r="AK90" s="1" t="s">
        <v>480</v>
      </c>
      <c r="AL90" s="1" t="s">
        <v>480</v>
      </c>
      <c r="AM90" s="1" t="s">
        <v>480</v>
      </c>
      <c r="AN90" s="1" t="s">
        <v>480</v>
      </c>
      <c r="AO90" s="1" t="s">
        <v>480</v>
      </c>
      <c r="AP90" s="1" t="s">
        <v>480</v>
      </c>
      <c r="AQ90" s="1" t="s">
        <v>480</v>
      </c>
      <c r="AR90" s="1" t="s">
        <v>480</v>
      </c>
      <c r="AS90" s="1" t="s">
        <v>480</v>
      </c>
      <c r="AT90" s="1">
        <f t="shared" si="15"/>
        <v>1</v>
      </c>
    </row>
    <row r="91" spans="1:46" x14ac:dyDescent="0.25">
      <c r="A91" s="1">
        <f>COUNTIF('Value Matchup'!$D$356:$D$423,'Team History'!B91)</f>
        <v>0</v>
      </c>
      <c r="B91" t="s">
        <v>205</v>
      </c>
      <c r="C91" s="1">
        <f t="shared" si="8"/>
        <v>1</v>
      </c>
      <c r="D91" s="1">
        <f t="shared" si="9"/>
        <v>1</v>
      </c>
      <c r="E91" s="1">
        <f t="shared" si="10"/>
        <v>0</v>
      </c>
      <c r="F91" s="1">
        <f t="shared" si="11"/>
        <v>0</v>
      </c>
      <c r="G91" s="1">
        <f t="shared" si="12"/>
        <v>0</v>
      </c>
      <c r="H91" s="1">
        <f t="shared" si="13"/>
        <v>0</v>
      </c>
      <c r="I91" s="64">
        <f t="shared" si="14"/>
        <v>7</v>
      </c>
      <c r="K91" s="90" t="s">
        <v>480</v>
      </c>
      <c r="L91" s="1" t="s">
        <v>480</v>
      </c>
      <c r="M91" s="1">
        <v>0</v>
      </c>
      <c r="N91" s="1">
        <v>0</v>
      </c>
      <c r="O91" s="1" t="s">
        <v>480</v>
      </c>
      <c r="P91" s="1" t="s">
        <v>480</v>
      </c>
      <c r="Q91" s="1">
        <v>2</v>
      </c>
      <c r="R91" s="1" t="s">
        <v>480</v>
      </c>
      <c r="S91" s="1" t="s">
        <v>480</v>
      </c>
      <c r="T91" s="1" t="s">
        <v>480</v>
      </c>
      <c r="U91" s="1" t="s">
        <v>480</v>
      </c>
      <c r="V91" s="1" t="s">
        <v>480</v>
      </c>
      <c r="W91" s="1" t="s">
        <v>480</v>
      </c>
      <c r="X91" s="1" t="s">
        <v>480</v>
      </c>
      <c r="Y91" s="1" t="s">
        <v>480</v>
      </c>
      <c r="Z91" s="1" t="s">
        <v>480</v>
      </c>
      <c r="AA91" s="1" t="s">
        <v>480</v>
      </c>
      <c r="AB91" s="1" t="s">
        <v>480</v>
      </c>
      <c r="AC91" s="1" t="s">
        <v>480</v>
      </c>
      <c r="AD91" s="1" t="s">
        <v>480</v>
      </c>
      <c r="AE91" s="1" t="s">
        <v>480</v>
      </c>
      <c r="AF91" s="1" t="s">
        <v>480</v>
      </c>
      <c r="AG91" s="1" t="s">
        <v>480</v>
      </c>
      <c r="AH91" s="1" t="s">
        <v>480</v>
      </c>
      <c r="AI91" s="1" t="s">
        <v>480</v>
      </c>
      <c r="AJ91" s="1" t="s">
        <v>480</v>
      </c>
      <c r="AK91" s="1" t="s">
        <v>480</v>
      </c>
      <c r="AL91" s="1" t="s">
        <v>480</v>
      </c>
      <c r="AM91" s="1" t="s">
        <v>480</v>
      </c>
      <c r="AN91" s="1" t="s">
        <v>480</v>
      </c>
      <c r="AO91" s="1" t="s">
        <v>480</v>
      </c>
      <c r="AP91" s="1" t="s">
        <v>480</v>
      </c>
      <c r="AQ91" s="1" t="s">
        <v>480</v>
      </c>
      <c r="AR91" s="1" t="s">
        <v>480</v>
      </c>
      <c r="AS91" s="1" t="s">
        <v>480</v>
      </c>
      <c r="AT91" s="1">
        <f t="shared" si="15"/>
        <v>3</v>
      </c>
    </row>
    <row r="92" spans="1:46" x14ac:dyDescent="0.25">
      <c r="A92" s="1">
        <f>COUNTIF('Value Matchup'!$D$356:$D$423,'Team History'!B92)</f>
        <v>1</v>
      </c>
      <c r="B92" t="s">
        <v>207</v>
      </c>
      <c r="C92" s="1">
        <f t="shared" si="8"/>
        <v>9</v>
      </c>
      <c r="D92" s="1">
        <f t="shared" si="9"/>
        <v>5</v>
      </c>
      <c r="E92" s="1">
        <f t="shared" si="10"/>
        <v>2</v>
      </c>
      <c r="F92" s="1">
        <f t="shared" si="11"/>
        <v>0</v>
      </c>
      <c r="G92" s="1">
        <f t="shared" si="12"/>
        <v>0</v>
      </c>
      <c r="H92" s="1">
        <f t="shared" si="13"/>
        <v>0</v>
      </c>
      <c r="I92" s="64">
        <f t="shared" si="14"/>
        <v>38</v>
      </c>
      <c r="K92" s="90">
        <v>2</v>
      </c>
      <c r="L92" s="1">
        <v>3</v>
      </c>
      <c r="M92" s="1">
        <v>1</v>
      </c>
      <c r="N92" s="1" t="s">
        <v>480</v>
      </c>
      <c r="O92" s="1" t="s">
        <v>480</v>
      </c>
      <c r="P92" s="1" t="s">
        <v>480</v>
      </c>
      <c r="Q92" s="1" t="s">
        <v>480</v>
      </c>
      <c r="R92" s="1">
        <v>1</v>
      </c>
      <c r="S92" s="1">
        <v>2</v>
      </c>
      <c r="T92" s="1">
        <v>0</v>
      </c>
      <c r="U92" s="1">
        <v>0</v>
      </c>
      <c r="V92" s="1" t="s">
        <v>480</v>
      </c>
      <c r="W92" s="1" t="s">
        <v>480</v>
      </c>
      <c r="X92" s="1" t="s">
        <v>480</v>
      </c>
      <c r="Y92" s="1" t="s">
        <v>480</v>
      </c>
      <c r="Z92" s="1" t="s">
        <v>480</v>
      </c>
      <c r="AA92" s="1" t="s">
        <v>480</v>
      </c>
      <c r="AB92" s="1" t="s">
        <v>480</v>
      </c>
      <c r="AC92" s="1" t="s">
        <v>480</v>
      </c>
      <c r="AD92" s="1" t="s">
        <v>480</v>
      </c>
      <c r="AE92" s="1" t="s">
        <v>480</v>
      </c>
      <c r="AF92" s="1">
        <v>1</v>
      </c>
      <c r="AG92" s="1" t="s">
        <v>480</v>
      </c>
      <c r="AH92" s="1" t="s">
        <v>480</v>
      </c>
      <c r="AI92" s="1" t="s">
        <v>480</v>
      </c>
      <c r="AJ92" s="1" t="s">
        <v>480</v>
      </c>
      <c r="AK92" s="1">
        <v>3</v>
      </c>
      <c r="AL92" s="1">
        <v>2</v>
      </c>
      <c r="AM92" s="1">
        <v>1</v>
      </c>
      <c r="AN92" s="1" t="s">
        <v>480</v>
      </c>
      <c r="AO92" s="1">
        <v>0</v>
      </c>
      <c r="AP92" s="1">
        <v>0</v>
      </c>
      <c r="AQ92" s="1" t="s">
        <v>480</v>
      </c>
      <c r="AR92" s="1" t="s">
        <v>480</v>
      </c>
      <c r="AS92" s="1" t="s">
        <v>480</v>
      </c>
      <c r="AT92" s="1">
        <f t="shared" si="15"/>
        <v>13</v>
      </c>
    </row>
    <row r="93" spans="1:46" x14ac:dyDescent="0.25">
      <c r="A93" s="1">
        <f>COUNTIF('Value Matchup'!$D$356:$D$423,'Team History'!B93)</f>
        <v>0</v>
      </c>
      <c r="B93" t="s">
        <v>208</v>
      </c>
      <c r="C93" s="1">
        <f t="shared" si="8"/>
        <v>0</v>
      </c>
      <c r="D93" s="1">
        <f t="shared" si="9"/>
        <v>0</v>
      </c>
      <c r="E93" s="1">
        <f t="shared" si="10"/>
        <v>0</v>
      </c>
      <c r="F93" s="1">
        <f t="shared" si="11"/>
        <v>0</v>
      </c>
      <c r="G93" s="1">
        <f t="shared" si="12"/>
        <v>0</v>
      </c>
      <c r="H93" s="1">
        <f t="shared" si="13"/>
        <v>0</v>
      </c>
      <c r="I93" s="64">
        <f t="shared" si="14"/>
        <v>1</v>
      </c>
      <c r="K93" s="90" t="s">
        <v>480</v>
      </c>
      <c r="L93" s="1" t="s">
        <v>480</v>
      </c>
      <c r="M93" s="1" t="s">
        <v>480</v>
      </c>
      <c r="N93" s="1" t="s">
        <v>480</v>
      </c>
      <c r="O93" s="1" t="s">
        <v>480</v>
      </c>
      <c r="P93" s="1" t="s">
        <v>480</v>
      </c>
      <c r="Q93" s="1" t="s">
        <v>480</v>
      </c>
      <c r="R93" s="1" t="s">
        <v>480</v>
      </c>
      <c r="S93" s="1" t="s">
        <v>480</v>
      </c>
      <c r="T93" s="1" t="s">
        <v>480</v>
      </c>
      <c r="U93" s="1" t="s">
        <v>480</v>
      </c>
      <c r="V93" s="1" t="s">
        <v>480</v>
      </c>
      <c r="W93" s="1" t="s">
        <v>480</v>
      </c>
      <c r="X93" s="1" t="s">
        <v>480</v>
      </c>
      <c r="Y93" s="1" t="s">
        <v>480</v>
      </c>
      <c r="Z93" s="1" t="s">
        <v>480</v>
      </c>
      <c r="AA93" s="1" t="s">
        <v>480</v>
      </c>
      <c r="AB93" s="1" t="s">
        <v>480</v>
      </c>
      <c r="AC93" s="1" t="s">
        <v>480</v>
      </c>
      <c r="AD93" s="1" t="s">
        <v>480</v>
      </c>
      <c r="AE93" s="1" t="s">
        <v>480</v>
      </c>
      <c r="AF93" s="1" t="s">
        <v>480</v>
      </c>
      <c r="AG93" s="1" t="s">
        <v>480</v>
      </c>
      <c r="AH93" s="1" t="s">
        <v>480</v>
      </c>
      <c r="AI93" s="1" t="s">
        <v>480</v>
      </c>
      <c r="AJ93" s="1" t="s">
        <v>480</v>
      </c>
      <c r="AK93" s="1" t="s">
        <v>480</v>
      </c>
      <c r="AL93" s="1">
        <v>0</v>
      </c>
      <c r="AM93" s="1" t="s">
        <v>480</v>
      </c>
      <c r="AN93" s="1" t="s">
        <v>480</v>
      </c>
      <c r="AO93" s="1" t="s">
        <v>480</v>
      </c>
      <c r="AP93" s="1" t="s">
        <v>480</v>
      </c>
      <c r="AQ93" s="1" t="s">
        <v>480</v>
      </c>
      <c r="AR93" s="1" t="s">
        <v>480</v>
      </c>
      <c r="AS93" s="1" t="s">
        <v>480</v>
      </c>
      <c r="AT93" s="1">
        <f t="shared" si="15"/>
        <v>1</v>
      </c>
    </row>
    <row r="94" spans="1:46" x14ac:dyDescent="0.25">
      <c r="A94" s="1">
        <f>COUNTIF('Value Matchup'!$D$356:$D$423,'Team History'!B94)</f>
        <v>0</v>
      </c>
      <c r="B94" t="s">
        <v>209</v>
      </c>
      <c r="C94" s="1">
        <f t="shared" si="8"/>
        <v>1</v>
      </c>
      <c r="D94" s="1">
        <f t="shared" si="9"/>
        <v>0</v>
      </c>
      <c r="E94" s="1">
        <f t="shared" si="10"/>
        <v>0</v>
      </c>
      <c r="F94" s="1">
        <f t="shared" si="11"/>
        <v>0</v>
      </c>
      <c r="G94" s="1">
        <f t="shared" si="12"/>
        <v>0</v>
      </c>
      <c r="H94" s="1">
        <f t="shared" si="13"/>
        <v>0</v>
      </c>
      <c r="I94" s="64">
        <f t="shared" si="14"/>
        <v>4</v>
      </c>
      <c r="K94" s="90" t="s">
        <v>480</v>
      </c>
      <c r="L94" s="1" t="s">
        <v>480</v>
      </c>
      <c r="M94" s="1" t="s">
        <v>480</v>
      </c>
      <c r="N94" s="1">
        <v>0</v>
      </c>
      <c r="O94" s="1" t="s">
        <v>480</v>
      </c>
      <c r="P94" s="1" t="s">
        <v>480</v>
      </c>
      <c r="Q94" s="1" t="s">
        <v>480</v>
      </c>
      <c r="R94" s="1" t="s">
        <v>480</v>
      </c>
      <c r="S94" s="1" t="s">
        <v>480</v>
      </c>
      <c r="T94" s="1" t="s">
        <v>480</v>
      </c>
      <c r="U94" s="1" t="s">
        <v>480</v>
      </c>
      <c r="V94" s="1" t="s">
        <v>480</v>
      </c>
      <c r="W94" s="1" t="s">
        <v>480</v>
      </c>
      <c r="X94" s="1" t="s">
        <v>480</v>
      </c>
      <c r="Y94" s="1" t="s">
        <v>480</v>
      </c>
      <c r="Z94" s="1" t="s">
        <v>480</v>
      </c>
      <c r="AA94" s="1" t="s">
        <v>480</v>
      </c>
      <c r="AB94" s="1" t="s">
        <v>480</v>
      </c>
      <c r="AC94" s="1">
        <v>1</v>
      </c>
      <c r="AD94" s="1">
        <v>0</v>
      </c>
      <c r="AE94" s="1" t="s">
        <v>480</v>
      </c>
      <c r="AF94" s="1" t="s">
        <v>480</v>
      </c>
      <c r="AG94" s="1" t="s">
        <v>480</v>
      </c>
      <c r="AH94" s="1" t="s">
        <v>480</v>
      </c>
      <c r="AI94" s="1" t="s">
        <v>480</v>
      </c>
      <c r="AJ94" s="1" t="s">
        <v>480</v>
      </c>
      <c r="AK94" s="1" t="s">
        <v>480</v>
      </c>
      <c r="AL94" s="1" t="s">
        <v>480</v>
      </c>
      <c r="AM94" s="1" t="s">
        <v>480</v>
      </c>
      <c r="AN94" s="1" t="s">
        <v>480</v>
      </c>
      <c r="AO94" s="1" t="s">
        <v>480</v>
      </c>
      <c r="AP94" s="1" t="s">
        <v>480</v>
      </c>
      <c r="AQ94" s="1" t="s">
        <v>480</v>
      </c>
      <c r="AR94" s="1" t="s">
        <v>480</v>
      </c>
      <c r="AS94" s="1" t="s">
        <v>480</v>
      </c>
      <c r="AT94" s="1">
        <f t="shared" si="15"/>
        <v>3</v>
      </c>
    </row>
    <row r="95" spans="1:46" x14ac:dyDescent="0.25">
      <c r="A95" s="1">
        <f>COUNTIF('Value Matchup'!$D$356:$D$423,'Team History'!B95)</f>
        <v>0</v>
      </c>
      <c r="B95" t="s">
        <v>210</v>
      </c>
      <c r="C95" s="1">
        <f t="shared" si="8"/>
        <v>0</v>
      </c>
      <c r="D95" s="1">
        <f t="shared" si="9"/>
        <v>0</v>
      </c>
      <c r="E95" s="1">
        <f t="shared" si="10"/>
        <v>0</v>
      </c>
      <c r="F95" s="1">
        <f t="shared" si="11"/>
        <v>0</v>
      </c>
      <c r="G95" s="1">
        <f t="shared" si="12"/>
        <v>0</v>
      </c>
      <c r="H95" s="1">
        <f t="shared" si="13"/>
        <v>0</v>
      </c>
      <c r="I95" s="64">
        <f t="shared" si="14"/>
        <v>0</v>
      </c>
      <c r="K95" s="90" t="s">
        <v>480</v>
      </c>
      <c r="L95" s="1" t="s">
        <v>480</v>
      </c>
      <c r="M95" s="1" t="s">
        <v>480</v>
      </c>
      <c r="N95" s="1" t="s">
        <v>480</v>
      </c>
      <c r="O95" s="1" t="s">
        <v>480</v>
      </c>
      <c r="P95" s="1" t="s">
        <v>480</v>
      </c>
      <c r="Q95" s="1" t="s">
        <v>480</v>
      </c>
      <c r="R95" s="1" t="s">
        <v>480</v>
      </c>
      <c r="S95" s="1" t="s">
        <v>480</v>
      </c>
      <c r="T95" s="1" t="s">
        <v>480</v>
      </c>
      <c r="U95" s="1" t="s">
        <v>480</v>
      </c>
      <c r="V95" s="1" t="s">
        <v>480</v>
      </c>
      <c r="W95" s="1" t="s">
        <v>480</v>
      </c>
      <c r="X95" s="1" t="s">
        <v>480</v>
      </c>
      <c r="Y95" s="1" t="s">
        <v>480</v>
      </c>
      <c r="Z95" s="1" t="s">
        <v>480</v>
      </c>
      <c r="AA95" s="1" t="s">
        <v>480</v>
      </c>
      <c r="AB95" s="1" t="s">
        <v>480</v>
      </c>
      <c r="AC95" s="1" t="s">
        <v>480</v>
      </c>
      <c r="AD95" s="1" t="s">
        <v>480</v>
      </c>
      <c r="AE95" s="1" t="s">
        <v>480</v>
      </c>
      <c r="AF95" s="1" t="s">
        <v>480</v>
      </c>
      <c r="AG95" s="1" t="s">
        <v>480</v>
      </c>
      <c r="AH95" s="1" t="s">
        <v>480</v>
      </c>
      <c r="AI95" s="1" t="s">
        <v>480</v>
      </c>
      <c r="AJ95" s="1" t="s">
        <v>480</v>
      </c>
      <c r="AK95" s="1" t="s">
        <v>480</v>
      </c>
      <c r="AL95" s="1" t="s">
        <v>480</v>
      </c>
      <c r="AM95" s="1" t="s">
        <v>480</v>
      </c>
      <c r="AN95" s="1" t="s">
        <v>480</v>
      </c>
      <c r="AO95" s="1" t="s">
        <v>480</v>
      </c>
      <c r="AP95" s="1" t="s">
        <v>480</v>
      </c>
      <c r="AQ95" s="1" t="s">
        <v>480</v>
      </c>
      <c r="AR95" s="1" t="s">
        <v>480</v>
      </c>
      <c r="AS95" s="1" t="s">
        <v>480</v>
      </c>
      <c r="AT95" s="1">
        <f t="shared" si="15"/>
        <v>0</v>
      </c>
    </row>
    <row r="96" spans="1:46" x14ac:dyDescent="0.25">
      <c r="A96" s="1">
        <f>COUNTIF('Value Matchup'!$D$356:$D$423,'Team History'!B96)</f>
        <v>0</v>
      </c>
      <c r="B96" t="s">
        <v>211</v>
      </c>
      <c r="C96" s="1">
        <f t="shared" si="8"/>
        <v>0</v>
      </c>
      <c r="D96" s="1">
        <f t="shared" si="9"/>
        <v>0</v>
      </c>
      <c r="E96" s="1">
        <f t="shared" si="10"/>
        <v>0</v>
      </c>
      <c r="F96" s="1">
        <f t="shared" si="11"/>
        <v>0</v>
      </c>
      <c r="G96" s="1">
        <f t="shared" si="12"/>
        <v>0</v>
      </c>
      <c r="H96" s="1">
        <f t="shared" si="13"/>
        <v>0</v>
      </c>
      <c r="I96" s="64">
        <f t="shared" si="14"/>
        <v>1</v>
      </c>
      <c r="K96" s="90">
        <v>0</v>
      </c>
      <c r="L96" s="1" t="s">
        <v>480</v>
      </c>
      <c r="M96" s="1" t="s">
        <v>480</v>
      </c>
      <c r="N96" s="1" t="s">
        <v>480</v>
      </c>
      <c r="O96" s="1" t="s">
        <v>480</v>
      </c>
      <c r="P96" s="1" t="s">
        <v>480</v>
      </c>
      <c r="Q96" s="1" t="s">
        <v>480</v>
      </c>
      <c r="R96" s="1" t="s">
        <v>480</v>
      </c>
      <c r="S96" s="1" t="s">
        <v>480</v>
      </c>
      <c r="T96" s="1" t="s">
        <v>480</v>
      </c>
      <c r="U96" s="1" t="s">
        <v>480</v>
      </c>
      <c r="V96" s="1" t="s">
        <v>480</v>
      </c>
      <c r="W96" s="1" t="s">
        <v>480</v>
      </c>
      <c r="X96" s="1" t="s">
        <v>480</v>
      </c>
      <c r="Y96" s="1" t="s">
        <v>480</v>
      </c>
      <c r="Z96" s="1" t="s">
        <v>480</v>
      </c>
      <c r="AA96" s="1" t="s">
        <v>480</v>
      </c>
      <c r="AB96" s="1" t="s">
        <v>480</v>
      </c>
      <c r="AC96" s="1" t="s">
        <v>480</v>
      </c>
      <c r="AD96" s="1" t="s">
        <v>480</v>
      </c>
      <c r="AE96" s="1" t="s">
        <v>480</v>
      </c>
      <c r="AF96" s="1" t="s">
        <v>480</v>
      </c>
      <c r="AG96" s="1" t="s">
        <v>480</v>
      </c>
      <c r="AH96" s="1" t="s">
        <v>480</v>
      </c>
      <c r="AI96" s="1" t="s">
        <v>480</v>
      </c>
      <c r="AJ96" s="1" t="s">
        <v>480</v>
      </c>
      <c r="AK96" s="1" t="s">
        <v>480</v>
      </c>
      <c r="AL96" s="1" t="s">
        <v>480</v>
      </c>
      <c r="AM96" s="1" t="s">
        <v>480</v>
      </c>
      <c r="AN96" s="1" t="s">
        <v>480</v>
      </c>
      <c r="AO96" s="1" t="s">
        <v>480</v>
      </c>
      <c r="AP96" s="1" t="s">
        <v>480</v>
      </c>
      <c r="AQ96" s="1" t="s">
        <v>480</v>
      </c>
      <c r="AR96" s="1" t="s">
        <v>480</v>
      </c>
      <c r="AS96" s="1" t="s">
        <v>480</v>
      </c>
      <c r="AT96" s="1">
        <f t="shared" si="15"/>
        <v>1</v>
      </c>
    </row>
    <row r="97" spans="1:46" x14ac:dyDescent="0.25">
      <c r="A97" s="1">
        <f>COUNTIF('Value Matchup'!$D$356:$D$423,'Team History'!B97)</f>
        <v>0</v>
      </c>
      <c r="B97" t="s">
        <v>212</v>
      </c>
      <c r="C97" s="1">
        <f t="shared" si="8"/>
        <v>2</v>
      </c>
      <c r="D97" s="1">
        <f t="shared" si="9"/>
        <v>1</v>
      </c>
      <c r="E97" s="1">
        <f t="shared" si="10"/>
        <v>1</v>
      </c>
      <c r="F97" s="1">
        <f t="shared" si="11"/>
        <v>1</v>
      </c>
      <c r="G97" s="1">
        <f t="shared" si="12"/>
        <v>0</v>
      </c>
      <c r="H97" s="1">
        <f t="shared" si="13"/>
        <v>0</v>
      </c>
      <c r="I97" s="64">
        <f t="shared" si="14"/>
        <v>12</v>
      </c>
      <c r="K97" s="90" t="s">
        <v>480</v>
      </c>
      <c r="L97" s="1" t="s">
        <v>480</v>
      </c>
      <c r="M97" s="1" t="s">
        <v>480</v>
      </c>
      <c r="N97" s="1" t="s">
        <v>480</v>
      </c>
      <c r="O97" s="1" t="s">
        <v>480</v>
      </c>
      <c r="P97" s="1" t="s">
        <v>480</v>
      </c>
      <c r="Q97" s="1" t="s">
        <v>480</v>
      </c>
      <c r="R97" s="1" t="s">
        <v>480</v>
      </c>
      <c r="S97" s="1">
        <v>1</v>
      </c>
      <c r="T97" s="1" t="s">
        <v>480</v>
      </c>
      <c r="U97" s="1" t="s">
        <v>480</v>
      </c>
      <c r="V97" s="1">
        <v>0</v>
      </c>
      <c r="W97" s="1" t="s">
        <v>480</v>
      </c>
      <c r="X97" s="1">
        <v>4</v>
      </c>
      <c r="Y97" s="1" t="s">
        <v>480</v>
      </c>
      <c r="Z97" s="1" t="s">
        <v>480</v>
      </c>
      <c r="AA97" s="1" t="s">
        <v>480</v>
      </c>
      <c r="AB97" s="1" t="s">
        <v>480</v>
      </c>
      <c r="AC97" s="1">
        <v>0</v>
      </c>
      <c r="AD97" s="1" t="s">
        <v>480</v>
      </c>
      <c r="AE97" s="1">
        <v>0</v>
      </c>
      <c r="AF97" s="1" t="s">
        <v>480</v>
      </c>
      <c r="AG97" s="1" t="s">
        <v>480</v>
      </c>
      <c r="AH97" s="1" t="s">
        <v>480</v>
      </c>
      <c r="AI97" s="1" t="s">
        <v>480</v>
      </c>
      <c r="AJ97" s="1" t="s">
        <v>480</v>
      </c>
      <c r="AK97" s="1" t="s">
        <v>480</v>
      </c>
      <c r="AL97" s="1" t="s">
        <v>480</v>
      </c>
      <c r="AM97" s="1" t="s">
        <v>480</v>
      </c>
      <c r="AN97" s="1" t="s">
        <v>480</v>
      </c>
      <c r="AO97" s="1">
        <v>0</v>
      </c>
      <c r="AP97" s="1" t="s">
        <v>480</v>
      </c>
      <c r="AQ97" s="1" t="s">
        <v>480</v>
      </c>
      <c r="AR97" s="1" t="s">
        <v>480</v>
      </c>
      <c r="AS97" s="1" t="s">
        <v>480</v>
      </c>
      <c r="AT97" s="1">
        <f t="shared" si="15"/>
        <v>6</v>
      </c>
    </row>
    <row r="98" spans="1:46" x14ac:dyDescent="0.25">
      <c r="A98" s="1">
        <f>COUNTIF('Value Matchup'!$D$356:$D$423,'Team History'!B98)</f>
        <v>0</v>
      </c>
      <c r="B98" t="s">
        <v>213</v>
      </c>
      <c r="C98" s="1">
        <f t="shared" si="8"/>
        <v>3</v>
      </c>
      <c r="D98" s="1">
        <f t="shared" si="9"/>
        <v>1</v>
      </c>
      <c r="E98" s="1">
        <f t="shared" si="10"/>
        <v>0</v>
      </c>
      <c r="F98" s="1">
        <f t="shared" si="11"/>
        <v>0</v>
      </c>
      <c r="G98" s="1">
        <f t="shared" si="12"/>
        <v>0</v>
      </c>
      <c r="H98" s="1">
        <f t="shared" si="13"/>
        <v>0</v>
      </c>
      <c r="I98" s="64">
        <f t="shared" si="14"/>
        <v>13</v>
      </c>
      <c r="K98" s="90" t="s">
        <v>480</v>
      </c>
      <c r="L98" s="1" t="s">
        <v>480</v>
      </c>
      <c r="M98" s="1" t="s">
        <v>480</v>
      </c>
      <c r="N98" s="1" t="s">
        <v>480</v>
      </c>
      <c r="O98" s="1" t="s">
        <v>480</v>
      </c>
      <c r="P98" s="1">
        <v>0</v>
      </c>
      <c r="Q98" s="1" t="s">
        <v>480</v>
      </c>
      <c r="R98" s="1" t="s">
        <v>480</v>
      </c>
      <c r="S98" s="1" t="s">
        <v>480</v>
      </c>
      <c r="T98" s="1" t="s">
        <v>480</v>
      </c>
      <c r="U98" s="1" t="s">
        <v>480</v>
      </c>
      <c r="V98" s="1" t="s">
        <v>480</v>
      </c>
      <c r="W98" s="1">
        <v>0</v>
      </c>
      <c r="X98" s="1">
        <v>1</v>
      </c>
      <c r="Y98" s="1">
        <v>0</v>
      </c>
      <c r="Z98" s="1" t="s">
        <v>480</v>
      </c>
      <c r="AA98" s="1" t="s">
        <v>480</v>
      </c>
      <c r="AB98" s="1" t="s">
        <v>480</v>
      </c>
      <c r="AC98" s="1" t="s">
        <v>480</v>
      </c>
      <c r="AD98" s="1" t="s">
        <v>480</v>
      </c>
      <c r="AE98" s="1">
        <v>0</v>
      </c>
      <c r="AF98" s="1">
        <v>0</v>
      </c>
      <c r="AG98" s="1" t="s">
        <v>480</v>
      </c>
      <c r="AH98" s="1">
        <v>0</v>
      </c>
      <c r="AI98" s="1" t="s">
        <v>480</v>
      </c>
      <c r="AJ98" s="1">
        <v>1</v>
      </c>
      <c r="AK98" s="1">
        <v>2</v>
      </c>
      <c r="AL98" s="1" t="s">
        <v>480</v>
      </c>
      <c r="AM98" s="1" t="s">
        <v>480</v>
      </c>
      <c r="AN98" s="1" t="s">
        <v>480</v>
      </c>
      <c r="AO98" s="1" t="s">
        <v>480</v>
      </c>
      <c r="AP98" s="1" t="s">
        <v>480</v>
      </c>
      <c r="AQ98" s="1" t="s">
        <v>480</v>
      </c>
      <c r="AR98" s="1" t="s">
        <v>480</v>
      </c>
      <c r="AS98" s="1" t="s">
        <v>480</v>
      </c>
      <c r="AT98" s="1">
        <f t="shared" si="15"/>
        <v>9</v>
      </c>
    </row>
    <row r="99" spans="1:46" x14ac:dyDescent="0.25">
      <c r="A99" s="1">
        <f>COUNTIF('Value Matchup'!$D$356:$D$423,'Team History'!B99)</f>
        <v>1</v>
      </c>
      <c r="B99" t="s">
        <v>66</v>
      </c>
      <c r="C99" s="1">
        <f t="shared" si="8"/>
        <v>17</v>
      </c>
      <c r="D99" s="1">
        <f t="shared" si="9"/>
        <v>8</v>
      </c>
      <c r="E99" s="1">
        <f t="shared" si="10"/>
        <v>5</v>
      </c>
      <c r="F99" s="1">
        <f t="shared" si="11"/>
        <v>2</v>
      </c>
      <c r="G99" s="1">
        <f t="shared" si="12"/>
        <v>1</v>
      </c>
      <c r="H99" s="1">
        <f t="shared" si="13"/>
        <v>0</v>
      </c>
      <c r="I99" s="64">
        <f t="shared" si="14"/>
        <v>56</v>
      </c>
      <c r="K99" s="90" t="s">
        <v>480</v>
      </c>
      <c r="L99" s="1" t="s">
        <v>480</v>
      </c>
      <c r="M99" s="1" t="s">
        <v>480</v>
      </c>
      <c r="N99" s="1" t="s">
        <v>480</v>
      </c>
      <c r="O99" s="1">
        <v>1</v>
      </c>
      <c r="P99" s="1" t="s">
        <v>480</v>
      </c>
      <c r="Q99" s="1">
        <v>0</v>
      </c>
      <c r="R99" s="1">
        <v>1</v>
      </c>
      <c r="S99" s="1">
        <v>0</v>
      </c>
      <c r="T99" s="1">
        <v>0</v>
      </c>
      <c r="U99" s="1" t="s">
        <v>480</v>
      </c>
      <c r="V99" s="1">
        <v>1</v>
      </c>
      <c r="W99" s="1">
        <v>4</v>
      </c>
      <c r="X99" s="1">
        <v>2</v>
      </c>
      <c r="Y99" s="1" t="s">
        <v>480</v>
      </c>
      <c r="Z99" s="1" t="s">
        <v>480</v>
      </c>
      <c r="AA99" s="1" t="s">
        <v>480</v>
      </c>
      <c r="AB99" s="1" t="s">
        <v>480</v>
      </c>
      <c r="AC99" s="1">
        <v>2</v>
      </c>
      <c r="AD99" s="1" t="s">
        <v>480</v>
      </c>
      <c r="AE99" s="1" t="s">
        <v>480</v>
      </c>
      <c r="AF99" s="1" t="s">
        <v>480</v>
      </c>
      <c r="AG99" s="1">
        <v>0</v>
      </c>
      <c r="AH99" s="1">
        <v>3</v>
      </c>
      <c r="AI99" s="1">
        <v>2</v>
      </c>
      <c r="AJ99" s="1">
        <v>1</v>
      </c>
      <c r="AK99" s="1" t="s">
        <v>480</v>
      </c>
      <c r="AL99" s="1">
        <v>1</v>
      </c>
      <c r="AM99" s="1">
        <v>1</v>
      </c>
      <c r="AN99" s="1">
        <v>1</v>
      </c>
      <c r="AO99" s="1">
        <v>3</v>
      </c>
      <c r="AP99" s="1">
        <v>1</v>
      </c>
      <c r="AQ99" s="1">
        <v>3</v>
      </c>
      <c r="AR99" s="1">
        <v>1</v>
      </c>
      <c r="AS99" s="1">
        <v>5</v>
      </c>
      <c r="AT99" s="1">
        <f t="shared" si="15"/>
        <v>21</v>
      </c>
    </row>
    <row r="100" spans="1:46" x14ac:dyDescent="0.25">
      <c r="A100" s="1">
        <f>COUNTIF('Value Matchup'!$D$356:$D$423,'Team History'!B100)</f>
        <v>0</v>
      </c>
      <c r="B100" t="s">
        <v>60</v>
      </c>
      <c r="C100" s="1">
        <f t="shared" si="8"/>
        <v>3</v>
      </c>
      <c r="D100" s="1">
        <f t="shared" si="9"/>
        <v>1</v>
      </c>
      <c r="E100" s="1">
        <f t="shared" si="10"/>
        <v>0</v>
      </c>
      <c r="F100" s="1">
        <f t="shared" si="11"/>
        <v>0</v>
      </c>
      <c r="G100" s="1">
        <f t="shared" si="12"/>
        <v>0</v>
      </c>
      <c r="H100" s="1">
        <f t="shared" si="13"/>
        <v>0</v>
      </c>
      <c r="I100" s="64">
        <f t="shared" si="14"/>
        <v>15</v>
      </c>
      <c r="K100" s="90" t="s">
        <v>480</v>
      </c>
      <c r="L100" s="1" t="s">
        <v>480</v>
      </c>
      <c r="M100" s="1" t="s">
        <v>480</v>
      </c>
      <c r="N100" s="1" t="s">
        <v>480</v>
      </c>
      <c r="O100" s="1">
        <v>0</v>
      </c>
      <c r="P100" s="1" t="s">
        <v>480</v>
      </c>
      <c r="Q100" s="1" t="s">
        <v>480</v>
      </c>
      <c r="R100" s="1" t="s">
        <v>480</v>
      </c>
      <c r="S100" s="1">
        <v>0</v>
      </c>
      <c r="T100" s="1" t="s">
        <v>480</v>
      </c>
      <c r="U100" s="1" t="s">
        <v>480</v>
      </c>
      <c r="V100" s="1">
        <v>0</v>
      </c>
      <c r="W100" s="1" t="s">
        <v>480</v>
      </c>
      <c r="X100" s="1" t="s">
        <v>480</v>
      </c>
      <c r="Y100" s="1" t="s">
        <v>480</v>
      </c>
      <c r="Z100" s="1" t="s">
        <v>480</v>
      </c>
      <c r="AA100" s="1" t="s">
        <v>480</v>
      </c>
      <c r="AB100" s="1">
        <v>1</v>
      </c>
      <c r="AC100" s="1">
        <v>0</v>
      </c>
      <c r="AD100" s="1" t="s">
        <v>480</v>
      </c>
      <c r="AE100" s="1" t="s">
        <v>480</v>
      </c>
      <c r="AF100" s="1" t="s">
        <v>480</v>
      </c>
      <c r="AG100" s="1">
        <v>0</v>
      </c>
      <c r="AH100" s="1">
        <v>2</v>
      </c>
      <c r="AI100" s="1" t="s">
        <v>480</v>
      </c>
      <c r="AJ100" s="1" t="s">
        <v>480</v>
      </c>
      <c r="AK100" s="1" t="s">
        <v>480</v>
      </c>
      <c r="AL100" s="1" t="s">
        <v>480</v>
      </c>
      <c r="AM100" s="1">
        <v>0</v>
      </c>
      <c r="AN100" s="1">
        <v>0</v>
      </c>
      <c r="AO100" s="1" t="s">
        <v>480</v>
      </c>
      <c r="AP100" s="1" t="s">
        <v>480</v>
      </c>
      <c r="AQ100" s="1">
        <v>0</v>
      </c>
      <c r="AR100" s="1" t="s">
        <v>480</v>
      </c>
      <c r="AS100" s="1">
        <v>1</v>
      </c>
      <c r="AT100" s="1">
        <f t="shared" si="15"/>
        <v>11</v>
      </c>
    </row>
    <row r="101" spans="1:46" x14ac:dyDescent="0.25">
      <c r="A101" s="1">
        <f>COUNTIF('Value Matchup'!$D$356:$D$423,'Team History'!B101)</f>
        <v>0</v>
      </c>
      <c r="B101" t="s">
        <v>214</v>
      </c>
      <c r="C101" s="1">
        <f t="shared" si="8"/>
        <v>0</v>
      </c>
      <c r="D101" s="1">
        <f t="shared" si="9"/>
        <v>0</v>
      </c>
      <c r="E101" s="1">
        <f t="shared" si="10"/>
        <v>0</v>
      </c>
      <c r="F101" s="1">
        <f t="shared" si="11"/>
        <v>0</v>
      </c>
      <c r="G101" s="1">
        <f t="shared" si="12"/>
        <v>0</v>
      </c>
      <c r="H101" s="1">
        <f t="shared" si="13"/>
        <v>0</v>
      </c>
      <c r="I101" s="64">
        <f t="shared" si="14"/>
        <v>2</v>
      </c>
      <c r="K101" s="90" t="s">
        <v>480</v>
      </c>
      <c r="L101" s="1" t="s">
        <v>480</v>
      </c>
      <c r="M101" s="1" t="s">
        <v>480</v>
      </c>
      <c r="N101" s="1" t="s">
        <v>480</v>
      </c>
      <c r="O101" s="1" t="s">
        <v>480</v>
      </c>
      <c r="P101" s="1" t="s">
        <v>480</v>
      </c>
      <c r="Q101" s="1" t="s">
        <v>480</v>
      </c>
      <c r="R101" s="1" t="s">
        <v>480</v>
      </c>
      <c r="S101" s="1" t="s">
        <v>480</v>
      </c>
      <c r="T101" s="1" t="s">
        <v>480</v>
      </c>
      <c r="U101" s="1" t="s">
        <v>480</v>
      </c>
      <c r="V101" s="1" t="s">
        <v>480</v>
      </c>
      <c r="W101" s="1" t="s">
        <v>480</v>
      </c>
      <c r="X101" s="1" t="s">
        <v>480</v>
      </c>
      <c r="Y101" s="1" t="s">
        <v>480</v>
      </c>
      <c r="Z101" s="1" t="s">
        <v>480</v>
      </c>
      <c r="AA101" s="1" t="s">
        <v>480</v>
      </c>
      <c r="AB101" s="1" t="s">
        <v>480</v>
      </c>
      <c r="AC101" s="1" t="s">
        <v>480</v>
      </c>
      <c r="AD101" s="1" t="s">
        <v>480</v>
      </c>
      <c r="AE101" s="1" t="s">
        <v>480</v>
      </c>
      <c r="AF101" s="1" t="s">
        <v>480</v>
      </c>
      <c r="AG101" s="1" t="s">
        <v>480</v>
      </c>
      <c r="AH101" s="1" t="s">
        <v>480</v>
      </c>
      <c r="AI101" s="1" t="s">
        <v>480</v>
      </c>
      <c r="AJ101" s="1" t="s">
        <v>480</v>
      </c>
      <c r="AK101" s="1" t="s">
        <v>480</v>
      </c>
      <c r="AL101" s="1">
        <v>0</v>
      </c>
      <c r="AM101" s="1" t="s">
        <v>480</v>
      </c>
      <c r="AN101" s="1" t="s">
        <v>480</v>
      </c>
      <c r="AO101" s="1" t="s">
        <v>480</v>
      </c>
      <c r="AP101" s="1" t="s">
        <v>480</v>
      </c>
      <c r="AQ101" s="1">
        <v>0</v>
      </c>
      <c r="AR101" s="1" t="s">
        <v>480</v>
      </c>
      <c r="AS101" s="1" t="s">
        <v>480</v>
      </c>
      <c r="AT101" s="1">
        <f t="shared" si="15"/>
        <v>2</v>
      </c>
    </row>
    <row r="102" spans="1:46" x14ac:dyDescent="0.25">
      <c r="A102" s="1">
        <f>COUNTIF('Value Matchup'!$D$356:$D$423,'Team History'!B102)</f>
        <v>0</v>
      </c>
      <c r="B102" t="s">
        <v>215</v>
      </c>
      <c r="C102" s="1">
        <f t="shared" si="8"/>
        <v>2</v>
      </c>
      <c r="D102" s="1">
        <f t="shared" si="9"/>
        <v>0</v>
      </c>
      <c r="E102" s="1">
        <f t="shared" si="10"/>
        <v>0</v>
      </c>
      <c r="F102" s="1">
        <f t="shared" si="11"/>
        <v>0</v>
      </c>
      <c r="G102" s="1">
        <f t="shared" si="12"/>
        <v>0</v>
      </c>
      <c r="H102" s="1">
        <f t="shared" si="13"/>
        <v>0</v>
      </c>
      <c r="I102" s="64">
        <f t="shared" si="14"/>
        <v>8</v>
      </c>
      <c r="K102" s="90">
        <v>0</v>
      </c>
      <c r="L102" s="1">
        <v>0</v>
      </c>
      <c r="M102" s="1" t="s">
        <v>480</v>
      </c>
      <c r="N102" s="1" t="s">
        <v>480</v>
      </c>
      <c r="O102" s="1">
        <v>1</v>
      </c>
      <c r="P102" s="1" t="s">
        <v>480</v>
      </c>
      <c r="Q102" s="1" t="s">
        <v>480</v>
      </c>
      <c r="R102" s="1" t="s">
        <v>480</v>
      </c>
      <c r="S102" s="1" t="s">
        <v>480</v>
      </c>
      <c r="T102" s="1" t="s">
        <v>480</v>
      </c>
      <c r="U102" s="1" t="s">
        <v>480</v>
      </c>
      <c r="V102" s="1" t="s">
        <v>480</v>
      </c>
      <c r="W102" s="1" t="s">
        <v>480</v>
      </c>
      <c r="X102" s="1" t="s">
        <v>480</v>
      </c>
      <c r="Y102" s="1" t="s">
        <v>480</v>
      </c>
      <c r="Z102" s="1" t="s">
        <v>480</v>
      </c>
      <c r="AA102" s="1" t="s">
        <v>480</v>
      </c>
      <c r="AB102" s="1" t="s">
        <v>480</v>
      </c>
      <c r="AC102" s="1">
        <v>1</v>
      </c>
      <c r="AD102" s="1" t="s">
        <v>480</v>
      </c>
      <c r="AE102" s="1" t="s">
        <v>480</v>
      </c>
      <c r="AF102" s="1" t="s">
        <v>480</v>
      </c>
      <c r="AG102" s="1" t="s">
        <v>480</v>
      </c>
      <c r="AH102" s="1" t="s">
        <v>480</v>
      </c>
      <c r="AI102" s="1" t="s">
        <v>480</v>
      </c>
      <c r="AJ102" s="1" t="s">
        <v>480</v>
      </c>
      <c r="AK102" s="1" t="s">
        <v>480</v>
      </c>
      <c r="AL102" s="1" t="s">
        <v>480</v>
      </c>
      <c r="AM102" s="1">
        <v>0</v>
      </c>
      <c r="AN102" s="1" t="s">
        <v>480</v>
      </c>
      <c r="AO102" s="1" t="s">
        <v>480</v>
      </c>
      <c r="AP102" s="1" t="s">
        <v>480</v>
      </c>
      <c r="AQ102" s="1" t="s">
        <v>480</v>
      </c>
      <c r="AR102" s="1" t="s">
        <v>480</v>
      </c>
      <c r="AS102" s="1" t="s">
        <v>480</v>
      </c>
      <c r="AT102" s="1">
        <f t="shared" si="15"/>
        <v>5</v>
      </c>
    </row>
    <row r="103" spans="1:46" x14ac:dyDescent="0.25">
      <c r="A103" s="1">
        <f>COUNTIF('Value Matchup'!$D$356:$D$423,'Team History'!B103)</f>
        <v>1</v>
      </c>
      <c r="B103" t="s">
        <v>216</v>
      </c>
      <c r="C103" s="1">
        <f t="shared" si="8"/>
        <v>10</v>
      </c>
      <c r="D103" s="1">
        <f t="shared" si="9"/>
        <v>6</v>
      </c>
      <c r="E103" s="1">
        <f t="shared" si="10"/>
        <v>3</v>
      </c>
      <c r="F103" s="1">
        <f t="shared" si="11"/>
        <v>2</v>
      </c>
      <c r="G103" s="1">
        <f t="shared" si="12"/>
        <v>1</v>
      </c>
      <c r="H103" s="1">
        <f t="shared" si="13"/>
        <v>0</v>
      </c>
      <c r="I103" s="64">
        <f t="shared" si="14"/>
        <v>38</v>
      </c>
      <c r="K103" s="90" t="s">
        <v>480</v>
      </c>
      <c r="L103" s="1" t="s">
        <v>480</v>
      </c>
      <c r="M103" s="1" t="s">
        <v>480</v>
      </c>
      <c r="N103" s="1" t="s">
        <v>480</v>
      </c>
      <c r="O103" s="1" t="s">
        <v>480</v>
      </c>
      <c r="P103" s="1" t="s">
        <v>480</v>
      </c>
      <c r="Q103" s="1" t="s">
        <v>480</v>
      </c>
      <c r="R103" s="1" t="s">
        <v>480</v>
      </c>
      <c r="S103" s="1" t="s">
        <v>480</v>
      </c>
      <c r="T103" s="1">
        <v>1</v>
      </c>
      <c r="U103" s="1" t="s">
        <v>480</v>
      </c>
      <c r="V103" s="1" t="s">
        <v>480</v>
      </c>
      <c r="W103" s="1">
        <v>0</v>
      </c>
      <c r="X103" s="1" t="s">
        <v>480</v>
      </c>
      <c r="Y103" s="1">
        <v>1</v>
      </c>
      <c r="Z103" s="1">
        <v>5</v>
      </c>
      <c r="AA103" s="1" t="s">
        <v>480</v>
      </c>
      <c r="AB103" s="1" t="s">
        <v>480</v>
      </c>
      <c r="AC103" s="1">
        <v>0</v>
      </c>
      <c r="AD103" s="1" t="s">
        <v>480</v>
      </c>
      <c r="AE103" s="1" t="s">
        <v>480</v>
      </c>
      <c r="AF103" s="1" t="s">
        <v>480</v>
      </c>
      <c r="AG103" s="1" t="s">
        <v>480</v>
      </c>
      <c r="AH103" s="1">
        <v>2</v>
      </c>
      <c r="AI103" s="1" t="s">
        <v>480</v>
      </c>
      <c r="AJ103" s="1" t="s">
        <v>480</v>
      </c>
      <c r="AK103" s="1">
        <v>0</v>
      </c>
      <c r="AL103" s="1">
        <v>2</v>
      </c>
      <c r="AM103" s="1">
        <v>1</v>
      </c>
      <c r="AN103" s="1">
        <v>4</v>
      </c>
      <c r="AO103" s="1">
        <v>0</v>
      </c>
      <c r="AP103" s="1">
        <v>1</v>
      </c>
      <c r="AQ103" s="1">
        <v>0</v>
      </c>
      <c r="AR103" s="1">
        <v>2</v>
      </c>
      <c r="AS103" s="1">
        <v>3</v>
      </c>
      <c r="AT103" s="1">
        <f t="shared" si="15"/>
        <v>15</v>
      </c>
    </row>
    <row r="104" spans="1:46" x14ac:dyDescent="0.25">
      <c r="A104" s="1">
        <f>COUNTIF('Value Matchup'!$D$356:$D$423,'Team History'!B104)</f>
        <v>1</v>
      </c>
      <c r="B104" t="s">
        <v>71</v>
      </c>
      <c r="C104" s="1">
        <f t="shared" si="8"/>
        <v>18</v>
      </c>
      <c r="D104" s="1">
        <f t="shared" si="9"/>
        <v>10</v>
      </c>
      <c r="E104" s="1">
        <f t="shared" si="10"/>
        <v>4</v>
      </c>
      <c r="F104" s="1">
        <f t="shared" si="11"/>
        <v>1</v>
      </c>
      <c r="G104" s="1">
        <f t="shared" si="12"/>
        <v>1</v>
      </c>
      <c r="H104" s="1">
        <f t="shared" si="13"/>
        <v>0</v>
      </c>
      <c r="I104" s="64">
        <f t="shared" si="14"/>
        <v>76</v>
      </c>
      <c r="K104" s="90">
        <v>3</v>
      </c>
      <c r="L104" s="1">
        <v>2</v>
      </c>
      <c r="M104" s="1">
        <v>5</v>
      </c>
      <c r="N104" s="1">
        <v>2</v>
      </c>
      <c r="O104" s="1">
        <v>3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2</v>
      </c>
      <c r="V104" s="1">
        <v>0</v>
      </c>
      <c r="W104" s="1">
        <v>0</v>
      </c>
      <c r="X104" s="1">
        <v>2</v>
      </c>
      <c r="Y104" s="1">
        <v>1</v>
      </c>
      <c r="Z104" s="1">
        <v>1</v>
      </c>
      <c r="AA104" s="1">
        <v>1</v>
      </c>
      <c r="AB104" s="1">
        <v>0</v>
      </c>
      <c r="AC104" s="1">
        <v>2</v>
      </c>
      <c r="AD104" s="1">
        <v>2</v>
      </c>
      <c r="AE104" s="1">
        <v>3</v>
      </c>
      <c r="AF104" s="1" t="s">
        <v>480</v>
      </c>
      <c r="AG104" s="1" t="s">
        <v>480</v>
      </c>
      <c r="AH104" s="1" t="s">
        <v>480</v>
      </c>
      <c r="AI104" s="1">
        <v>0</v>
      </c>
      <c r="AJ104" s="1" t="s">
        <v>480</v>
      </c>
      <c r="AK104" s="1" t="s">
        <v>480</v>
      </c>
      <c r="AL104" s="1" t="s">
        <v>480</v>
      </c>
      <c r="AM104" s="1" t="s">
        <v>480</v>
      </c>
      <c r="AN104" s="1" t="s">
        <v>480</v>
      </c>
      <c r="AO104" s="1" t="s">
        <v>480</v>
      </c>
      <c r="AP104" s="1" t="s">
        <v>480</v>
      </c>
      <c r="AQ104" s="1" t="s">
        <v>480</v>
      </c>
      <c r="AR104" s="1" t="s">
        <v>480</v>
      </c>
      <c r="AS104" s="1" t="s">
        <v>480</v>
      </c>
      <c r="AT104" s="1">
        <f t="shared" si="15"/>
        <v>22</v>
      </c>
    </row>
    <row r="105" spans="1:46" x14ac:dyDescent="0.25">
      <c r="A105" s="1">
        <f>COUNTIF('Value Matchup'!$D$356:$D$423,'Team History'!B105)</f>
        <v>0</v>
      </c>
      <c r="B105" t="s">
        <v>217</v>
      </c>
      <c r="C105" s="1">
        <f t="shared" si="8"/>
        <v>0</v>
      </c>
      <c r="D105" s="1">
        <f t="shared" si="9"/>
        <v>0</v>
      </c>
      <c r="E105" s="1">
        <f t="shared" si="10"/>
        <v>0</v>
      </c>
      <c r="F105" s="1">
        <f t="shared" si="11"/>
        <v>0</v>
      </c>
      <c r="G105" s="1">
        <f t="shared" si="12"/>
        <v>0</v>
      </c>
      <c r="H105" s="1">
        <f t="shared" si="13"/>
        <v>0</v>
      </c>
      <c r="I105" s="64">
        <f t="shared" si="14"/>
        <v>0</v>
      </c>
      <c r="K105" s="90" t="s">
        <v>480</v>
      </c>
      <c r="L105" s="1" t="s">
        <v>480</v>
      </c>
      <c r="M105" s="1" t="s">
        <v>480</v>
      </c>
      <c r="N105" s="1" t="s">
        <v>480</v>
      </c>
      <c r="O105" s="1" t="s">
        <v>480</v>
      </c>
      <c r="P105" s="1" t="s">
        <v>480</v>
      </c>
      <c r="Q105" s="1" t="s">
        <v>480</v>
      </c>
      <c r="R105" s="1" t="s">
        <v>480</v>
      </c>
      <c r="S105" s="1" t="s">
        <v>480</v>
      </c>
      <c r="T105" s="1" t="s">
        <v>480</v>
      </c>
      <c r="U105" s="1" t="s">
        <v>480</v>
      </c>
      <c r="V105" s="1" t="s">
        <v>480</v>
      </c>
      <c r="W105" s="1" t="s">
        <v>480</v>
      </c>
      <c r="X105" s="1" t="s">
        <v>480</v>
      </c>
      <c r="Y105" s="1" t="s">
        <v>480</v>
      </c>
      <c r="Z105" s="1" t="s">
        <v>480</v>
      </c>
      <c r="AA105" s="1" t="s">
        <v>480</v>
      </c>
      <c r="AB105" s="1" t="s">
        <v>480</v>
      </c>
      <c r="AC105" s="1" t="s">
        <v>480</v>
      </c>
      <c r="AD105" s="1" t="s">
        <v>480</v>
      </c>
      <c r="AE105" s="1" t="s">
        <v>480</v>
      </c>
      <c r="AF105" s="1" t="s">
        <v>480</v>
      </c>
      <c r="AG105" s="1" t="s">
        <v>480</v>
      </c>
      <c r="AH105" s="1" t="s">
        <v>480</v>
      </c>
      <c r="AI105" s="1" t="s">
        <v>480</v>
      </c>
      <c r="AJ105" s="1" t="s">
        <v>480</v>
      </c>
      <c r="AK105" s="1" t="s">
        <v>480</v>
      </c>
      <c r="AL105" s="1" t="s">
        <v>480</v>
      </c>
      <c r="AM105" s="1" t="s">
        <v>480</v>
      </c>
      <c r="AN105" s="1" t="s">
        <v>480</v>
      </c>
      <c r="AO105" s="1" t="s">
        <v>480</v>
      </c>
      <c r="AP105" s="1" t="s">
        <v>480</v>
      </c>
      <c r="AQ105" s="1" t="s">
        <v>480</v>
      </c>
      <c r="AR105" s="1" t="s">
        <v>480</v>
      </c>
      <c r="AS105" s="1" t="s">
        <v>480</v>
      </c>
      <c r="AT105" s="1">
        <f t="shared" si="15"/>
        <v>0</v>
      </c>
    </row>
    <row r="106" spans="1:46" x14ac:dyDescent="0.25">
      <c r="A106" s="1">
        <f>COUNTIF('Value Matchup'!$D$356:$D$423,'Team History'!B106)</f>
        <v>1</v>
      </c>
      <c r="B106" t="s">
        <v>218</v>
      </c>
      <c r="C106" s="1">
        <f t="shared" si="8"/>
        <v>0</v>
      </c>
      <c r="D106" s="1">
        <f t="shared" si="9"/>
        <v>0</v>
      </c>
      <c r="E106" s="1">
        <f t="shared" si="10"/>
        <v>0</v>
      </c>
      <c r="F106" s="1">
        <f t="shared" si="11"/>
        <v>0</v>
      </c>
      <c r="G106" s="1">
        <f t="shared" si="12"/>
        <v>0</v>
      </c>
      <c r="H106" s="1">
        <f t="shared" si="13"/>
        <v>0</v>
      </c>
      <c r="I106" s="64">
        <f t="shared" si="14"/>
        <v>0</v>
      </c>
      <c r="K106" s="90" t="s">
        <v>480</v>
      </c>
      <c r="L106" s="1" t="s">
        <v>480</v>
      </c>
      <c r="M106" s="1" t="s">
        <v>480</v>
      </c>
      <c r="N106" s="1" t="s">
        <v>480</v>
      </c>
      <c r="O106" s="1" t="s">
        <v>480</v>
      </c>
      <c r="P106" s="1" t="s">
        <v>480</v>
      </c>
      <c r="Q106" s="1" t="s">
        <v>480</v>
      </c>
      <c r="R106" s="1" t="s">
        <v>480</v>
      </c>
      <c r="S106" s="1" t="s">
        <v>480</v>
      </c>
      <c r="T106" s="1" t="s">
        <v>480</v>
      </c>
      <c r="U106" s="1" t="s">
        <v>480</v>
      </c>
      <c r="V106" s="1" t="s">
        <v>480</v>
      </c>
      <c r="W106" s="1" t="s">
        <v>480</v>
      </c>
      <c r="X106" s="1" t="s">
        <v>480</v>
      </c>
      <c r="Y106" s="1" t="s">
        <v>480</v>
      </c>
      <c r="Z106" s="1" t="s">
        <v>480</v>
      </c>
      <c r="AA106" s="1" t="s">
        <v>480</v>
      </c>
      <c r="AB106" s="1" t="s">
        <v>480</v>
      </c>
      <c r="AC106" s="1" t="s">
        <v>480</v>
      </c>
      <c r="AD106" s="1" t="s">
        <v>480</v>
      </c>
      <c r="AE106" s="1" t="s">
        <v>480</v>
      </c>
      <c r="AF106" s="1" t="s">
        <v>480</v>
      </c>
      <c r="AG106" s="1" t="s">
        <v>480</v>
      </c>
      <c r="AH106" s="1" t="s">
        <v>480</v>
      </c>
      <c r="AI106" s="1" t="s">
        <v>480</v>
      </c>
      <c r="AJ106" s="1" t="s">
        <v>480</v>
      </c>
      <c r="AK106" s="1" t="s">
        <v>480</v>
      </c>
      <c r="AL106" s="1" t="s">
        <v>480</v>
      </c>
      <c r="AM106" s="1" t="s">
        <v>480</v>
      </c>
      <c r="AN106" s="1" t="s">
        <v>480</v>
      </c>
      <c r="AO106" s="1" t="s">
        <v>480</v>
      </c>
      <c r="AP106" s="1" t="s">
        <v>480</v>
      </c>
      <c r="AQ106" s="1" t="s">
        <v>480</v>
      </c>
      <c r="AR106" s="1" t="s">
        <v>480</v>
      </c>
      <c r="AS106" s="1" t="s">
        <v>480</v>
      </c>
      <c r="AT106" s="1">
        <f t="shared" si="15"/>
        <v>0</v>
      </c>
    </row>
    <row r="107" spans="1:46" x14ac:dyDescent="0.25">
      <c r="A107" s="1">
        <f>COUNTIF('Value Matchup'!$D$356:$D$423,'Team History'!B107)</f>
        <v>0</v>
      </c>
      <c r="B107" t="s">
        <v>219</v>
      </c>
      <c r="C107" s="1">
        <f t="shared" si="8"/>
        <v>1</v>
      </c>
      <c r="D107" s="1">
        <f t="shared" si="9"/>
        <v>0</v>
      </c>
      <c r="E107" s="1">
        <f t="shared" si="10"/>
        <v>0</v>
      </c>
      <c r="F107" s="1">
        <f t="shared" si="11"/>
        <v>0</v>
      </c>
      <c r="G107" s="1">
        <f t="shared" si="12"/>
        <v>0</v>
      </c>
      <c r="H107" s="1">
        <f t="shared" si="13"/>
        <v>0</v>
      </c>
      <c r="I107" s="64">
        <f t="shared" si="14"/>
        <v>6</v>
      </c>
      <c r="K107" s="90" t="s">
        <v>480</v>
      </c>
      <c r="L107" s="1" t="s">
        <v>480</v>
      </c>
      <c r="M107" s="1" t="s">
        <v>480</v>
      </c>
      <c r="N107" s="1">
        <v>0</v>
      </c>
      <c r="O107" s="1" t="s">
        <v>480</v>
      </c>
      <c r="P107" s="1" t="s">
        <v>480</v>
      </c>
      <c r="Q107" s="1" t="s">
        <v>480</v>
      </c>
      <c r="R107" s="1" t="s">
        <v>480</v>
      </c>
      <c r="S107" s="1" t="s">
        <v>480</v>
      </c>
      <c r="T107" s="1" t="s">
        <v>480</v>
      </c>
      <c r="U107" s="1" t="s">
        <v>480</v>
      </c>
      <c r="V107" s="1" t="s">
        <v>480</v>
      </c>
      <c r="W107" s="1" t="s">
        <v>480</v>
      </c>
      <c r="X107" s="1" t="s">
        <v>480</v>
      </c>
      <c r="Y107" s="1" t="s">
        <v>480</v>
      </c>
      <c r="Z107" s="1" t="s">
        <v>480</v>
      </c>
      <c r="AA107" s="1" t="s">
        <v>480</v>
      </c>
      <c r="AB107" s="1" t="s">
        <v>480</v>
      </c>
      <c r="AC107" s="1" t="s">
        <v>480</v>
      </c>
      <c r="AD107" s="1" t="s">
        <v>480</v>
      </c>
      <c r="AE107" s="1" t="s">
        <v>480</v>
      </c>
      <c r="AF107" s="1" t="s">
        <v>480</v>
      </c>
      <c r="AG107" s="1" t="s">
        <v>480</v>
      </c>
      <c r="AH107" s="1">
        <v>0</v>
      </c>
      <c r="AI107" s="1">
        <v>0</v>
      </c>
      <c r="AJ107" s="1">
        <v>1</v>
      </c>
      <c r="AK107" s="1" t="s">
        <v>480</v>
      </c>
      <c r="AL107" s="1" t="s">
        <v>480</v>
      </c>
      <c r="AM107" s="1">
        <v>0</v>
      </c>
      <c r="AN107" s="1" t="s">
        <v>480</v>
      </c>
      <c r="AO107" s="1" t="s">
        <v>480</v>
      </c>
      <c r="AP107" s="1" t="s">
        <v>480</v>
      </c>
      <c r="AQ107" s="1" t="s">
        <v>480</v>
      </c>
      <c r="AR107" s="1" t="s">
        <v>480</v>
      </c>
      <c r="AS107" s="1" t="s">
        <v>480</v>
      </c>
      <c r="AT107" s="1">
        <f t="shared" si="15"/>
        <v>5</v>
      </c>
    </row>
    <row r="108" spans="1:46" x14ac:dyDescent="0.25">
      <c r="A108" s="1">
        <f>COUNTIF('Value Matchup'!$D$356:$D$423,'Team History'!B108)</f>
        <v>0</v>
      </c>
      <c r="B108" t="s">
        <v>27</v>
      </c>
      <c r="C108" s="1">
        <f t="shared" si="8"/>
        <v>1</v>
      </c>
      <c r="D108" s="1">
        <f t="shared" si="9"/>
        <v>0</v>
      </c>
      <c r="E108" s="1">
        <f t="shared" si="10"/>
        <v>0</v>
      </c>
      <c r="F108" s="1">
        <f t="shared" si="11"/>
        <v>0</v>
      </c>
      <c r="G108" s="1">
        <f t="shared" si="12"/>
        <v>0</v>
      </c>
      <c r="H108" s="1">
        <f t="shared" si="13"/>
        <v>0</v>
      </c>
      <c r="I108" s="64">
        <f t="shared" si="14"/>
        <v>7</v>
      </c>
      <c r="K108" s="90" t="s">
        <v>480</v>
      </c>
      <c r="L108" s="1" t="s">
        <v>480</v>
      </c>
      <c r="M108" s="1" t="s">
        <v>480</v>
      </c>
      <c r="N108" s="1">
        <v>0</v>
      </c>
      <c r="O108" s="1">
        <v>0</v>
      </c>
      <c r="P108" s="1" t="s">
        <v>480</v>
      </c>
      <c r="Q108" s="1" t="s">
        <v>480</v>
      </c>
      <c r="R108" s="1" t="s">
        <v>480</v>
      </c>
      <c r="S108" s="1">
        <v>0</v>
      </c>
      <c r="T108" s="1" t="s">
        <v>480</v>
      </c>
      <c r="U108" s="1" t="s">
        <v>480</v>
      </c>
      <c r="V108" s="1" t="s">
        <v>480</v>
      </c>
      <c r="W108" s="1" t="s">
        <v>480</v>
      </c>
      <c r="X108" s="1">
        <v>0</v>
      </c>
      <c r="Y108" s="1" t="s">
        <v>480</v>
      </c>
      <c r="Z108" s="1" t="s">
        <v>480</v>
      </c>
      <c r="AA108" s="1" t="s">
        <v>480</v>
      </c>
      <c r="AB108" s="1">
        <v>0</v>
      </c>
      <c r="AC108" s="1">
        <v>1</v>
      </c>
      <c r="AD108" s="1" t="s">
        <v>480</v>
      </c>
      <c r="AE108" s="1" t="s">
        <v>480</v>
      </c>
      <c r="AF108" s="1" t="s">
        <v>480</v>
      </c>
      <c r="AG108" s="1" t="s">
        <v>480</v>
      </c>
      <c r="AH108" s="1" t="s">
        <v>480</v>
      </c>
      <c r="AI108" s="1" t="s">
        <v>480</v>
      </c>
      <c r="AJ108" s="1" t="s">
        <v>480</v>
      </c>
      <c r="AK108" s="1" t="s">
        <v>480</v>
      </c>
      <c r="AL108" s="1" t="s">
        <v>480</v>
      </c>
      <c r="AM108" s="1" t="s">
        <v>480</v>
      </c>
      <c r="AN108" s="1" t="s">
        <v>480</v>
      </c>
      <c r="AO108" s="1" t="s">
        <v>480</v>
      </c>
      <c r="AP108" s="1" t="s">
        <v>480</v>
      </c>
      <c r="AQ108" s="1" t="s">
        <v>480</v>
      </c>
      <c r="AR108" s="1" t="s">
        <v>480</v>
      </c>
      <c r="AS108" s="1" t="s">
        <v>480</v>
      </c>
      <c r="AT108" s="1">
        <f t="shared" si="15"/>
        <v>6</v>
      </c>
    </row>
    <row r="109" spans="1:46" x14ac:dyDescent="0.25">
      <c r="A109" s="1">
        <f>COUNTIF('Value Matchup'!$D$356:$D$423,'Team History'!B109)</f>
        <v>1</v>
      </c>
      <c r="B109" t="s">
        <v>220</v>
      </c>
      <c r="C109" s="1">
        <f t="shared" si="8"/>
        <v>0</v>
      </c>
      <c r="D109" s="1">
        <f t="shared" si="9"/>
        <v>0</v>
      </c>
      <c r="E109" s="1">
        <f t="shared" si="10"/>
        <v>0</v>
      </c>
      <c r="F109" s="1">
        <f t="shared" si="11"/>
        <v>0</v>
      </c>
      <c r="G109" s="1">
        <f t="shared" si="12"/>
        <v>0</v>
      </c>
      <c r="H109" s="1">
        <f t="shared" si="13"/>
        <v>0</v>
      </c>
      <c r="I109" s="64">
        <f t="shared" si="14"/>
        <v>0</v>
      </c>
      <c r="K109" s="90" t="s">
        <v>480</v>
      </c>
      <c r="L109" s="1" t="s">
        <v>480</v>
      </c>
      <c r="M109" s="1" t="s">
        <v>480</v>
      </c>
      <c r="N109" s="1" t="s">
        <v>480</v>
      </c>
      <c r="O109" s="1" t="s">
        <v>480</v>
      </c>
      <c r="P109" s="1" t="s">
        <v>480</v>
      </c>
      <c r="Q109" s="1" t="s">
        <v>480</v>
      </c>
      <c r="R109" s="1" t="s">
        <v>480</v>
      </c>
      <c r="S109" s="1" t="s">
        <v>480</v>
      </c>
      <c r="T109" s="1" t="s">
        <v>480</v>
      </c>
      <c r="U109" s="1" t="s">
        <v>480</v>
      </c>
      <c r="V109" s="1" t="s">
        <v>480</v>
      </c>
      <c r="W109" s="1" t="s">
        <v>480</v>
      </c>
      <c r="X109" s="1" t="s">
        <v>480</v>
      </c>
      <c r="Y109" s="1" t="s">
        <v>480</v>
      </c>
      <c r="Z109" s="1" t="s">
        <v>480</v>
      </c>
      <c r="AA109" s="1" t="s">
        <v>480</v>
      </c>
      <c r="AB109" s="1" t="s">
        <v>480</v>
      </c>
      <c r="AC109" s="1" t="s">
        <v>480</v>
      </c>
      <c r="AD109" s="1" t="s">
        <v>480</v>
      </c>
      <c r="AE109" s="1" t="s">
        <v>480</v>
      </c>
      <c r="AF109" s="1" t="s">
        <v>480</v>
      </c>
      <c r="AG109" s="1" t="s">
        <v>480</v>
      </c>
      <c r="AH109" s="1" t="s">
        <v>480</v>
      </c>
      <c r="AI109" s="1" t="s">
        <v>480</v>
      </c>
      <c r="AJ109" s="1" t="s">
        <v>480</v>
      </c>
      <c r="AK109" s="1" t="s">
        <v>480</v>
      </c>
      <c r="AL109" s="1" t="s">
        <v>480</v>
      </c>
      <c r="AM109" s="1" t="s">
        <v>480</v>
      </c>
      <c r="AN109" s="1" t="s">
        <v>480</v>
      </c>
      <c r="AO109" s="1" t="s">
        <v>480</v>
      </c>
      <c r="AP109" s="1" t="s">
        <v>480</v>
      </c>
      <c r="AQ109" s="1" t="s">
        <v>480</v>
      </c>
      <c r="AR109" s="1" t="s">
        <v>480</v>
      </c>
      <c r="AS109" s="1" t="s">
        <v>480</v>
      </c>
      <c r="AT109" s="1">
        <f t="shared" si="15"/>
        <v>0</v>
      </c>
    </row>
    <row r="110" spans="1:46" x14ac:dyDescent="0.25">
      <c r="A110" s="1">
        <f>COUNTIF('Value Matchup'!$D$356:$D$423,'Team History'!B110)</f>
        <v>0</v>
      </c>
      <c r="B110" t="s">
        <v>43</v>
      </c>
      <c r="C110" s="1">
        <f t="shared" si="8"/>
        <v>2</v>
      </c>
      <c r="D110" s="1">
        <f t="shared" si="9"/>
        <v>0</v>
      </c>
      <c r="E110" s="1">
        <f t="shared" si="10"/>
        <v>0</v>
      </c>
      <c r="F110" s="1">
        <f t="shared" si="11"/>
        <v>0</v>
      </c>
      <c r="G110" s="1">
        <f t="shared" si="12"/>
        <v>0</v>
      </c>
      <c r="H110" s="1">
        <f t="shared" si="13"/>
        <v>0</v>
      </c>
      <c r="I110" s="64">
        <f t="shared" si="14"/>
        <v>8</v>
      </c>
      <c r="K110" s="90" t="s">
        <v>480</v>
      </c>
      <c r="L110" s="1" t="s">
        <v>480</v>
      </c>
      <c r="M110" s="1" t="s">
        <v>480</v>
      </c>
      <c r="N110" s="1" t="s">
        <v>480</v>
      </c>
      <c r="O110" s="1">
        <v>0</v>
      </c>
      <c r="P110" s="1">
        <v>1</v>
      </c>
      <c r="Q110" s="1">
        <v>1</v>
      </c>
      <c r="R110" s="1">
        <v>0</v>
      </c>
      <c r="S110" s="1" t="s">
        <v>480</v>
      </c>
      <c r="T110" s="1" t="s">
        <v>480</v>
      </c>
      <c r="U110" s="1" t="s">
        <v>480</v>
      </c>
      <c r="V110" s="1" t="s">
        <v>480</v>
      </c>
      <c r="W110" s="1" t="s">
        <v>480</v>
      </c>
      <c r="X110" s="1" t="s">
        <v>480</v>
      </c>
      <c r="Y110" s="1" t="s">
        <v>480</v>
      </c>
      <c r="Z110" s="1" t="s">
        <v>480</v>
      </c>
      <c r="AA110" s="1" t="s">
        <v>480</v>
      </c>
      <c r="AB110" s="1" t="s">
        <v>480</v>
      </c>
      <c r="AC110" s="1" t="s">
        <v>480</v>
      </c>
      <c r="AD110" s="1" t="s">
        <v>480</v>
      </c>
      <c r="AE110" s="1" t="s">
        <v>480</v>
      </c>
      <c r="AF110" s="1" t="s">
        <v>480</v>
      </c>
      <c r="AG110" s="1" t="s">
        <v>480</v>
      </c>
      <c r="AH110" s="1" t="s">
        <v>480</v>
      </c>
      <c r="AI110" s="1" t="s">
        <v>480</v>
      </c>
      <c r="AJ110" s="1" t="s">
        <v>480</v>
      </c>
      <c r="AK110" s="1" t="s">
        <v>480</v>
      </c>
      <c r="AL110" s="1" t="s">
        <v>480</v>
      </c>
      <c r="AM110" s="1" t="s">
        <v>480</v>
      </c>
      <c r="AN110" s="1" t="s">
        <v>480</v>
      </c>
      <c r="AO110" s="1" t="s">
        <v>480</v>
      </c>
      <c r="AP110" s="1" t="s">
        <v>480</v>
      </c>
      <c r="AQ110" s="1" t="s">
        <v>480</v>
      </c>
      <c r="AR110" s="1" t="s">
        <v>480</v>
      </c>
      <c r="AS110" s="1" t="s">
        <v>480</v>
      </c>
      <c r="AT110" s="1">
        <f t="shared" si="15"/>
        <v>4</v>
      </c>
    </row>
    <row r="111" spans="1:46" x14ac:dyDescent="0.25">
      <c r="A111" s="1">
        <f>COUNTIF('Value Matchup'!$D$356:$D$423,'Team History'!B111)</f>
        <v>0</v>
      </c>
      <c r="B111" t="s">
        <v>221</v>
      </c>
      <c r="C111" s="1">
        <f t="shared" si="8"/>
        <v>1</v>
      </c>
      <c r="D111" s="1">
        <f t="shared" si="9"/>
        <v>0</v>
      </c>
      <c r="E111" s="1">
        <f t="shared" si="10"/>
        <v>0</v>
      </c>
      <c r="F111" s="1">
        <f t="shared" si="11"/>
        <v>0</v>
      </c>
      <c r="G111" s="1">
        <f t="shared" si="12"/>
        <v>0</v>
      </c>
      <c r="H111" s="1">
        <f t="shared" si="13"/>
        <v>0</v>
      </c>
      <c r="I111" s="64">
        <f t="shared" si="14"/>
        <v>6</v>
      </c>
      <c r="K111" s="90" t="s">
        <v>480</v>
      </c>
      <c r="L111" s="1" t="s">
        <v>480</v>
      </c>
      <c r="M111" s="1" t="s">
        <v>480</v>
      </c>
      <c r="N111" s="1">
        <v>1</v>
      </c>
      <c r="O111" s="1" t="s">
        <v>480</v>
      </c>
      <c r="P111" s="1" t="s">
        <v>480</v>
      </c>
      <c r="Q111" s="1" t="s">
        <v>480</v>
      </c>
      <c r="R111" s="1" t="s">
        <v>480</v>
      </c>
      <c r="S111" s="1" t="s">
        <v>480</v>
      </c>
      <c r="T111" s="1" t="s">
        <v>480</v>
      </c>
      <c r="U111" s="1" t="s">
        <v>480</v>
      </c>
      <c r="V111" s="1" t="s">
        <v>480</v>
      </c>
      <c r="W111" s="1" t="s">
        <v>480</v>
      </c>
      <c r="X111" s="1" t="s">
        <v>480</v>
      </c>
      <c r="Y111" s="1" t="s">
        <v>480</v>
      </c>
      <c r="Z111" s="1" t="s">
        <v>480</v>
      </c>
      <c r="AA111" s="1" t="s">
        <v>480</v>
      </c>
      <c r="AB111" s="1">
        <v>0</v>
      </c>
      <c r="AC111" s="1">
        <v>0</v>
      </c>
      <c r="AD111" s="1" t="s">
        <v>480</v>
      </c>
      <c r="AE111" s="1" t="s">
        <v>480</v>
      </c>
      <c r="AF111" s="1" t="s">
        <v>480</v>
      </c>
      <c r="AG111" s="1" t="s">
        <v>480</v>
      </c>
      <c r="AH111" s="1" t="s">
        <v>480</v>
      </c>
      <c r="AI111" s="1" t="s">
        <v>480</v>
      </c>
      <c r="AJ111" s="1">
        <v>0</v>
      </c>
      <c r="AK111" s="1" t="s">
        <v>480</v>
      </c>
      <c r="AL111" s="1" t="s">
        <v>480</v>
      </c>
      <c r="AM111" s="1" t="s">
        <v>480</v>
      </c>
      <c r="AN111" s="1" t="s">
        <v>480</v>
      </c>
      <c r="AO111" s="1" t="s">
        <v>480</v>
      </c>
      <c r="AP111" s="1" t="s">
        <v>480</v>
      </c>
      <c r="AQ111" s="1" t="s">
        <v>480</v>
      </c>
      <c r="AR111" s="1" t="s">
        <v>480</v>
      </c>
      <c r="AS111" s="1" t="s">
        <v>480</v>
      </c>
      <c r="AT111" s="1">
        <f t="shared" si="15"/>
        <v>4</v>
      </c>
    </row>
    <row r="112" spans="1:46" x14ac:dyDescent="0.25">
      <c r="A112" s="1">
        <f>COUNTIF('Value Matchup'!$D$356:$D$423,'Team History'!B112)</f>
        <v>0</v>
      </c>
      <c r="B112" t="s">
        <v>222</v>
      </c>
      <c r="C112" s="1">
        <f t="shared" si="8"/>
        <v>0</v>
      </c>
      <c r="D112" s="1">
        <f t="shared" si="9"/>
        <v>0</v>
      </c>
      <c r="E112" s="1">
        <f t="shared" si="10"/>
        <v>0</v>
      </c>
      <c r="F112" s="1">
        <f t="shared" si="11"/>
        <v>0</v>
      </c>
      <c r="G112" s="1">
        <f t="shared" si="12"/>
        <v>0</v>
      </c>
      <c r="H112" s="1">
        <f t="shared" si="13"/>
        <v>0</v>
      </c>
      <c r="I112" s="64">
        <f t="shared" si="14"/>
        <v>0</v>
      </c>
      <c r="K112" s="90" t="s">
        <v>480</v>
      </c>
      <c r="L112" s="1" t="s">
        <v>480</v>
      </c>
      <c r="M112" s="1" t="s">
        <v>480</v>
      </c>
      <c r="N112" s="1" t="s">
        <v>480</v>
      </c>
      <c r="O112" s="1" t="s">
        <v>480</v>
      </c>
      <c r="P112" s="1" t="s">
        <v>480</v>
      </c>
      <c r="Q112" s="1" t="s">
        <v>480</v>
      </c>
      <c r="R112" s="1" t="s">
        <v>480</v>
      </c>
      <c r="S112" s="1" t="s">
        <v>480</v>
      </c>
      <c r="T112" s="1" t="s">
        <v>480</v>
      </c>
      <c r="U112" s="1" t="s">
        <v>480</v>
      </c>
      <c r="V112" s="1" t="s">
        <v>480</v>
      </c>
      <c r="W112" s="1" t="s">
        <v>480</v>
      </c>
      <c r="X112" s="1" t="s">
        <v>480</v>
      </c>
      <c r="Y112" s="1" t="s">
        <v>480</v>
      </c>
      <c r="Z112" s="1" t="s">
        <v>480</v>
      </c>
      <c r="AA112" s="1" t="s">
        <v>480</v>
      </c>
      <c r="AB112" s="1" t="s">
        <v>480</v>
      </c>
      <c r="AC112" s="1" t="s">
        <v>480</v>
      </c>
      <c r="AD112" s="1" t="s">
        <v>480</v>
      </c>
      <c r="AE112" s="1" t="s">
        <v>480</v>
      </c>
      <c r="AF112" s="1" t="s">
        <v>480</v>
      </c>
      <c r="AG112" s="1" t="s">
        <v>480</v>
      </c>
      <c r="AH112" s="1" t="s">
        <v>480</v>
      </c>
      <c r="AI112" s="1" t="s">
        <v>480</v>
      </c>
      <c r="AJ112" s="1" t="s">
        <v>480</v>
      </c>
      <c r="AK112" s="1" t="s">
        <v>480</v>
      </c>
      <c r="AL112" s="1" t="s">
        <v>480</v>
      </c>
      <c r="AM112" s="1" t="s">
        <v>480</v>
      </c>
      <c r="AN112" s="1" t="s">
        <v>480</v>
      </c>
      <c r="AO112" s="1" t="s">
        <v>480</v>
      </c>
      <c r="AP112" s="1" t="s">
        <v>480</v>
      </c>
      <c r="AQ112" s="1" t="s">
        <v>480</v>
      </c>
      <c r="AR112" s="1" t="s">
        <v>480</v>
      </c>
      <c r="AS112" s="1" t="s">
        <v>480</v>
      </c>
      <c r="AT112" s="1">
        <f t="shared" si="15"/>
        <v>0</v>
      </c>
    </row>
    <row r="113" spans="1:46" x14ac:dyDescent="0.25">
      <c r="A113" s="1">
        <f>COUNTIF('Value Matchup'!$D$356:$D$423,'Team History'!B113)</f>
        <v>0</v>
      </c>
      <c r="B113" t="s">
        <v>223</v>
      </c>
      <c r="C113" s="1">
        <f t="shared" si="8"/>
        <v>0</v>
      </c>
      <c r="D113" s="1">
        <f t="shared" si="9"/>
        <v>0</v>
      </c>
      <c r="E113" s="1">
        <f t="shared" si="10"/>
        <v>0</v>
      </c>
      <c r="F113" s="1">
        <f t="shared" si="11"/>
        <v>0</v>
      </c>
      <c r="G113" s="1">
        <f t="shared" si="12"/>
        <v>0</v>
      </c>
      <c r="H113" s="1">
        <f t="shared" si="13"/>
        <v>0</v>
      </c>
      <c r="I113" s="64">
        <f t="shared" si="14"/>
        <v>2</v>
      </c>
      <c r="K113" s="90" t="s">
        <v>480</v>
      </c>
      <c r="L113" s="1" t="s">
        <v>480</v>
      </c>
      <c r="M113" s="1" t="s">
        <v>480</v>
      </c>
      <c r="N113" s="1" t="s">
        <v>480</v>
      </c>
      <c r="O113" s="1" t="s">
        <v>480</v>
      </c>
      <c r="P113" s="1" t="s">
        <v>480</v>
      </c>
      <c r="Q113" s="1" t="s">
        <v>480</v>
      </c>
      <c r="R113" s="1" t="s">
        <v>480</v>
      </c>
      <c r="S113" s="1" t="s">
        <v>480</v>
      </c>
      <c r="T113" s="1" t="s">
        <v>480</v>
      </c>
      <c r="U113" s="1" t="s">
        <v>480</v>
      </c>
      <c r="V113" s="1" t="s">
        <v>480</v>
      </c>
      <c r="W113" s="1" t="s">
        <v>480</v>
      </c>
      <c r="X113" s="1" t="s">
        <v>480</v>
      </c>
      <c r="Y113" s="1" t="s">
        <v>480</v>
      </c>
      <c r="Z113" s="1" t="s">
        <v>480</v>
      </c>
      <c r="AA113" s="1" t="s">
        <v>480</v>
      </c>
      <c r="AB113" s="1" t="s">
        <v>480</v>
      </c>
      <c r="AC113" s="1">
        <v>0</v>
      </c>
      <c r="AD113" s="1">
        <v>0</v>
      </c>
      <c r="AE113" s="1" t="s">
        <v>480</v>
      </c>
      <c r="AF113" s="1" t="s">
        <v>480</v>
      </c>
      <c r="AG113" s="1" t="s">
        <v>480</v>
      </c>
      <c r="AH113" s="1" t="s">
        <v>480</v>
      </c>
      <c r="AI113" s="1" t="s">
        <v>480</v>
      </c>
      <c r="AJ113" s="1" t="s">
        <v>480</v>
      </c>
      <c r="AK113" s="1" t="s">
        <v>480</v>
      </c>
      <c r="AL113" s="1" t="s">
        <v>480</v>
      </c>
      <c r="AM113" s="1" t="s">
        <v>480</v>
      </c>
      <c r="AN113" s="1" t="s">
        <v>480</v>
      </c>
      <c r="AO113" s="1" t="s">
        <v>480</v>
      </c>
      <c r="AP113" s="1" t="s">
        <v>480</v>
      </c>
      <c r="AQ113" s="1" t="s">
        <v>480</v>
      </c>
      <c r="AR113" s="1" t="s">
        <v>480</v>
      </c>
      <c r="AS113" s="1" t="s">
        <v>480</v>
      </c>
      <c r="AT113" s="1">
        <f t="shared" si="15"/>
        <v>2</v>
      </c>
    </row>
    <row r="114" spans="1:46" x14ac:dyDescent="0.25">
      <c r="A114" s="1">
        <f>COUNTIF('Value Matchup'!$D$356:$D$423,'Team History'!B114)</f>
        <v>0</v>
      </c>
      <c r="B114" t="s">
        <v>224</v>
      </c>
      <c r="C114" s="1">
        <f t="shared" si="8"/>
        <v>0</v>
      </c>
      <c r="D114" s="1">
        <f t="shared" si="9"/>
        <v>0</v>
      </c>
      <c r="E114" s="1">
        <f t="shared" si="10"/>
        <v>0</v>
      </c>
      <c r="F114" s="1">
        <f t="shared" si="11"/>
        <v>0</v>
      </c>
      <c r="G114" s="1">
        <f t="shared" si="12"/>
        <v>0</v>
      </c>
      <c r="H114" s="1">
        <f t="shared" si="13"/>
        <v>0</v>
      </c>
      <c r="I114" s="64">
        <f t="shared" si="14"/>
        <v>6</v>
      </c>
      <c r="K114" s="90" t="s">
        <v>480</v>
      </c>
      <c r="L114" s="1" t="s">
        <v>480</v>
      </c>
      <c r="M114" s="1" t="s">
        <v>480</v>
      </c>
      <c r="N114" s="1">
        <v>0</v>
      </c>
      <c r="O114" s="1" t="s">
        <v>480</v>
      </c>
      <c r="P114" s="1" t="s">
        <v>480</v>
      </c>
      <c r="Q114" s="1" t="s">
        <v>480</v>
      </c>
      <c r="R114" s="1" t="s">
        <v>480</v>
      </c>
      <c r="S114" s="1" t="s">
        <v>480</v>
      </c>
      <c r="T114" s="1" t="s">
        <v>480</v>
      </c>
      <c r="U114" s="1" t="s">
        <v>480</v>
      </c>
      <c r="V114" s="1" t="s">
        <v>480</v>
      </c>
      <c r="W114" s="1">
        <v>0</v>
      </c>
      <c r="X114" s="1" t="s">
        <v>480</v>
      </c>
      <c r="Y114" s="1" t="s">
        <v>480</v>
      </c>
      <c r="Z114" s="1" t="s">
        <v>480</v>
      </c>
      <c r="AA114" s="1">
        <v>0</v>
      </c>
      <c r="AB114" s="1">
        <v>0</v>
      </c>
      <c r="AC114" s="1">
        <v>0</v>
      </c>
      <c r="AD114" s="1" t="s">
        <v>480</v>
      </c>
      <c r="AE114" s="1" t="s">
        <v>480</v>
      </c>
      <c r="AF114" s="1" t="s">
        <v>480</v>
      </c>
      <c r="AG114" s="1" t="s">
        <v>480</v>
      </c>
      <c r="AH114" s="1" t="s">
        <v>480</v>
      </c>
      <c r="AI114" s="1" t="s">
        <v>480</v>
      </c>
      <c r="AJ114" s="1" t="s">
        <v>480</v>
      </c>
      <c r="AK114" s="1">
        <v>0</v>
      </c>
      <c r="AL114" s="1" t="s">
        <v>480</v>
      </c>
      <c r="AM114" s="1" t="s">
        <v>480</v>
      </c>
      <c r="AN114" s="1" t="s">
        <v>480</v>
      </c>
      <c r="AO114" s="1" t="s">
        <v>480</v>
      </c>
      <c r="AP114" s="1" t="s">
        <v>480</v>
      </c>
      <c r="AQ114" s="1" t="s">
        <v>480</v>
      </c>
      <c r="AR114" s="1" t="s">
        <v>480</v>
      </c>
      <c r="AS114" s="1" t="s">
        <v>480</v>
      </c>
      <c r="AT114" s="1">
        <f t="shared" si="15"/>
        <v>6</v>
      </c>
    </row>
    <row r="115" spans="1:46" x14ac:dyDescent="0.25">
      <c r="A115" s="1">
        <f>COUNTIF('Value Matchup'!$D$356:$D$423,'Team History'!B115)</f>
        <v>1</v>
      </c>
      <c r="B115" t="s">
        <v>225</v>
      </c>
      <c r="C115" s="1">
        <f t="shared" si="8"/>
        <v>2</v>
      </c>
      <c r="D115" s="1">
        <f t="shared" si="9"/>
        <v>1</v>
      </c>
      <c r="E115" s="1">
        <f t="shared" si="10"/>
        <v>0</v>
      </c>
      <c r="F115" s="1">
        <f t="shared" si="11"/>
        <v>0</v>
      </c>
      <c r="G115" s="1">
        <f t="shared" si="12"/>
        <v>0</v>
      </c>
      <c r="H115" s="1">
        <f t="shared" si="13"/>
        <v>0</v>
      </c>
      <c r="I115" s="64">
        <f t="shared" si="14"/>
        <v>12</v>
      </c>
      <c r="K115" s="90">
        <v>2</v>
      </c>
      <c r="L115" s="1">
        <v>1</v>
      </c>
      <c r="M115" s="1" t="s">
        <v>480</v>
      </c>
      <c r="N115" s="1" t="s">
        <v>480</v>
      </c>
      <c r="O115" s="1" t="s">
        <v>480</v>
      </c>
      <c r="P115" s="1" t="s">
        <v>480</v>
      </c>
      <c r="Q115" s="1" t="s">
        <v>480</v>
      </c>
      <c r="R115" s="1" t="s">
        <v>480</v>
      </c>
      <c r="S115" s="1" t="s">
        <v>480</v>
      </c>
      <c r="T115" s="1">
        <v>0</v>
      </c>
      <c r="U115" s="1" t="s">
        <v>480</v>
      </c>
      <c r="V115" s="1" t="s">
        <v>480</v>
      </c>
      <c r="W115" s="1" t="s">
        <v>480</v>
      </c>
      <c r="X115" s="1" t="s">
        <v>480</v>
      </c>
      <c r="Y115" s="1" t="s">
        <v>480</v>
      </c>
      <c r="Z115" s="1" t="s">
        <v>480</v>
      </c>
      <c r="AA115" s="1" t="s">
        <v>480</v>
      </c>
      <c r="AB115" s="1" t="s">
        <v>480</v>
      </c>
      <c r="AC115" s="1" t="s">
        <v>480</v>
      </c>
      <c r="AD115" s="1" t="s">
        <v>480</v>
      </c>
      <c r="AE115" s="1" t="s">
        <v>480</v>
      </c>
      <c r="AF115" s="1" t="s">
        <v>480</v>
      </c>
      <c r="AG115" s="1" t="s">
        <v>480</v>
      </c>
      <c r="AH115" s="1" t="s">
        <v>480</v>
      </c>
      <c r="AI115" s="1" t="s">
        <v>480</v>
      </c>
      <c r="AJ115" s="1" t="s">
        <v>480</v>
      </c>
      <c r="AK115" s="1" t="s">
        <v>480</v>
      </c>
      <c r="AL115" s="1">
        <v>0</v>
      </c>
      <c r="AM115" s="1" t="s">
        <v>480</v>
      </c>
      <c r="AN115" s="1">
        <v>0</v>
      </c>
      <c r="AO115" s="1" t="s">
        <v>480</v>
      </c>
      <c r="AP115" s="1" t="s">
        <v>480</v>
      </c>
      <c r="AQ115" s="1">
        <v>0</v>
      </c>
      <c r="AR115" s="1" t="s">
        <v>480</v>
      </c>
      <c r="AS115" s="1" t="s">
        <v>480</v>
      </c>
      <c r="AT115" s="1">
        <f t="shared" si="15"/>
        <v>6</v>
      </c>
    </row>
    <row r="116" spans="1:46" x14ac:dyDescent="0.25">
      <c r="A116" s="1">
        <f>COUNTIF('Value Matchup'!$D$356:$D$423,'Team History'!B116)</f>
        <v>0</v>
      </c>
      <c r="B116" t="s">
        <v>226</v>
      </c>
      <c r="C116" s="1">
        <f t="shared" si="8"/>
        <v>0</v>
      </c>
      <c r="D116" s="1">
        <f t="shared" si="9"/>
        <v>0</v>
      </c>
      <c r="E116" s="1">
        <f t="shared" si="10"/>
        <v>0</v>
      </c>
      <c r="F116" s="1">
        <f t="shared" si="11"/>
        <v>0</v>
      </c>
      <c r="G116" s="1">
        <f t="shared" si="12"/>
        <v>0</v>
      </c>
      <c r="H116" s="1">
        <f t="shared" si="13"/>
        <v>0</v>
      </c>
      <c r="I116" s="64">
        <f t="shared" si="14"/>
        <v>0</v>
      </c>
      <c r="K116" s="90" t="s">
        <v>480</v>
      </c>
      <c r="L116" s="1" t="s">
        <v>480</v>
      </c>
      <c r="M116" s="1" t="s">
        <v>480</v>
      </c>
      <c r="N116" s="1" t="s">
        <v>480</v>
      </c>
      <c r="O116" s="1" t="s">
        <v>480</v>
      </c>
      <c r="P116" s="1" t="s">
        <v>480</v>
      </c>
      <c r="Q116" s="1" t="s">
        <v>480</v>
      </c>
      <c r="R116" s="1" t="s">
        <v>480</v>
      </c>
      <c r="S116" s="1" t="s">
        <v>480</v>
      </c>
      <c r="T116" s="1" t="s">
        <v>480</v>
      </c>
      <c r="U116" s="1" t="s">
        <v>480</v>
      </c>
      <c r="V116" s="1" t="s">
        <v>480</v>
      </c>
      <c r="W116" s="1" t="s">
        <v>480</v>
      </c>
      <c r="X116" s="1" t="s">
        <v>480</v>
      </c>
      <c r="Y116" s="1" t="s">
        <v>480</v>
      </c>
      <c r="Z116" s="1" t="s">
        <v>480</v>
      </c>
      <c r="AA116" s="1" t="s">
        <v>480</v>
      </c>
      <c r="AB116" s="1" t="s">
        <v>480</v>
      </c>
      <c r="AC116" s="1" t="s">
        <v>480</v>
      </c>
      <c r="AD116" s="1" t="s">
        <v>480</v>
      </c>
      <c r="AE116" s="1" t="s">
        <v>480</v>
      </c>
      <c r="AF116" s="1" t="s">
        <v>480</v>
      </c>
      <c r="AG116" s="1" t="s">
        <v>480</v>
      </c>
      <c r="AH116" s="1" t="s">
        <v>480</v>
      </c>
      <c r="AI116" s="1" t="s">
        <v>480</v>
      </c>
      <c r="AJ116" s="1" t="s">
        <v>480</v>
      </c>
      <c r="AK116" s="1" t="s">
        <v>480</v>
      </c>
      <c r="AL116" s="1" t="s">
        <v>480</v>
      </c>
      <c r="AM116" s="1" t="s">
        <v>480</v>
      </c>
      <c r="AN116" s="1" t="s">
        <v>480</v>
      </c>
      <c r="AO116" s="1" t="s">
        <v>480</v>
      </c>
      <c r="AP116" s="1" t="s">
        <v>480</v>
      </c>
      <c r="AQ116" s="1" t="s">
        <v>480</v>
      </c>
      <c r="AR116" s="1" t="s">
        <v>480</v>
      </c>
      <c r="AS116" s="1" t="s">
        <v>480</v>
      </c>
      <c r="AT116" s="1">
        <f t="shared" si="15"/>
        <v>0</v>
      </c>
    </row>
    <row r="117" spans="1:46" x14ac:dyDescent="0.25">
      <c r="A117" s="1">
        <f>COUNTIF('Value Matchup'!$D$356:$D$423,'Team History'!B117)</f>
        <v>0</v>
      </c>
      <c r="B117" t="s">
        <v>227</v>
      </c>
      <c r="C117" s="1">
        <f t="shared" si="8"/>
        <v>0</v>
      </c>
      <c r="D117" s="1">
        <f t="shared" si="9"/>
        <v>0</v>
      </c>
      <c r="E117" s="1">
        <f t="shared" si="10"/>
        <v>0</v>
      </c>
      <c r="F117" s="1">
        <f t="shared" si="11"/>
        <v>0</v>
      </c>
      <c r="G117" s="1">
        <f t="shared" si="12"/>
        <v>0</v>
      </c>
      <c r="H117" s="1">
        <f t="shared" si="13"/>
        <v>0</v>
      </c>
      <c r="I117" s="64">
        <f t="shared" si="14"/>
        <v>1</v>
      </c>
      <c r="K117" s="90" t="s">
        <v>480</v>
      </c>
      <c r="L117" s="1" t="s">
        <v>480</v>
      </c>
      <c r="M117" s="1" t="s">
        <v>480</v>
      </c>
      <c r="N117" s="1" t="s">
        <v>480</v>
      </c>
      <c r="O117" s="1" t="s">
        <v>480</v>
      </c>
      <c r="P117" s="1" t="s">
        <v>480</v>
      </c>
      <c r="Q117" s="1" t="s">
        <v>480</v>
      </c>
      <c r="R117" s="1" t="s">
        <v>480</v>
      </c>
      <c r="S117" s="1" t="s">
        <v>480</v>
      </c>
      <c r="T117" s="1" t="s">
        <v>480</v>
      </c>
      <c r="U117" s="1" t="s">
        <v>480</v>
      </c>
      <c r="V117" s="1" t="s">
        <v>480</v>
      </c>
      <c r="W117" s="1" t="s">
        <v>480</v>
      </c>
      <c r="X117" s="1" t="s">
        <v>480</v>
      </c>
      <c r="Y117" s="1" t="s">
        <v>480</v>
      </c>
      <c r="Z117" s="1" t="s">
        <v>480</v>
      </c>
      <c r="AA117" s="1" t="s">
        <v>480</v>
      </c>
      <c r="AB117" s="1" t="s">
        <v>480</v>
      </c>
      <c r="AC117" s="1" t="s">
        <v>480</v>
      </c>
      <c r="AD117" s="1" t="s">
        <v>480</v>
      </c>
      <c r="AE117" s="1" t="s">
        <v>480</v>
      </c>
      <c r="AF117" s="1" t="s">
        <v>480</v>
      </c>
      <c r="AG117" s="1" t="s">
        <v>480</v>
      </c>
      <c r="AH117" s="1" t="s">
        <v>480</v>
      </c>
      <c r="AI117" s="1" t="s">
        <v>480</v>
      </c>
      <c r="AJ117" s="1" t="s">
        <v>480</v>
      </c>
      <c r="AK117" s="1" t="s">
        <v>480</v>
      </c>
      <c r="AL117" s="1">
        <v>0</v>
      </c>
      <c r="AM117" s="1" t="s">
        <v>480</v>
      </c>
      <c r="AN117" s="1" t="s">
        <v>480</v>
      </c>
      <c r="AO117" s="1" t="s">
        <v>480</v>
      </c>
      <c r="AP117" s="1" t="s">
        <v>480</v>
      </c>
      <c r="AQ117" s="1" t="s">
        <v>480</v>
      </c>
      <c r="AR117" s="1" t="s">
        <v>480</v>
      </c>
      <c r="AS117" s="1" t="s">
        <v>480</v>
      </c>
      <c r="AT117" s="1">
        <f t="shared" si="15"/>
        <v>1</v>
      </c>
    </row>
    <row r="118" spans="1:46" x14ac:dyDescent="0.25">
      <c r="A118" s="1">
        <f>COUNTIF('Value Matchup'!$D$356:$D$423,'Team History'!B118)</f>
        <v>0</v>
      </c>
      <c r="B118" t="s">
        <v>228</v>
      </c>
      <c r="C118" s="1">
        <f t="shared" si="8"/>
        <v>0</v>
      </c>
      <c r="D118" s="1">
        <f t="shared" si="9"/>
        <v>0</v>
      </c>
      <c r="E118" s="1">
        <f t="shared" si="10"/>
        <v>0</v>
      </c>
      <c r="F118" s="1">
        <f t="shared" si="11"/>
        <v>0</v>
      </c>
      <c r="G118" s="1">
        <f t="shared" si="12"/>
        <v>0</v>
      </c>
      <c r="H118" s="1">
        <f t="shared" si="13"/>
        <v>0</v>
      </c>
      <c r="I118" s="64">
        <f t="shared" si="14"/>
        <v>2</v>
      </c>
      <c r="K118" s="90" t="s">
        <v>480</v>
      </c>
      <c r="L118" s="1" t="s">
        <v>480</v>
      </c>
      <c r="M118" s="1" t="s">
        <v>480</v>
      </c>
      <c r="N118" s="1" t="s">
        <v>480</v>
      </c>
      <c r="O118" s="1" t="s">
        <v>480</v>
      </c>
      <c r="P118" s="1" t="s">
        <v>480</v>
      </c>
      <c r="Q118" s="1" t="s">
        <v>480</v>
      </c>
      <c r="R118" s="1" t="s">
        <v>480</v>
      </c>
      <c r="S118" s="1" t="s">
        <v>480</v>
      </c>
      <c r="T118" s="1" t="s">
        <v>480</v>
      </c>
      <c r="U118" s="1" t="s">
        <v>480</v>
      </c>
      <c r="V118" s="1" t="s">
        <v>480</v>
      </c>
      <c r="W118" s="1" t="s">
        <v>480</v>
      </c>
      <c r="X118" s="1" t="s">
        <v>480</v>
      </c>
      <c r="Y118" s="1" t="s">
        <v>480</v>
      </c>
      <c r="Z118" s="1" t="s">
        <v>480</v>
      </c>
      <c r="AA118" s="1" t="s">
        <v>480</v>
      </c>
      <c r="AB118" s="1" t="s">
        <v>480</v>
      </c>
      <c r="AC118" s="1" t="s">
        <v>480</v>
      </c>
      <c r="AD118" s="1" t="s">
        <v>480</v>
      </c>
      <c r="AE118" s="1" t="s">
        <v>480</v>
      </c>
      <c r="AF118" s="1" t="s">
        <v>480</v>
      </c>
      <c r="AG118" s="1" t="s">
        <v>480</v>
      </c>
      <c r="AH118" s="1" t="s">
        <v>480</v>
      </c>
      <c r="AI118" s="1" t="s">
        <v>480</v>
      </c>
      <c r="AJ118" s="1" t="s">
        <v>480</v>
      </c>
      <c r="AK118" s="1" t="s">
        <v>480</v>
      </c>
      <c r="AL118" s="1" t="s">
        <v>480</v>
      </c>
      <c r="AM118" s="1" t="s">
        <v>480</v>
      </c>
      <c r="AN118" s="1">
        <v>0</v>
      </c>
      <c r="AO118" s="1">
        <v>0</v>
      </c>
      <c r="AP118" s="1" t="s">
        <v>480</v>
      </c>
      <c r="AQ118" s="1" t="s">
        <v>480</v>
      </c>
      <c r="AR118" s="1" t="s">
        <v>480</v>
      </c>
      <c r="AS118" s="1" t="s">
        <v>480</v>
      </c>
      <c r="AT118" s="1">
        <f t="shared" si="15"/>
        <v>2</v>
      </c>
    </row>
    <row r="119" spans="1:46" x14ac:dyDescent="0.25">
      <c r="A119" s="1">
        <f>COUNTIF('Value Matchup'!$D$356:$D$423,'Team History'!B119)</f>
        <v>0</v>
      </c>
      <c r="B119" t="s">
        <v>229</v>
      </c>
      <c r="C119" s="1">
        <f t="shared" si="8"/>
        <v>0</v>
      </c>
      <c r="D119" s="1">
        <f t="shared" si="9"/>
        <v>0</v>
      </c>
      <c r="E119" s="1">
        <f t="shared" si="10"/>
        <v>0</v>
      </c>
      <c r="F119" s="1">
        <f t="shared" si="11"/>
        <v>0</v>
      </c>
      <c r="G119" s="1">
        <f t="shared" si="12"/>
        <v>0</v>
      </c>
      <c r="H119" s="1">
        <f t="shared" si="13"/>
        <v>0</v>
      </c>
      <c r="I119" s="64">
        <f t="shared" si="14"/>
        <v>1</v>
      </c>
      <c r="K119" s="90" t="s">
        <v>480</v>
      </c>
      <c r="L119" s="1" t="s">
        <v>480</v>
      </c>
      <c r="M119" s="1" t="s">
        <v>480</v>
      </c>
      <c r="N119" s="1" t="s">
        <v>480</v>
      </c>
      <c r="O119" s="1" t="s">
        <v>480</v>
      </c>
      <c r="P119" s="1" t="s">
        <v>480</v>
      </c>
      <c r="Q119" s="1" t="s">
        <v>480</v>
      </c>
      <c r="R119" s="1" t="s">
        <v>480</v>
      </c>
      <c r="S119" s="1" t="s">
        <v>480</v>
      </c>
      <c r="T119" s="1" t="s">
        <v>480</v>
      </c>
      <c r="U119" s="1" t="s">
        <v>480</v>
      </c>
      <c r="V119" s="1" t="s">
        <v>480</v>
      </c>
      <c r="W119" s="1" t="s">
        <v>480</v>
      </c>
      <c r="X119" s="1" t="s">
        <v>480</v>
      </c>
      <c r="Y119" s="1" t="s">
        <v>480</v>
      </c>
      <c r="Z119" s="1" t="s">
        <v>480</v>
      </c>
      <c r="AA119" s="1" t="s">
        <v>480</v>
      </c>
      <c r="AB119" s="1" t="s">
        <v>480</v>
      </c>
      <c r="AC119" s="1" t="s">
        <v>480</v>
      </c>
      <c r="AD119" s="1" t="s">
        <v>480</v>
      </c>
      <c r="AE119" s="1" t="s">
        <v>480</v>
      </c>
      <c r="AF119" s="1" t="s">
        <v>480</v>
      </c>
      <c r="AG119" s="1" t="s">
        <v>480</v>
      </c>
      <c r="AH119" s="1" t="s">
        <v>480</v>
      </c>
      <c r="AI119" s="1" t="s">
        <v>480</v>
      </c>
      <c r="AJ119" s="1" t="s">
        <v>480</v>
      </c>
      <c r="AK119" s="1" t="s">
        <v>480</v>
      </c>
      <c r="AL119" s="1" t="s">
        <v>480</v>
      </c>
      <c r="AM119" s="1" t="s">
        <v>480</v>
      </c>
      <c r="AN119" s="1" t="s">
        <v>480</v>
      </c>
      <c r="AO119" s="1" t="s">
        <v>480</v>
      </c>
      <c r="AP119" s="1" t="s">
        <v>480</v>
      </c>
      <c r="AQ119" s="1">
        <v>0</v>
      </c>
      <c r="AR119" s="1" t="s">
        <v>480</v>
      </c>
      <c r="AS119" s="1" t="s">
        <v>480</v>
      </c>
      <c r="AT119" s="1">
        <f t="shared" si="15"/>
        <v>1</v>
      </c>
    </row>
    <row r="120" spans="1:46" x14ac:dyDescent="0.25">
      <c r="A120" s="1">
        <f>COUNTIF('Value Matchup'!$D$356:$D$423,'Team History'!B120)</f>
        <v>1</v>
      </c>
      <c r="B120" t="s">
        <v>230</v>
      </c>
      <c r="C120" s="1">
        <f t="shared" si="8"/>
        <v>16</v>
      </c>
      <c r="D120" s="1">
        <f t="shared" si="9"/>
        <v>6</v>
      </c>
      <c r="E120" s="1">
        <f t="shared" si="10"/>
        <v>3</v>
      </c>
      <c r="F120" s="1">
        <f t="shared" si="11"/>
        <v>2</v>
      </c>
      <c r="G120" s="1">
        <f t="shared" si="12"/>
        <v>1</v>
      </c>
      <c r="H120" s="1">
        <f t="shared" si="13"/>
        <v>0</v>
      </c>
      <c r="I120" s="64">
        <f t="shared" si="14"/>
        <v>52</v>
      </c>
      <c r="K120" s="90" t="s">
        <v>480</v>
      </c>
      <c r="L120" s="1" t="s">
        <v>480</v>
      </c>
      <c r="M120" s="1" t="s">
        <v>480</v>
      </c>
      <c r="N120" s="1" t="s">
        <v>480</v>
      </c>
      <c r="O120" s="1" t="s">
        <v>480</v>
      </c>
      <c r="P120" s="1" t="s">
        <v>480</v>
      </c>
      <c r="Q120" s="1">
        <v>1</v>
      </c>
      <c r="R120" s="1" t="s">
        <v>480</v>
      </c>
      <c r="S120" s="1">
        <v>1</v>
      </c>
      <c r="T120" s="1" t="s">
        <v>480</v>
      </c>
      <c r="U120" s="1">
        <v>0</v>
      </c>
      <c r="V120" s="1" t="s">
        <v>480</v>
      </c>
      <c r="W120" s="1">
        <v>0</v>
      </c>
      <c r="X120" s="1">
        <v>1</v>
      </c>
      <c r="Y120" s="1">
        <v>5</v>
      </c>
      <c r="Z120" s="1">
        <v>2</v>
      </c>
      <c r="AA120" s="1">
        <v>1</v>
      </c>
      <c r="AB120" s="1">
        <v>2</v>
      </c>
      <c r="AC120" s="1">
        <v>3</v>
      </c>
      <c r="AD120" s="1">
        <v>1</v>
      </c>
      <c r="AE120" s="1" t="s">
        <v>480</v>
      </c>
      <c r="AF120" s="1">
        <v>1</v>
      </c>
      <c r="AG120" s="1">
        <v>1</v>
      </c>
      <c r="AH120" s="1" t="s">
        <v>480</v>
      </c>
      <c r="AI120" s="1">
        <v>0</v>
      </c>
      <c r="AJ120" s="1">
        <v>0</v>
      </c>
      <c r="AK120" s="1">
        <v>1</v>
      </c>
      <c r="AL120" s="1" t="s">
        <v>480</v>
      </c>
      <c r="AM120" s="1" t="s">
        <v>480</v>
      </c>
      <c r="AN120" s="1">
        <v>0</v>
      </c>
      <c r="AO120" s="1">
        <v>4</v>
      </c>
      <c r="AP120" s="1">
        <v>1</v>
      </c>
      <c r="AQ120" s="1">
        <v>0</v>
      </c>
      <c r="AR120" s="1">
        <v>1</v>
      </c>
      <c r="AS120" s="1">
        <v>2</v>
      </c>
      <c r="AT120" s="1">
        <f t="shared" si="15"/>
        <v>22</v>
      </c>
    </row>
    <row r="121" spans="1:46" x14ac:dyDescent="0.25">
      <c r="A121" s="1">
        <f>COUNTIF('Value Matchup'!$D$356:$D$423,'Team History'!B121)</f>
        <v>0</v>
      </c>
      <c r="B121" t="s">
        <v>232</v>
      </c>
      <c r="C121" s="1">
        <f t="shared" si="8"/>
        <v>0</v>
      </c>
      <c r="D121" s="1">
        <f t="shared" si="9"/>
        <v>0</v>
      </c>
      <c r="E121" s="1">
        <f t="shared" si="10"/>
        <v>0</v>
      </c>
      <c r="F121" s="1">
        <f t="shared" si="11"/>
        <v>0</v>
      </c>
      <c r="G121" s="1">
        <f t="shared" si="12"/>
        <v>0</v>
      </c>
      <c r="H121" s="1">
        <f t="shared" si="13"/>
        <v>0</v>
      </c>
      <c r="I121" s="64">
        <f t="shared" si="14"/>
        <v>3</v>
      </c>
      <c r="K121" s="90" t="s">
        <v>480</v>
      </c>
      <c r="L121" s="1" t="s">
        <v>480</v>
      </c>
      <c r="M121" s="1" t="s">
        <v>480</v>
      </c>
      <c r="N121" s="1" t="s">
        <v>480</v>
      </c>
      <c r="O121" s="1" t="s">
        <v>480</v>
      </c>
      <c r="P121" s="1" t="s">
        <v>480</v>
      </c>
      <c r="Q121" s="1" t="s">
        <v>480</v>
      </c>
      <c r="R121" s="1" t="s">
        <v>480</v>
      </c>
      <c r="S121" s="1" t="s">
        <v>480</v>
      </c>
      <c r="T121" s="1" t="s">
        <v>480</v>
      </c>
      <c r="U121" s="1" t="s">
        <v>480</v>
      </c>
      <c r="V121" s="1" t="s">
        <v>480</v>
      </c>
      <c r="W121" s="1" t="s">
        <v>480</v>
      </c>
      <c r="X121" s="1" t="s">
        <v>480</v>
      </c>
      <c r="Y121" s="1" t="s">
        <v>480</v>
      </c>
      <c r="Z121" s="1">
        <v>0</v>
      </c>
      <c r="AA121" s="1" t="s">
        <v>480</v>
      </c>
      <c r="AB121" s="1">
        <v>0</v>
      </c>
      <c r="AC121" s="1" t="s">
        <v>480</v>
      </c>
      <c r="AD121" s="1" t="s">
        <v>480</v>
      </c>
      <c r="AE121" s="1" t="s">
        <v>480</v>
      </c>
      <c r="AF121" s="1">
        <v>0</v>
      </c>
      <c r="AG121" s="1" t="s">
        <v>480</v>
      </c>
      <c r="AH121" s="1" t="s">
        <v>480</v>
      </c>
      <c r="AI121" s="1" t="s">
        <v>480</v>
      </c>
      <c r="AJ121" s="1" t="s">
        <v>480</v>
      </c>
      <c r="AK121" s="1" t="s">
        <v>480</v>
      </c>
      <c r="AL121" s="1" t="s">
        <v>480</v>
      </c>
      <c r="AM121" s="1" t="s">
        <v>480</v>
      </c>
      <c r="AN121" s="1" t="s">
        <v>480</v>
      </c>
      <c r="AO121" s="1" t="s">
        <v>480</v>
      </c>
      <c r="AP121" s="1" t="s">
        <v>480</v>
      </c>
      <c r="AQ121" s="1" t="s">
        <v>480</v>
      </c>
      <c r="AR121" s="1" t="s">
        <v>480</v>
      </c>
      <c r="AS121" s="1" t="s">
        <v>480</v>
      </c>
      <c r="AT121" s="1">
        <f t="shared" si="15"/>
        <v>3</v>
      </c>
    </row>
    <row r="122" spans="1:46" x14ac:dyDescent="0.25">
      <c r="A122" s="1">
        <f>COUNTIF('Value Matchup'!$D$356:$D$423,'Team History'!B122)</f>
        <v>0</v>
      </c>
      <c r="B122" t="s">
        <v>233</v>
      </c>
      <c r="C122" s="1">
        <f t="shared" si="8"/>
        <v>2</v>
      </c>
      <c r="D122" s="1">
        <f t="shared" si="9"/>
        <v>0</v>
      </c>
      <c r="E122" s="1">
        <f t="shared" si="10"/>
        <v>0</v>
      </c>
      <c r="F122" s="1">
        <f t="shared" si="11"/>
        <v>0</v>
      </c>
      <c r="G122" s="1">
        <f t="shared" si="12"/>
        <v>0</v>
      </c>
      <c r="H122" s="1">
        <f t="shared" si="13"/>
        <v>0</v>
      </c>
      <c r="I122" s="64">
        <f t="shared" si="14"/>
        <v>6</v>
      </c>
      <c r="K122" s="90" t="s">
        <v>480</v>
      </c>
      <c r="L122" s="1" t="s">
        <v>480</v>
      </c>
      <c r="M122" s="1" t="s">
        <v>480</v>
      </c>
      <c r="N122" s="1" t="s">
        <v>480</v>
      </c>
      <c r="O122" s="1" t="s">
        <v>480</v>
      </c>
      <c r="P122" s="1" t="s">
        <v>480</v>
      </c>
      <c r="Q122" s="1" t="s">
        <v>480</v>
      </c>
      <c r="R122" s="1" t="s">
        <v>480</v>
      </c>
      <c r="S122" s="1" t="s">
        <v>480</v>
      </c>
      <c r="T122" s="1" t="s">
        <v>480</v>
      </c>
      <c r="U122" s="1" t="s">
        <v>480</v>
      </c>
      <c r="V122" s="1" t="s">
        <v>480</v>
      </c>
      <c r="W122" s="1" t="s">
        <v>480</v>
      </c>
      <c r="X122" s="1" t="s">
        <v>480</v>
      </c>
      <c r="Y122" s="1" t="s">
        <v>480</v>
      </c>
      <c r="Z122" s="1" t="s">
        <v>480</v>
      </c>
      <c r="AA122" s="1" t="s">
        <v>480</v>
      </c>
      <c r="AB122" s="1" t="s">
        <v>480</v>
      </c>
      <c r="AC122" s="1" t="s">
        <v>480</v>
      </c>
      <c r="AD122" s="1" t="s">
        <v>480</v>
      </c>
      <c r="AE122" s="1" t="s">
        <v>480</v>
      </c>
      <c r="AF122" s="1">
        <v>1</v>
      </c>
      <c r="AG122" s="1">
        <v>0</v>
      </c>
      <c r="AH122" s="1" t="s">
        <v>480</v>
      </c>
      <c r="AI122" s="1" t="s">
        <v>480</v>
      </c>
      <c r="AJ122" s="1" t="s">
        <v>480</v>
      </c>
      <c r="AK122" s="1" t="s">
        <v>480</v>
      </c>
      <c r="AL122" s="1" t="s">
        <v>480</v>
      </c>
      <c r="AM122" s="1" t="s">
        <v>480</v>
      </c>
      <c r="AN122" s="1">
        <v>0</v>
      </c>
      <c r="AO122" s="1" t="s">
        <v>480</v>
      </c>
      <c r="AP122" s="1" t="s">
        <v>480</v>
      </c>
      <c r="AQ122" s="1" t="s">
        <v>480</v>
      </c>
      <c r="AR122" s="1" t="s">
        <v>480</v>
      </c>
      <c r="AS122" s="1">
        <v>1</v>
      </c>
      <c r="AT122" s="1">
        <f t="shared" si="15"/>
        <v>4</v>
      </c>
    </row>
    <row r="123" spans="1:46" x14ac:dyDescent="0.25">
      <c r="A123" s="1">
        <f>COUNTIF('Value Matchup'!$D$356:$D$423,'Team History'!B123)</f>
        <v>0</v>
      </c>
      <c r="B123" t="s">
        <v>234</v>
      </c>
      <c r="C123" s="1">
        <f t="shared" si="8"/>
        <v>0</v>
      </c>
      <c r="D123" s="1">
        <f t="shared" si="9"/>
        <v>0</v>
      </c>
      <c r="E123" s="1">
        <f t="shared" si="10"/>
        <v>0</v>
      </c>
      <c r="F123" s="1">
        <f t="shared" si="11"/>
        <v>0</v>
      </c>
      <c r="G123" s="1">
        <f t="shared" si="12"/>
        <v>0</v>
      </c>
      <c r="H123" s="1">
        <f t="shared" si="13"/>
        <v>0</v>
      </c>
      <c r="I123" s="64">
        <f t="shared" si="14"/>
        <v>0</v>
      </c>
      <c r="K123" s="90" t="s">
        <v>480</v>
      </c>
      <c r="L123" s="1" t="s">
        <v>480</v>
      </c>
      <c r="M123" s="1" t="s">
        <v>480</v>
      </c>
      <c r="N123" s="1" t="s">
        <v>480</v>
      </c>
      <c r="O123" s="1" t="s">
        <v>480</v>
      </c>
      <c r="P123" s="1" t="s">
        <v>480</v>
      </c>
      <c r="Q123" s="1" t="s">
        <v>480</v>
      </c>
      <c r="R123" s="1" t="s">
        <v>480</v>
      </c>
      <c r="S123" s="1" t="s">
        <v>480</v>
      </c>
      <c r="T123" s="1" t="s">
        <v>480</v>
      </c>
      <c r="U123" s="1" t="s">
        <v>480</v>
      </c>
      <c r="V123" s="1" t="s">
        <v>480</v>
      </c>
      <c r="W123" s="1" t="s">
        <v>480</v>
      </c>
      <c r="X123" s="1" t="s">
        <v>480</v>
      </c>
      <c r="Y123" s="1" t="s">
        <v>480</v>
      </c>
      <c r="Z123" s="1" t="s">
        <v>480</v>
      </c>
      <c r="AA123" s="1" t="s">
        <v>480</v>
      </c>
      <c r="AB123" s="1" t="s">
        <v>480</v>
      </c>
      <c r="AC123" s="1" t="s">
        <v>480</v>
      </c>
      <c r="AD123" s="1" t="s">
        <v>480</v>
      </c>
      <c r="AE123" s="1" t="s">
        <v>480</v>
      </c>
      <c r="AF123" s="1" t="s">
        <v>480</v>
      </c>
      <c r="AG123" s="1" t="s">
        <v>480</v>
      </c>
      <c r="AH123" s="1" t="s">
        <v>480</v>
      </c>
      <c r="AI123" s="1" t="s">
        <v>480</v>
      </c>
      <c r="AJ123" s="1" t="s">
        <v>480</v>
      </c>
      <c r="AK123" s="1" t="s">
        <v>480</v>
      </c>
      <c r="AL123" s="1" t="s">
        <v>480</v>
      </c>
      <c r="AM123" s="1" t="s">
        <v>480</v>
      </c>
      <c r="AN123" s="1" t="s">
        <v>480</v>
      </c>
      <c r="AO123" s="1" t="s">
        <v>480</v>
      </c>
      <c r="AP123" s="1" t="s">
        <v>480</v>
      </c>
      <c r="AQ123" s="1" t="s">
        <v>480</v>
      </c>
      <c r="AR123" s="1" t="s">
        <v>480</v>
      </c>
      <c r="AS123" s="1" t="s">
        <v>480</v>
      </c>
      <c r="AT123" s="1">
        <f t="shared" si="15"/>
        <v>0</v>
      </c>
    </row>
    <row r="124" spans="1:46" x14ac:dyDescent="0.25">
      <c r="A124" s="1">
        <f>COUNTIF('Value Matchup'!$D$356:$D$423,'Team History'!B124)</f>
        <v>0</v>
      </c>
      <c r="B124" t="s">
        <v>36</v>
      </c>
      <c r="C124" s="1">
        <f t="shared" si="8"/>
        <v>14</v>
      </c>
      <c r="D124" s="1">
        <f t="shared" si="9"/>
        <v>9</v>
      </c>
      <c r="E124" s="1">
        <f t="shared" si="10"/>
        <v>3</v>
      </c>
      <c r="F124" s="1">
        <f t="shared" si="11"/>
        <v>2</v>
      </c>
      <c r="G124" s="1">
        <f t="shared" si="12"/>
        <v>1</v>
      </c>
      <c r="H124" s="1">
        <f t="shared" si="13"/>
        <v>0</v>
      </c>
      <c r="I124" s="64">
        <f t="shared" si="14"/>
        <v>59</v>
      </c>
      <c r="K124" s="90" t="s">
        <v>480</v>
      </c>
      <c r="L124" s="1" t="s">
        <v>480</v>
      </c>
      <c r="M124" s="1" t="s">
        <v>480</v>
      </c>
      <c r="N124" s="1">
        <v>2</v>
      </c>
      <c r="O124" s="1">
        <v>0</v>
      </c>
      <c r="P124" s="1" t="s">
        <v>480</v>
      </c>
      <c r="Q124" s="1">
        <v>2</v>
      </c>
      <c r="R124" s="1">
        <v>2</v>
      </c>
      <c r="S124" s="1" t="s">
        <v>480</v>
      </c>
      <c r="T124" s="1" t="s">
        <v>480</v>
      </c>
      <c r="U124" s="1" t="s">
        <v>480</v>
      </c>
      <c r="V124" s="1">
        <v>0</v>
      </c>
      <c r="W124" s="1">
        <v>1</v>
      </c>
      <c r="X124" s="1">
        <v>1</v>
      </c>
      <c r="Y124" s="1" t="s">
        <v>480</v>
      </c>
      <c r="Z124" s="1" t="s">
        <v>480</v>
      </c>
      <c r="AA124" s="1">
        <v>1</v>
      </c>
      <c r="AB124" s="1">
        <v>5</v>
      </c>
      <c r="AC124" s="1">
        <v>0</v>
      </c>
      <c r="AD124" s="1">
        <v>0</v>
      </c>
      <c r="AE124" s="1">
        <v>1</v>
      </c>
      <c r="AF124" s="1">
        <v>1</v>
      </c>
      <c r="AG124" s="1">
        <v>0</v>
      </c>
      <c r="AH124" s="1">
        <v>0</v>
      </c>
      <c r="AI124" s="1">
        <v>0</v>
      </c>
      <c r="AJ124" s="1">
        <v>2</v>
      </c>
      <c r="AK124" s="1">
        <v>3</v>
      </c>
      <c r="AL124" s="1">
        <v>4</v>
      </c>
      <c r="AM124" s="1">
        <v>2</v>
      </c>
      <c r="AN124" s="1">
        <v>0</v>
      </c>
      <c r="AO124" s="1">
        <v>2</v>
      </c>
      <c r="AP124" s="1">
        <v>0</v>
      </c>
      <c r="AQ124" s="1" t="s">
        <v>480</v>
      </c>
      <c r="AR124" s="1">
        <v>0</v>
      </c>
      <c r="AS124" s="1" t="s">
        <v>480</v>
      </c>
      <c r="AT124" s="1">
        <f t="shared" si="15"/>
        <v>24</v>
      </c>
    </row>
    <row r="125" spans="1:46" x14ac:dyDescent="0.25">
      <c r="A125" s="1">
        <f>COUNTIF('Value Matchup'!$D$356:$D$423,'Team History'!B125)</f>
        <v>0</v>
      </c>
      <c r="B125" t="s">
        <v>235</v>
      </c>
      <c r="C125" s="1">
        <f t="shared" si="8"/>
        <v>1</v>
      </c>
      <c r="D125" s="1">
        <f t="shared" si="9"/>
        <v>0</v>
      </c>
      <c r="E125" s="1">
        <f t="shared" si="10"/>
        <v>0</v>
      </c>
      <c r="F125" s="1">
        <f t="shared" si="11"/>
        <v>0</v>
      </c>
      <c r="G125" s="1">
        <f t="shared" si="12"/>
        <v>0</v>
      </c>
      <c r="H125" s="1">
        <f t="shared" si="13"/>
        <v>0</v>
      </c>
      <c r="I125" s="64">
        <f t="shared" si="14"/>
        <v>4</v>
      </c>
      <c r="K125" s="90" t="s">
        <v>480</v>
      </c>
      <c r="L125" s="1" t="s">
        <v>480</v>
      </c>
      <c r="M125" s="1" t="s">
        <v>480</v>
      </c>
      <c r="N125" s="1" t="s">
        <v>480</v>
      </c>
      <c r="O125" s="1" t="s">
        <v>480</v>
      </c>
      <c r="P125" s="1" t="s">
        <v>480</v>
      </c>
      <c r="Q125" s="1" t="s">
        <v>480</v>
      </c>
      <c r="R125" s="1" t="s">
        <v>480</v>
      </c>
      <c r="S125" s="1">
        <v>0</v>
      </c>
      <c r="T125" s="1" t="s">
        <v>480</v>
      </c>
      <c r="U125" s="1" t="s">
        <v>480</v>
      </c>
      <c r="V125" s="1" t="s">
        <v>480</v>
      </c>
      <c r="W125" s="1" t="s">
        <v>480</v>
      </c>
      <c r="X125" s="1" t="s">
        <v>480</v>
      </c>
      <c r="Y125" s="1" t="s">
        <v>480</v>
      </c>
      <c r="Z125" s="1" t="s">
        <v>480</v>
      </c>
      <c r="AA125" s="1" t="s">
        <v>480</v>
      </c>
      <c r="AB125" s="1" t="s">
        <v>480</v>
      </c>
      <c r="AC125" s="1">
        <v>1</v>
      </c>
      <c r="AD125" s="1">
        <v>0</v>
      </c>
      <c r="AE125" s="1" t="s">
        <v>480</v>
      </c>
      <c r="AF125" s="1" t="s">
        <v>480</v>
      </c>
      <c r="AG125" s="1" t="s">
        <v>480</v>
      </c>
      <c r="AH125" s="1" t="s">
        <v>480</v>
      </c>
      <c r="AI125" s="1" t="s">
        <v>480</v>
      </c>
      <c r="AJ125" s="1" t="s">
        <v>480</v>
      </c>
      <c r="AK125" s="1" t="s">
        <v>480</v>
      </c>
      <c r="AL125" s="1" t="s">
        <v>480</v>
      </c>
      <c r="AM125" s="1" t="s">
        <v>480</v>
      </c>
      <c r="AN125" s="1" t="s">
        <v>480</v>
      </c>
      <c r="AO125" s="1" t="s">
        <v>480</v>
      </c>
      <c r="AP125" s="1" t="s">
        <v>480</v>
      </c>
      <c r="AQ125" s="1" t="s">
        <v>480</v>
      </c>
      <c r="AR125" s="1" t="s">
        <v>480</v>
      </c>
      <c r="AS125" s="1" t="s">
        <v>480</v>
      </c>
      <c r="AT125" s="1">
        <f t="shared" si="15"/>
        <v>3</v>
      </c>
    </row>
    <row r="126" spans="1:46" x14ac:dyDescent="0.25">
      <c r="A126" s="1">
        <f>COUNTIF('Value Matchup'!$D$356:$D$423,'Team History'!B126)</f>
        <v>1</v>
      </c>
      <c r="B126" t="s">
        <v>236</v>
      </c>
      <c r="C126" s="1">
        <f t="shared" si="8"/>
        <v>0</v>
      </c>
      <c r="D126" s="1">
        <f t="shared" si="9"/>
        <v>0</v>
      </c>
      <c r="E126" s="1">
        <f t="shared" si="10"/>
        <v>0</v>
      </c>
      <c r="F126" s="1">
        <f t="shared" si="11"/>
        <v>0</v>
      </c>
      <c r="G126" s="1">
        <f t="shared" si="12"/>
        <v>0</v>
      </c>
      <c r="H126" s="1">
        <f t="shared" si="13"/>
        <v>0</v>
      </c>
      <c r="I126" s="64">
        <f t="shared" si="14"/>
        <v>11</v>
      </c>
      <c r="K126" s="90">
        <v>0</v>
      </c>
      <c r="L126" s="1">
        <v>0</v>
      </c>
      <c r="M126" s="1">
        <v>0</v>
      </c>
      <c r="N126" s="1">
        <v>0</v>
      </c>
      <c r="O126" s="1" t="s">
        <v>480</v>
      </c>
      <c r="P126" s="1" t="s">
        <v>480</v>
      </c>
      <c r="Q126" s="1">
        <v>0</v>
      </c>
      <c r="R126" s="1">
        <v>0</v>
      </c>
      <c r="S126" s="1" t="s">
        <v>480</v>
      </c>
      <c r="T126" s="1" t="s">
        <v>480</v>
      </c>
      <c r="U126" s="1" t="s">
        <v>480</v>
      </c>
      <c r="V126" s="1" t="s">
        <v>480</v>
      </c>
      <c r="W126" s="1" t="s">
        <v>480</v>
      </c>
      <c r="X126" s="1">
        <v>0</v>
      </c>
      <c r="Y126" s="1" t="s">
        <v>480</v>
      </c>
      <c r="Z126" s="1" t="s">
        <v>480</v>
      </c>
      <c r="AA126" s="1" t="s">
        <v>480</v>
      </c>
      <c r="AB126" s="1" t="s">
        <v>480</v>
      </c>
      <c r="AC126" s="1">
        <v>0</v>
      </c>
      <c r="AD126" s="1">
        <v>0</v>
      </c>
      <c r="AE126" s="1" t="s">
        <v>480</v>
      </c>
      <c r="AF126" s="1">
        <v>0</v>
      </c>
      <c r="AG126" s="1" t="s">
        <v>480</v>
      </c>
      <c r="AH126" s="1" t="s">
        <v>480</v>
      </c>
      <c r="AI126" s="1" t="s">
        <v>480</v>
      </c>
      <c r="AJ126" s="1" t="s">
        <v>480</v>
      </c>
      <c r="AK126" s="1" t="s">
        <v>480</v>
      </c>
      <c r="AL126" s="1" t="s">
        <v>480</v>
      </c>
      <c r="AM126" s="1" t="s">
        <v>480</v>
      </c>
      <c r="AN126" s="1" t="s">
        <v>480</v>
      </c>
      <c r="AO126" s="1" t="s">
        <v>480</v>
      </c>
      <c r="AP126" s="1" t="s">
        <v>480</v>
      </c>
      <c r="AQ126" s="1" t="s">
        <v>480</v>
      </c>
      <c r="AR126" s="1" t="s">
        <v>480</v>
      </c>
      <c r="AS126" s="1">
        <v>0</v>
      </c>
      <c r="AT126" s="1">
        <f t="shared" si="15"/>
        <v>11</v>
      </c>
    </row>
    <row r="127" spans="1:46" x14ac:dyDescent="0.25">
      <c r="A127" s="1">
        <f>COUNTIF('Value Matchup'!$D$356:$D$423,'Team History'!B127)</f>
        <v>1</v>
      </c>
      <c r="B127" t="s">
        <v>69</v>
      </c>
      <c r="C127" s="1">
        <f t="shared" si="8"/>
        <v>13</v>
      </c>
      <c r="D127" s="1">
        <f t="shared" si="9"/>
        <v>3</v>
      </c>
      <c r="E127" s="1">
        <f t="shared" si="10"/>
        <v>1</v>
      </c>
      <c r="F127" s="1">
        <f t="shared" si="11"/>
        <v>0</v>
      </c>
      <c r="G127" s="1">
        <f t="shared" si="12"/>
        <v>0</v>
      </c>
      <c r="H127" s="1">
        <f t="shared" si="13"/>
        <v>0</v>
      </c>
      <c r="I127" s="64">
        <f t="shared" si="14"/>
        <v>38</v>
      </c>
      <c r="K127" s="90">
        <v>1</v>
      </c>
      <c r="L127" s="1" t="s">
        <v>480</v>
      </c>
      <c r="M127" s="1" t="s">
        <v>480</v>
      </c>
      <c r="N127" s="1">
        <v>1</v>
      </c>
      <c r="O127" s="1">
        <v>1</v>
      </c>
      <c r="P127" s="1">
        <v>0</v>
      </c>
      <c r="Q127" s="1" t="s">
        <v>480</v>
      </c>
      <c r="R127" s="1" t="s">
        <v>480</v>
      </c>
      <c r="S127" s="1" t="s">
        <v>480</v>
      </c>
      <c r="T127" s="1" t="s">
        <v>480</v>
      </c>
      <c r="U127" s="1" t="s">
        <v>480</v>
      </c>
      <c r="V127" s="1" t="s">
        <v>480</v>
      </c>
      <c r="W127" s="1" t="s">
        <v>480</v>
      </c>
      <c r="X127" s="1">
        <v>0</v>
      </c>
      <c r="Y127" s="1">
        <v>0</v>
      </c>
      <c r="Z127" s="1" t="s">
        <v>480</v>
      </c>
      <c r="AA127" s="1" t="s">
        <v>480</v>
      </c>
      <c r="AB127" s="1" t="s">
        <v>480</v>
      </c>
      <c r="AC127" s="1">
        <v>1</v>
      </c>
      <c r="AD127" s="1" t="s">
        <v>480</v>
      </c>
      <c r="AE127" s="1">
        <v>2</v>
      </c>
      <c r="AF127" s="1" t="s">
        <v>480</v>
      </c>
      <c r="AG127" s="1">
        <v>1</v>
      </c>
      <c r="AH127" s="1">
        <v>1</v>
      </c>
      <c r="AI127" s="1" t="s">
        <v>480</v>
      </c>
      <c r="AJ127" s="1" t="s">
        <v>480</v>
      </c>
      <c r="AK127" s="1">
        <v>1</v>
      </c>
      <c r="AL127" s="1">
        <v>1</v>
      </c>
      <c r="AM127" s="1">
        <v>1</v>
      </c>
      <c r="AN127" s="1" t="s">
        <v>480</v>
      </c>
      <c r="AO127" s="1">
        <v>1</v>
      </c>
      <c r="AP127" s="1">
        <v>2</v>
      </c>
      <c r="AQ127" s="1">
        <v>3</v>
      </c>
      <c r="AR127" s="1">
        <v>0</v>
      </c>
      <c r="AS127" s="1">
        <v>0</v>
      </c>
      <c r="AT127" s="1">
        <f t="shared" si="15"/>
        <v>18</v>
      </c>
    </row>
    <row r="128" spans="1:46" x14ac:dyDescent="0.25">
      <c r="A128" s="1">
        <f>COUNTIF('Value Matchup'!$D$356:$D$423,'Team History'!B128)</f>
        <v>0</v>
      </c>
      <c r="B128" t="s">
        <v>237</v>
      </c>
      <c r="C128" s="1">
        <f t="shared" si="8"/>
        <v>12</v>
      </c>
      <c r="D128" s="1">
        <f t="shared" si="9"/>
        <v>5</v>
      </c>
      <c r="E128" s="1">
        <f t="shared" si="10"/>
        <v>1</v>
      </c>
      <c r="F128" s="1">
        <f t="shared" si="11"/>
        <v>0</v>
      </c>
      <c r="G128" s="1">
        <f t="shared" si="12"/>
        <v>0</v>
      </c>
      <c r="H128" s="1">
        <f t="shared" si="13"/>
        <v>0</v>
      </c>
      <c r="I128" s="64">
        <f t="shared" si="14"/>
        <v>44</v>
      </c>
      <c r="K128" s="90">
        <v>0</v>
      </c>
      <c r="L128" s="1" t="s">
        <v>480</v>
      </c>
      <c r="M128" s="1">
        <v>1</v>
      </c>
      <c r="N128" s="1">
        <v>2</v>
      </c>
      <c r="O128" s="1">
        <v>0</v>
      </c>
      <c r="P128" s="1">
        <v>2</v>
      </c>
      <c r="Q128" s="1">
        <v>1</v>
      </c>
      <c r="R128" s="1">
        <v>1</v>
      </c>
      <c r="S128" s="1" t="s">
        <v>480</v>
      </c>
      <c r="T128" s="1" t="s">
        <v>480</v>
      </c>
      <c r="U128" s="1" t="s">
        <v>480</v>
      </c>
      <c r="V128" s="1" t="s">
        <v>480</v>
      </c>
      <c r="W128" s="1" t="s">
        <v>480</v>
      </c>
      <c r="X128" s="1" t="s">
        <v>480</v>
      </c>
      <c r="Y128" s="1">
        <v>1</v>
      </c>
      <c r="Z128" s="1" t="s">
        <v>480</v>
      </c>
      <c r="AA128" s="1" t="s">
        <v>480</v>
      </c>
      <c r="AB128" s="1" t="s">
        <v>480</v>
      </c>
      <c r="AC128" s="1">
        <v>0</v>
      </c>
      <c r="AD128" s="1">
        <v>3</v>
      </c>
      <c r="AE128" s="1" t="s">
        <v>480</v>
      </c>
      <c r="AF128" s="1" t="s">
        <v>480</v>
      </c>
      <c r="AG128" s="1">
        <v>2</v>
      </c>
      <c r="AH128" s="1">
        <v>1</v>
      </c>
      <c r="AI128" s="1">
        <v>1</v>
      </c>
      <c r="AJ128" s="1" t="s">
        <v>480</v>
      </c>
      <c r="AK128" s="1">
        <v>0</v>
      </c>
      <c r="AL128" s="1">
        <v>1</v>
      </c>
      <c r="AM128" s="1" t="s">
        <v>480</v>
      </c>
      <c r="AN128" s="1" t="s">
        <v>480</v>
      </c>
      <c r="AO128" s="1">
        <v>0</v>
      </c>
      <c r="AP128" s="1">
        <v>0</v>
      </c>
      <c r="AQ128" s="1" t="s">
        <v>480</v>
      </c>
      <c r="AR128" s="1">
        <v>2</v>
      </c>
      <c r="AS128" s="1">
        <v>0</v>
      </c>
      <c r="AT128" s="1">
        <f t="shared" si="15"/>
        <v>19</v>
      </c>
    </row>
    <row r="129" spans="1:46" x14ac:dyDescent="0.25">
      <c r="A129" s="1">
        <f>COUNTIF('Value Matchup'!$D$356:$D$423,'Team History'!B129)</f>
        <v>0</v>
      </c>
      <c r="B129" t="s">
        <v>238</v>
      </c>
      <c r="C129" s="1">
        <f t="shared" si="8"/>
        <v>0</v>
      </c>
      <c r="D129" s="1">
        <f t="shared" si="9"/>
        <v>0</v>
      </c>
      <c r="E129" s="1">
        <f t="shared" si="10"/>
        <v>0</v>
      </c>
      <c r="F129" s="1">
        <f t="shared" si="11"/>
        <v>0</v>
      </c>
      <c r="G129" s="1">
        <f t="shared" si="12"/>
        <v>0</v>
      </c>
      <c r="H129" s="1">
        <f t="shared" si="13"/>
        <v>0</v>
      </c>
      <c r="I129" s="64">
        <f t="shared" si="14"/>
        <v>1</v>
      </c>
      <c r="K129" s="90" t="s">
        <v>480</v>
      </c>
      <c r="L129" s="1" t="s">
        <v>480</v>
      </c>
      <c r="M129" s="1" t="s">
        <v>480</v>
      </c>
      <c r="N129" s="1" t="s">
        <v>480</v>
      </c>
      <c r="O129" s="1" t="s">
        <v>480</v>
      </c>
      <c r="P129" s="1" t="s">
        <v>480</v>
      </c>
      <c r="Q129" s="1" t="s">
        <v>480</v>
      </c>
      <c r="R129" s="1" t="s">
        <v>480</v>
      </c>
      <c r="S129" s="1" t="s">
        <v>480</v>
      </c>
      <c r="T129" s="1" t="s">
        <v>480</v>
      </c>
      <c r="U129" s="1" t="s">
        <v>480</v>
      </c>
      <c r="V129" s="1" t="s">
        <v>480</v>
      </c>
      <c r="W129" s="1" t="s">
        <v>480</v>
      </c>
      <c r="X129" s="1" t="s">
        <v>480</v>
      </c>
      <c r="Y129" s="1" t="s">
        <v>480</v>
      </c>
      <c r="Z129" s="1" t="s">
        <v>480</v>
      </c>
      <c r="AA129" s="1">
        <v>0</v>
      </c>
      <c r="AB129" s="1" t="s">
        <v>480</v>
      </c>
      <c r="AC129" s="1" t="s">
        <v>480</v>
      </c>
      <c r="AD129" s="1" t="s">
        <v>480</v>
      </c>
      <c r="AE129" s="1" t="s">
        <v>480</v>
      </c>
      <c r="AF129" s="1" t="s">
        <v>480</v>
      </c>
      <c r="AG129" s="1" t="s">
        <v>480</v>
      </c>
      <c r="AH129" s="1" t="s">
        <v>480</v>
      </c>
      <c r="AI129" s="1" t="s">
        <v>480</v>
      </c>
      <c r="AJ129" s="1" t="s">
        <v>480</v>
      </c>
      <c r="AK129" s="1" t="s">
        <v>480</v>
      </c>
      <c r="AL129" s="1" t="s">
        <v>480</v>
      </c>
      <c r="AM129" s="1" t="s">
        <v>480</v>
      </c>
      <c r="AN129" s="1" t="s">
        <v>480</v>
      </c>
      <c r="AO129" s="1" t="s">
        <v>480</v>
      </c>
      <c r="AP129" s="1" t="s">
        <v>480</v>
      </c>
      <c r="AQ129" s="1" t="s">
        <v>480</v>
      </c>
      <c r="AR129" s="1" t="s">
        <v>480</v>
      </c>
      <c r="AS129" s="1" t="s">
        <v>480</v>
      </c>
      <c r="AT129" s="1">
        <f t="shared" si="15"/>
        <v>1</v>
      </c>
    </row>
    <row r="130" spans="1:46" x14ac:dyDescent="0.25">
      <c r="A130" s="1">
        <f>COUNTIF('Value Matchup'!$D$356:$D$423,'Team History'!B130)</f>
        <v>0</v>
      </c>
      <c r="B130" t="s">
        <v>239</v>
      </c>
      <c r="C130" s="1">
        <f t="shared" si="8"/>
        <v>0</v>
      </c>
      <c r="D130" s="1">
        <f t="shared" si="9"/>
        <v>0</v>
      </c>
      <c r="E130" s="1">
        <f t="shared" si="10"/>
        <v>0</v>
      </c>
      <c r="F130" s="1">
        <f t="shared" si="11"/>
        <v>0</v>
      </c>
      <c r="G130" s="1">
        <f t="shared" si="12"/>
        <v>0</v>
      </c>
      <c r="H130" s="1">
        <f t="shared" si="13"/>
        <v>0</v>
      </c>
      <c r="I130" s="64">
        <f t="shared" si="14"/>
        <v>3</v>
      </c>
      <c r="K130" s="90" t="s">
        <v>480</v>
      </c>
      <c r="L130" s="1" t="s">
        <v>480</v>
      </c>
      <c r="M130" s="1" t="s">
        <v>480</v>
      </c>
      <c r="N130" s="1" t="s">
        <v>480</v>
      </c>
      <c r="O130" s="1" t="s">
        <v>480</v>
      </c>
      <c r="P130" s="1" t="s">
        <v>480</v>
      </c>
      <c r="Q130" s="1" t="s">
        <v>480</v>
      </c>
      <c r="R130" s="1" t="s">
        <v>480</v>
      </c>
      <c r="S130" s="1" t="s">
        <v>480</v>
      </c>
      <c r="T130" s="1" t="s">
        <v>480</v>
      </c>
      <c r="U130" s="1" t="s">
        <v>480</v>
      </c>
      <c r="V130" s="1" t="s">
        <v>480</v>
      </c>
      <c r="W130" s="1">
        <v>0</v>
      </c>
      <c r="X130" s="1" t="s">
        <v>480</v>
      </c>
      <c r="Y130" s="1" t="s">
        <v>480</v>
      </c>
      <c r="Z130" s="1" t="s">
        <v>480</v>
      </c>
      <c r="AA130" s="1" t="s">
        <v>480</v>
      </c>
      <c r="AB130" s="1" t="s">
        <v>480</v>
      </c>
      <c r="AC130" s="1" t="s">
        <v>480</v>
      </c>
      <c r="AD130" s="1">
        <v>0</v>
      </c>
      <c r="AE130" s="1" t="s">
        <v>480</v>
      </c>
      <c r="AF130" s="1" t="s">
        <v>480</v>
      </c>
      <c r="AG130" s="1">
        <v>0</v>
      </c>
      <c r="AH130" s="1" t="s">
        <v>480</v>
      </c>
      <c r="AI130" s="1" t="s">
        <v>480</v>
      </c>
      <c r="AJ130" s="1" t="s">
        <v>480</v>
      </c>
      <c r="AK130" s="1" t="s">
        <v>480</v>
      </c>
      <c r="AL130" s="1" t="s">
        <v>480</v>
      </c>
      <c r="AM130" s="1" t="s">
        <v>480</v>
      </c>
      <c r="AN130" s="1" t="s">
        <v>480</v>
      </c>
      <c r="AO130" s="1" t="s">
        <v>480</v>
      </c>
      <c r="AP130" s="1" t="s">
        <v>480</v>
      </c>
      <c r="AQ130" s="1" t="s">
        <v>480</v>
      </c>
      <c r="AR130" s="1" t="s">
        <v>480</v>
      </c>
      <c r="AS130" s="1" t="s">
        <v>480</v>
      </c>
      <c r="AT130" s="1">
        <f t="shared" si="15"/>
        <v>3</v>
      </c>
    </row>
    <row r="131" spans="1:46" x14ac:dyDescent="0.25">
      <c r="A131" s="1">
        <f>COUNTIF('Value Matchup'!$D$356:$D$423,'Team History'!B131)</f>
        <v>0</v>
      </c>
      <c r="B131" t="s">
        <v>240</v>
      </c>
      <c r="C131" s="1">
        <f t="shared" si="8"/>
        <v>0</v>
      </c>
      <c r="D131" s="1">
        <f t="shared" si="9"/>
        <v>0</v>
      </c>
      <c r="E131" s="1">
        <f t="shared" si="10"/>
        <v>0</v>
      </c>
      <c r="F131" s="1">
        <f t="shared" si="11"/>
        <v>0</v>
      </c>
      <c r="G131" s="1">
        <f t="shared" si="12"/>
        <v>0</v>
      </c>
      <c r="H131" s="1">
        <f t="shared" si="13"/>
        <v>0</v>
      </c>
      <c r="I131" s="64">
        <f t="shared" si="14"/>
        <v>1</v>
      </c>
      <c r="K131" s="90" t="s">
        <v>480</v>
      </c>
      <c r="L131" s="1" t="s">
        <v>480</v>
      </c>
      <c r="M131" s="1" t="s">
        <v>480</v>
      </c>
      <c r="N131" s="1" t="s">
        <v>480</v>
      </c>
      <c r="O131" s="1" t="s">
        <v>480</v>
      </c>
      <c r="P131" s="1" t="s">
        <v>480</v>
      </c>
      <c r="Q131" s="1" t="s">
        <v>480</v>
      </c>
      <c r="R131" s="1" t="s">
        <v>480</v>
      </c>
      <c r="S131" s="1" t="s">
        <v>480</v>
      </c>
      <c r="T131" s="1" t="s">
        <v>480</v>
      </c>
      <c r="U131" s="1" t="s">
        <v>480</v>
      </c>
      <c r="V131" s="1" t="s">
        <v>480</v>
      </c>
      <c r="W131" s="1" t="s">
        <v>480</v>
      </c>
      <c r="X131" s="1" t="s">
        <v>480</v>
      </c>
      <c r="Y131" s="1" t="s">
        <v>480</v>
      </c>
      <c r="Z131" s="1" t="s">
        <v>480</v>
      </c>
      <c r="AA131" s="1" t="s">
        <v>480</v>
      </c>
      <c r="AB131" s="1" t="s">
        <v>480</v>
      </c>
      <c r="AC131" s="1" t="s">
        <v>480</v>
      </c>
      <c r="AD131" s="1" t="s">
        <v>480</v>
      </c>
      <c r="AE131" s="1" t="s">
        <v>480</v>
      </c>
      <c r="AF131" s="1" t="s">
        <v>480</v>
      </c>
      <c r="AG131" s="1" t="s">
        <v>480</v>
      </c>
      <c r="AH131" s="1" t="s">
        <v>480</v>
      </c>
      <c r="AI131" s="1" t="s">
        <v>480</v>
      </c>
      <c r="AJ131" s="1" t="s">
        <v>480</v>
      </c>
      <c r="AK131" s="1" t="s">
        <v>480</v>
      </c>
      <c r="AL131" s="1" t="s">
        <v>480</v>
      </c>
      <c r="AM131" s="1" t="s">
        <v>480</v>
      </c>
      <c r="AN131" s="1" t="s">
        <v>480</v>
      </c>
      <c r="AO131" s="1" t="s">
        <v>480</v>
      </c>
      <c r="AP131" s="1" t="s">
        <v>480</v>
      </c>
      <c r="AQ131" s="1" t="s">
        <v>480</v>
      </c>
      <c r="AR131" s="1">
        <v>0</v>
      </c>
      <c r="AS131" s="1" t="s">
        <v>480</v>
      </c>
      <c r="AT131" s="1">
        <f t="shared" si="15"/>
        <v>1</v>
      </c>
    </row>
    <row r="132" spans="1:46" x14ac:dyDescent="0.25">
      <c r="A132" s="1">
        <f>COUNTIF('Value Matchup'!$D$356:$D$423,'Team History'!B132)</f>
        <v>0</v>
      </c>
      <c r="B132" t="s">
        <v>241</v>
      </c>
      <c r="C132" s="1">
        <f t="shared" ref="C132:C195" si="16">COUNTIF($K132:$AS132,"&gt;0")</f>
        <v>0</v>
      </c>
      <c r="D132" s="1">
        <f t="shared" ref="D132:D195" si="17">COUNTIF($K132:$AS132,"&gt;1")</f>
        <v>0</v>
      </c>
      <c r="E132" s="1">
        <f t="shared" ref="E132:E195" si="18">COUNTIF($K132:$AS132,"&gt;2")</f>
        <v>0</v>
      </c>
      <c r="F132" s="1">
        <f t="shared" ref="F132:F195" si="19">COUNTIF($K132:$AS132,"&gt;3")</f>
        <v>0</v>
      </c>
      <c r="G132" s="1">
        <f t="shared" ref="G132:G195" si="20">COUNTIF($K132:$AS132,"&gt;4")</f>
        <v>0</v>
      </c>
      <c r="H132" s="1">
        <f t="shared" ref="H132:H195" si="21">COUNTIF($K132:$AS132,"&gt;5")</f>
        <v>0</v>
      </c>
      <c r="I132" s="64">
        <f t="shared" ref="I132:I195" si="22">SUM(K132:AT132)+SUM(K132:T132)</f>
        <v>1</v>
      </c>
      <c r="K132" s="90" t="s">
        <v>480</v>
      </c>
      <c r="L132" s="1" t="s">
        <v>480</v>
      </c>
      <c r="M132" s="1">
        <v>0</v>
      </c>
      <c r="N132" s="1" t="s">
        <v>480</v>
      </c>
      <c r="O132" s="1" t="s">
        <v>480</v>
      </c>
      <c r="P132" s="1" t="s">
        <v>480</v>
      </c>
      <c r="Q132" s="1" t="s">
        <v>480</v>
      </c>
      <c r="R132" s="1" t="s">
        <v>480</v>
      </c>
      <c r="S132" s="1" t="s">
        <v>480</v>
      </c>
      <c r="T132" s="1" t="s">
        <v>480</v>
      </c>
      <c r="U132" s="1" t="s">
        <v>480</v>
      </c>
      <c r="V132" s="1" t="s">
        <v>480</v>
      </c>
      <c r="W132" s="1" t="s">
        <v>480</v>
      </c>
      <c r="X132" s="1" t="s">
        <v>480</v>
      </c>
      <c r="Y132" s="1" t="s">
        <v>480</v>
      </c>
      <c r="Z132" s="1" t="s">
        <v>480</v>
      </c>
      <c r="AA132" s="1" t="s">
        <v>480</v>
      </c>
      <c r="AB132" s="1" t="s">
        <v>480</v>
      </c>
      <c r="AC132" s="1" t="s">
        <v>480</v>
      </c>
      <c r="AD132" s="1" t="s">
        <v>480</v>
      </c>
      <c r="AE132" s="1" t="s">
        <v>480</v>
      </c>
      <c r="AF132" s="1" t="s">
        <v>480</v>
      </c>
      <c r="AG132" s="1" t="s">
        <v>480</v>
      </c>
      <c r="AH132" s="1" t="s">
        <v>480</v>
      </c>
      <c r="AI132" s="1" t="s">
        <v>480</v>
      </c>
      <c r="AJ132" s="1" t="s">
        <v>480</v>
      </c>
      <c r="AK132" s="1" t="s">
        <v>480</v>
      </c>
      <c r="AL132" s="1" t="s">
        <v>480</v>
      </c>
      <c r="AM132" s="1" t="s">
        <v>480</v>
      </c>
      <c r="AN132" s="1" t="s">
        <v>480</v>
      </c>
      <c r="AO132" s="1" t="s">
        <v>480</v>
      </c>
      <c r="AP132" s="1" t="s">
        <v>480</v>
      </c>
      <c r="AQ132" s="1" t="s">
        <v>480</v>
      </c>
      <c r="AR132" s="1" t="s">
        <v>480</v>
      </c>
      <c r="AS132" s="1" t="s">
        <v>480</v>
      </c>
      <c r="AT132" s="1">
        <f t="shared" ref="AT132:AT195" si="23">COUNT(K132:AS132)</f>
        <v>1</v>
      </c>
    </row>
    <row r="133" spans="1:46" x14ac:dyDescent="0.25">
      <c r="A133" s="1">
        <f>COUNTIF('Value Matchup'!$D$356:$D$423,'Team History'!B133)</f>
        <v>0</v>
      </c>
      <c r="B133" t="s">
        <v>242</v>
      </c>
      <c r="C133" s="1">
        <f t="shared" si="16"/>
        <v>0</v>
      </c>
      <c r="D133" s="1">
        <f t="shared" si="17"/>
        <v>0</v>
      </c>
      <c r="E133" s="1">
        <f t="shared" si="18"/>
        <v>0</v>
      </c>
      <c r="F133" s="1">
        <f t="shared" si="19"/>
        <v>0</v>
      </c>
      <c r="G133" s="1">
        <f t="shared" si="20"/>
        <v>0</v>
      </c>
      <c r="H133" s="1">
        <f t="shared" si="21"/>
        <v>0</v>
      </c>
      <c r="I133" s="64">
        <f t="shared" si="22"/>
        <v>2</v>
      </c>
      <c r="K133" s="90" t="s">
        <v>480</v>
      </c>
      <c r="L133" s="1" t="s">
        <v>480</v>
      </c>
      <c r="M133" s="1" t="s">
        <v>480</v>
      </c>
      <c r="N133" s="1" t="s">
        <v>480</v>
      </c>
      <c r="O133" s="1" t="s">
        <v>480</v>
      </c>
      <c r="P133" s="1" t="s">
        <v>480</v>
      </c>
      <c r="Q133" s="1">
        <v>0</v>
      </c>
      <c r="R133" s="1" t="s">
        <v>480</v>
      </c>
      <c r="S133" s="1" t="s">
        <v>480</v>
      </c>
      <c r="T133" s="1" t="s">
        <v>480</v>
      </c>
      <c r="U133" s="1" t="s">
        <v>480</v>
      </c>
      <c r="V133" s="1" t="s">
        <v>480</v>
      </c>
      <c r="W133" s="1" t="s">
        <v>480</v>
      </c>
      <c r="X133" s="1" t="s">
        <v>480</v>
      </c>
      <c r="Y133" s="1" t="s">
        <v>480</v>
      </c>
      <c r="Z133" s="1" t="s">
        <v>480</v>
      </c>
      <c r="AA133" s="1" t="s">
        <v>480</v>
      </c>
      <c r="AB133" s="1" t="s">
        <v>480</v>
      </c>
      <c r="AC133" s="1" t="s">
        <v>480</v>
      </c>
      <c r="AD133" s="1" t="s">
        <v>480</v>
      </c>
      <c r="AE133" s="1" t="s">
        <v>480</v>
      </c>
      <c r="AF133" s="1" t="s">
        <v>480</v>
      </c>
      <c r="AG133" s="1" t="s">
        <v>480</v>
      </c>
      <c r="AH133" s="1" t="s">
        <v>480</v>
      </c>
      <c r="AI133" s="1" t="s">
        <v>480</v>
      </c>
      <c r="AJ133" s="1">
        <v>0</v>
      </c>
      <c r="AK133" s="1" t="s">
        <v>480</v>
      </c>
      <c r="AL133" s="1" t="s">
        <v>480</v>
      </c>
      <c r="AM133" s="1" t="s">
        <v>480</v>
      </c>
      <c r="AN133" s="1" t="s">
        <v>480</v>
      </c>
      <c r="AO133" s="1" t="s">
        <v>480</v>
      </c>
      <c r="AP133" s="1" t="s">
        <v>480</v>
      </c>
      <c r="AQ133" s="1" t="s">
        <v>480</v>
      </c>
      <c r="AR133" s="1" t="s">
        <v>480</v>
      </c>
      <c r="AS133" s="1" t="s">
        <v>480</v>
      </c>
      <c r="AT133" s="1">
        <f t="shared" si="23"/>
        <v>2</v>
      </c>
    </row>
    <row r="134" spans="1:46" x14ac:dyDescent="0.25">
      <c r="A134" s="1">
        <f>COUNTIF('Value Matchup'!$D$356:$D$423,'Team History'!B134)</f>
        <v>1</v>
      </c>
      <c r="B134" t="s">
        <v>37</v>
      </c>
      <c r="C134" s="1">
        <f t="shared" si="16"/>
        <v>30</v>
      </c>
      <c r="D134" s="1">
        <f t="shared" si="17"/>
        <v>20</v>
      </c>
      <c r="E134" s="1">
        <f t="shared" si="18"/>
        <v>13</v>
      </c>
      <c r="F134" s="1">
        <f t="shared" si="19"/>
        <v>7</v>
      </c>
      <c r="G134" s="1">
        <f t="shared" si="20"/>
        <v>3</v>
      </c>
      <c r="H134" s="1">
        <f t="shared" si="21"/>
        <v>0</v>
      </c>
      <c r="I134" s="64">
        <f t="shared" si="22"/>
        <v>129</v>
      </c>
      <c r="K134" s="90">
        <v>1</v>
      </c>
      <c r="L134" s="1">
        <v>4</v>
      </c>
      <c r="M134" s="1">
        <v>3</v>
      </c>
      <c r="N134" s="1">
        <v>3</v>
      </c>
      <c r="O134" s="1">
        <v>1</v>
      </c>
      <c r="P134" s="1">
        <v>1</v>
      </c>
      <c r="Q134" s="1">
        <v>2</v>
      </c>
      <c r="R134" s="1">
        <v>5</v>
      </c>
      <c r="S134" s="1">
        <v>3</v>
      </c>
      <c r="T134" s="1">
        <v>1</v>
      </c>
      <c r="U134" s="1">
        <v>2</v>
      </c>
      <c r="V134" s="1" t="s">
        <v>480</v>
      </c>
      <c r="W134" s="1">
        <v>3</v>
      </c>
      <c r="X134" s="1">
        <v>0</v>
      </c>
      <c r="Y134" s="1">
        <v>0</v>
      </c>
      <c r="Z134" s="1">
        <v>3</v>
      </c>
      <c r="AA134" s="1">
        <v>5</v>
      </c>
      <c r="AB134" s="1">
        <v>4</v>
      </c>
      <c r="AC134" s="1">
        <v>2</v>
      </c>
      <c r="AD134" s="1">
        <v>1</v>
      </c>
      <c r="AE134" s="1">
        <v>1</v>
      </c>
      <c r="AF134" s="1">
        <v>1</v>
      </c>
      <c r="AG134" s="1">
        <v>2</v>
      </c>
      <c r="AH134" s="1">
        <v>3</v>
      </c>
      <c r="AI134" s="1">
        <v>2</v>
      </c>
      <c r="AJ134" s="1">
        <v>2</v>
      </c>
      <c r="AK134" s="1">
        <v>4</v>
      </c>
      <c r="AL134" s="1">
        <v>1</v>
      </c>
      <c r="AM134" s="1">
        <v>5</v>
      </c>
      <c r="AN134" s="1">
        <v>1</v>
      </c>
      <c r="AO134" s="1" t="s">
        <v>480</v>
      </c>
      <c r="AP134" s="1" t="s">
        <v>480</v>
      </c>
      <c r="AQ134" s="1">
        <v>2</v>
      </c>
      <c r="AR134" s="1">
        <v>4</v>
      </c>
      <c r="AS134" s="1">
        <v>1</v>
      </c>
      <c r="AT134" s="1">
        <f t="shared" si="23"/>
        <v>32</v>
      </c>
    </row>
    <row r="135" spans="1:46" x14ac:dyDescent="0.25">
      <c r="A135" s="1">
        <f>COUNTIF('Value Matchup'!$D$356:$D$423,'Team History'!B135)</f>
        <v>0</v>
      </c>
      <c r="B135" t="s">
        <v>243</v>
      </c>
      <c r="C135" s="1">
        <f t="shared" si="16"/>
        <v>7</v>
      </c>
      <c r="D135" s="1">
        <f t="shared" si="17"/>
        <v>3</v>
      </c>
      <c r="E135" s="1">
        <f t="shared" si="18"/>
        <v>3</v>
      </c>
      <c r="F135" s="1">
        <f t="shared" si="19"/>
        <v>0</v>
      </c>
      <c r="G135" s="1">
        <f t="shared" si="20"/>
        <v>0</v>
      </c>
      <c r="H135" s="1">
        <f t="shared" si="21"/>
        <v>0</v>
      </c>
      <c r="I135" s="64">
        <f t="shared" si="22"/>
        <v>36</v>
      </c>
      <c r="K135" s="90">
        <v>0</v>
      </c>
      <c r="L135" s="1">
        <v>3</v>
      </c>
      <c r="M135" s="1">
        <v>0</v>
      </c>
      <c r="N135" s="1" t="s">
        <v>480</v>
      </c>
      <c r="O135" s="1" t="s">
        <v>480</v>
      </c>
      <c r="P135" s="1">
        <v>0</v>
      </c>
      <c r="Q135" s="1">
        <v>0</v>
      </c>
      <c r="R135" s="1">
        <v>1</v>
      </c>
      <c r="S135" s="1">
        <v>1</v>
      </c>
      <c r="T135" s="1">
        <v>3</v>
      </c>
      <c r="U135" s="1" t="s">
        <v>480</v>
      </c>
      <c r="V135" s="1">
        <v>1</v>
      </c>
      <c r="W135" s="1" t="s">
        <v>480</v>
      </c>
      <c r="X135" s="1" t="s">
        <v>480</v>
      </c>
      <c r="Y135" s="1" t="s">
        <v>480</v>
      </c>
      <c r="Z135" s="1" t="s">
        <v>480</v>
      </c>
      <c r="AA135" s="1" t="s">
        <v>480</v>
      </c>
      <c r="AB135" s="1" t="s">
        <v>480</v>
      </c>
      <c r="AC135" s="1" t="s">
        <v>480</v>
      </c>
      <c r="AD135" s="1" t="s">
        <v>480</v>
      </c>
      <c r="AE135" s="1" t="s">
        <v>480</v>
      </c>
      <c r="AF135" s="1" t="s">
        <v>480</v>
      </c>
      <c r="AG135" s="1" t="s">
        <v>480</v>
      </c>
      <c r="AH135" s="1">
        <v>0</v>
      </c>
      <c r="AI135" s="1" t="s">
        <v>480</v>
      </c>
      <c r="AJ135" s="1" t="s">
        <v>480</v>
      </c>
      <c r="AK135" s="1">
        <v>0</v>
      </c>
      <c r="AL135" s="1" t="s">
        <v>480</v>
      </c>
      <c r="AM135" s="1" t="s">
        <v>480</v>
      </c>
      <c r="AN135" s="1">
        <v>0</v>
      </c>
      <c r="AO135" s="1">
        <v>0</v>
      </c>
      <c r="AP135" s="1">
        <v>3</v>
      </c>
      <c r="AQ135" s="1">
        <v>1</v>
      </c>
      <c r="AR135" s="1" t="s">
        <v>480</v>
      </c>
      <c r="AS135" s="1" t="s">
        <v>480</v>
      </c>
      <c r="AT135" s="1">
        <f t="shared" si="23"/>
        <v>15</v>
      </c>
    </row>
    <row r="136" spans="1:46" x14ac:dyDescent="0.25">
      <c r="A136" s="1">
        <f>COUNTIF('Value Matchup'!$D$356:$D$423,'Team History'!B136)</f>
        <v>0</v>
      </c>
      <c r="B136" t="s">
        <v>244</v>
      </c>
      <c r="C136" s="1">
        <f t="shared" si="16"/>
        <v>0</v>
      </c>
      <c r="D136" s="1">
        <f t="shared" si="17"/>
        <v>0</v>
      </c>
      <c r="E136" s="1">
        <f t="shared" si="18"/>
        <v>0</v>
      </c>
      <c r="F136" s="1">
        <f t="shared" si="19"/>
        <v>0</v>
      </c>
      <c r="G136" s="1">
        <f t="shared" si="20"/>
        <v>0</v>
      </c>
      <c r="H136" s="1">
        <f t="shared" si="21"/>
        <v>0</v>
      </c>
      <c r="I136" s="64">
        <f t="shared" si="22"/>
        <v>0</v>
      </c>
      <c r="K136" s="90" t="s">
        <v>480</v>
      </c>
      <c r="L136" s="1" t="s">
        <v>480</v>
      </c>
      <c r="M136" s="1" t="s">
        <v>480</v>
      </c>
      <c r="N136" s="1" t="s">
        <v>480</v>
      </c>
      <c r="O136" s="1" t="s">
        <v>480</v>
      </c>
      <c r="P136" s="1" t="s">
        <v>480</v>
      </c>
      <c r="Q136" s="1" t="s">
        <v>480</v>
      </c>
      <c r="R136" s="1" t="s">
        <v>480</v>
      </c>
      <c r="S136" s="1" t="s">
        <v>480</v>
      </c>
      <c r="T136" s="1" t="s">
        <v>480</v>
      </c>
      <c r="U136" s="1" t="s">
        <v>480</v>
      </c>
      <c r="V136" s="1" t="s">
        <v>480</v>
      </c>
      <c r="W136" s="1" t="s">
        <v>480</v>
      </c>
      <c r="X136" s="1" t="s">
        <v>480</v>
      </c>
      <c r="Y136" s="1" t="s">
        <v>480</v>
      </c>
      <c r="Z136" s="1" t="s">
        <v>480</v>
      </c>
      <c r="AA136" s="1" t="s">
        <v>480</v>
      </c>
      <c r="AB136" s="1" t="s">
        <v>480</v>
      </c>
      <c r="AC136" s="1" t="s">
        <v>480</v>
      </c>
      <c r="AD136" s="1" t="s">
        <v>480</v>
      </c>
      <c r="AE136" s="1" t="s">
        <v>480</v>
      </c>
      <c r="AF136" s="1" t="s">
        <v>480</v>
      </c>
      <c r="AG136" s="1" t="s">
        <v>480</v>
      </c>
      <c r="AH136" s="1" t="s">
        <v>480</v>
      </c>
      <c r="AI136" s="1" t="s">
        <v>480</v>
      </c>
      <c r="AJ136" s="1" t="s">
        <v>480</v>
      </c>
      <c r="AK136" s="1" t="s">
        <v>480</v>
      </c>
      <c r="AL136" s="1" t="s">
        <v>480</v>
      </c>
      <c r="AM136" s="1" t="s">
        <v>480</v>
      </c>
      <c r="AN136" s="1" t="s">
        <v>480</v>
      </c>
      <c r="AO136" s="1" t="s">
        <v>480</v>
      </c>
      <c r="AP136" s="1" t="s">
        <v>480</v>
      </c>
      <c r="AQ136" s="1" t="s">
        <v>480</v>
      </c>
      <c r="AR136" s="1" t="s">
        <v>480</v>
      </c>
      <c r="AS136" s="1" t="s">
        <v>480</v>
      </c>
      <c r="AT136" s="1">
        <f t="shared" si="23"/>
        <v>0</v>
      </c>
    </row>
    <row r="137" spans="1:46" x14ac:dyDescent="0.25">
      <c r="A137" s="1">
        <f>COUNTIF('Value Matchup'!$D$356:$D$423,'Team History'!B137)</f>
        <v>0</v>
      </c>
      <c r="B137" t="s">
        <v>245</v>
      </c>
      <c r="C137" s="1">
        <f t="shared" si="16"/>
        <v>2</v>
      </c>
      <c r="D137" s="1">
        <f t="shared" si="17"/>
        <v>1</v>
      </c>
      <c r="E137" s="1">
        <f t="shared" si="18"/>
        <v>1</v>
      </c>
      <c r="F137" s="1">
        <f t="shared" si="19"/>
        <v>0</v>
      </c>
      <c r="G137" s="1">
        <f t="shared" si="20"/>
        <v>0</v>
      </c>
      <c r="H137" s="1">
        <f t="shared" si="21"/>
        <v>0</v>
      </c>
      <c r="I137" s="64">
        <f t="shared" si="22"/>
        <v>10</v>
      </c>
      <c r="K137" s="90" t="s">
        <v>480</v>
      </c>
      <c r="L137" s="1" t="s">
        <v>480</v>
      </c>
      <c r="M137" s="1">
        <v>0</v>
      </c>
      <c r="N137" s="1" t="s">
        <v>480</v>
      </c>
      <c r="O137" s="1" t="s">
        <v>480</v>
      </c>
      <c r="P137" s="1" t="s">
        <v>480</v>
      </c>
      <c r="Q137" s="1" t="s">
        <v>480</v>
      </c>
      <c r="R137" s="1" t="s">
        <v>480</v>
      </c>
      <c r="S137" s="1" t="s">
        <v>480</v>
      </c>
      <c r="T137" s="1" t="s">
        <v>480</v>
      </c>
      <c r="U137" s="1" t="s">
        <v>480</v>
      </c>
      <c r="V137" s="1">
        <v>0</v>
      </c>
      <c r="W137" s="1" t="s">
        <v>480</v>
      </c>
      <c r="X137" s="1">
        <v>0</v>
      </c>
      <c r="Y137" s="1" t="s">
        <v>480</v>
      </c>
      <c r="Z137" s="1" t="s">
        <v>480</v>
      </c>
      <c r="AA137" s="1" t="s">
        <v>480</v>
      </c>
      <c r="AB137" s="1">
        <v>3</v>
      </c>
      <c r="AC137" s="1">
        <v>1</v>
      </c>
      <c r="AD137" s="1" t="s">
        <v>480</v>
      </c>
      <c r="AE137" s="1">
        <v>0</v>
      </c>
      <c r="AF137" s="1" t="s">
        <v>480</v>
      </c>
      <c r="AG137" s="1" t="s">
        <v>480</v>
      </c>
      <c r="AH137" s="1" t="s">
        <v>480</v>
      </c>
      <c r="AI137" s="1" t="s">
        <v>480</v>
      </c>
      <c r="AJ137" s="1" t="s">
        <v>480</v>
      </c>
      <c r="AK137" s="1" t="s">
        <v>480</v>
      </c>
      <c r="AL137" s="1" t="s">
        <v>480</v>
      </c>
      <c r="AM137" s="1" t="s">
        <v>480</v>
      </c>
      <c r="AN137" s="1" t="s">
        <v>480</v>
      </c>
      <c r="AO137" s="1" t="s">
        <v>480</v>
      </c>
      <c r="AP137" s="1" t="s">
        <v>480</v>
      </c>
      <c r="AQ137" s="1" t="s">
        <v>480</v>
      </c>
      <c r="AR137" s="1" t="s">
        <v>480</v>
      </c>
      <c r="AS137" s="1" t="s">
        <v>480</v>
      </c>
      <c r="AT137" s="1">
        <f t="shared" si="23"/>
        <v>6</v>
      </c>
    </row>
    <row r="138" spans="1:46" x14ac:dyDescent="0.25">
      <c r="A138" s="1">
        <f>COUNTIF('Value Matchup'!$D$356:$D$423,'Team History'!B138)</f>
        <v>0</v>
      </c>
      <c r="B138" t="s">
        <v>26</v>
      </c>
      <c r="C138" s="1">
        <f t="shared" si="16"/>
        <v>25</v>
      </c>
      <c r="D138" s="1">
        <f t="shared" si="17"/>
        <v>19</v>
      </c>
      <c r="E138" s="1">
        <f t="shared" si="18"/>
        <v>14</v>
      </c>
      <c r="F138" s="1">
        <f t="shared" si="19"/>
        <v>5</v>
      </c>
      <c r="G138" s="1">
        <f t="shared" si="20"/>
        <v>2</v>
      </c>
      <c r="H138" s="1">
        <f t="shared" si="21"/>
        <v>0</v>
      </c>
      <c r="I138" s="64">
        <f t="shared" si="22"/>
        <v>117</v>
      </c>
      <c r="K138" s="90">
        <v>3</v>
      </c>
      <c r="L138" s="1">
        <v>2</v>
      </c>
      <c r="M138" s="1">
        <v>3</v>
      </c>
      <c r="N138" s="1">
        <v>1</v>
      </c>
      <c r="O138" s="1">
        <v>4</v>
      </c>
      <c r="P138" s="1">
        <v>5</v>
      </c>
      <c r="Q138" s="1" t="s">
        <v>480</v>
      </c>
      <c r="R138" s="1" t="s">
        <v>480</v>
      </c>
      <c r="S138" s="1">
        <v>4</v>
      </c>
      <c r="T138" s="1">
        <v>3</v>
      </c>
      <c r="U138" s="1" t="s">
        <v>480</v>
      </c>
      <c r="V138" s="1">
        <v>0</v>
      </c>
      <c r="W138" s="1">
        <v>1</v>
      </c>
      <c r="X138" s="1">
        <v>1</v>
      </c>
      <c r="Y138" s="1">
        <v>3</v>
      </c>
      <c r="Z138" s="1">
        <v>1</v>
      </c>
      <c r="AA138" s="1">
        <v>3</v>
      </c>
      <c r="AB138" s="1">
        <v>2</v>
      </c>
      <c r="AC138" s="1">
        <v>2</v>
      </c>
      <c r="AD138" s="1">
        <v>1</v>
      </c>
      <c r="AE138" s="1">
        <v>3</v>
      </c>
      <c r="AF138" s="1" t="s">
        <v>480</v>
      </c>
      <c r="AG138" s="1">
        <v>5</v>
      </c>
      <c r="AH138" s="1" t="s">
        <v>480</v>
      </c>
      <c r="AI138" s="1">
        <v>3</v>
      </c>
      <c r="AJ138" s="1">
        <v>1</v>
      </c>
      <c r="AK138" s="1">
        <v>4</v>
      </c>
      <c r="AL138" s="1">
        <v>3</v>
      </c>
      <c r="AM138" s="1" t="s">
        <v>480</v>
      </c>
      <c r="AN138" s="1" t="s">
        <v>480</v>
      </c>
      <c r="AO138" s="1" t="s">
        <v>480</v>
      </c>
      <c r="AP138" s="1">
        <v>2</v>
      </c>
      <c r="AQ138" s="1">
        <v>0</v>
      </c>
      <c r="AR138" s="1">
        <v>3</v>
      </c>
      <c r="AS138" s="1">
        <v>2</v>
      </c>
      <c r="AT138" s="1">
        <f t="shared" si="23"/>
        <v>27</v>
      </c>
    </row>
    <row r="139" spans="1:46" x14ac:dyDescent="0.25">
      <c r="A139" s="1">
        <f>COUNTIF('Value Matchup'!$D$356:$D$423,'Team History'!B139)</f>
        <v>0</v>
      </c>
      <c r="B139" t="s">
        <v>246</v>
      </c>
      <c r="C139" s="1">
        <f t="shared" si="16"/>
        <v>2</v>
      </c>
      <c r="D139" s="1">
        <f t="shared" si="17"/>
        <v>1</v>
      </c>
      <c r="E139" s="1">
        <f t="shared" si="18"/>
        <v>0</v>
      </c>
      <c r="F139" s="1">
        <f t="shared" si="19"/>
        <v>0</v>
      </c>
      <c r="G139" s="1">
        <f t="shared" si="20"/>
        <v>0</v>
      </c>
      <c r="H139" s="1">
        <f t="shared" si="21"/>
        <v>0</v>
      </c>
      <c r="I139" s="64">
        <f t="shared" si="22"/>
        <v>10</v>
      </c>
      <c r="K139" s="90" t="s">
        <v>480</v>
      </c>
      <c r="L139" s="1" t="s">
        <v>480</v>
      </c>
      <c r="M139" s="1" t="s">
        <v>480</v>
      </c>
      <c r="N139" s="1" t="s">
        <v>480</v>
      </c>
      <c r="O139" s="1" t="s">
        <v>480</v>
      </c>
      <c r="P139" s="1" t="s">
        <v>480</v>
      </c>
      <c r="Q139" s="1">
        <v>2</v>
      </c>
      <c r="R139" s="1" t="s">
        <v>480</v>
      </c>
      <c r="S139" s="1" t="s">
        <v>480</v>
      </c>
      <c r="T139" s="1" t="s">
        <v>480</v>
      </c>
      <c r="U139" s="1" t="s">
        <v>480</v>
      </c>
      <c r="V139" s="1" t="s">
        <v>480</v>
      </c>
      <c r="W139" s="1" t="s">
        <v>480</v>
      </c>
      <c r="X139" s="1" t="s">
        <v>480</v>
      </c>
      <c r="Y139" s="1" t="s">
        <v>480</v>
      </c>
      <c r="Z139" s="1" t="s">
        <v>480</v>
      </c>
      <c r="AA139" s="1" t="s">
        <v>480</v>
      </c>
      <c r="AB139" s="1" t="s">
        <v>480</v>
      </c>
      <c r="AC139" s="1" t="s">
        <v>480</v>
      </c>
      <c r="AD139" s="1" t="s">
        <v>480</v>
      </c>
      <c r="AE139" s="1" t="s">
        <v>480</v>
      </c>
      <c r="AF139" s="1" t="s">
        <v>480</v>
      </c>
      <c r="AG139" s="1" t="s">
        <v>480</v>
      </c>
      <c r="AH139" s="1" t="s">
        <v>480</v>
      </c>
      <c r="AI139" s="1" t="s">
        <v>480</v>
      </c>
      <c r="AJ139" s="1" t="s">
        <v>480</v>
      </c>
      <c r="AK139" s="1" t="s">
        <v>480</v>
      </c>
      <c r="AL139" s="1">
        <v>0</v>
      </c>
      <c r="AM139" s="1" t="s">
        <v>480</v>
      </c>
      <c r="AN139" s="1">
        <v>1</v>
      </c>
      <c r="AO139" s="1">
        <v>0</v>
      </c>
      <c r="AP139" s="1">
        <v>0</v>
      </c>
      <c r="AQ139" s="1" t="s">
        <v>480</v>
      </c>
      <c r="AR139" s="1" t="s">
        <v>480</v>
      </c>
      <c r="AS139" s="1" t="s">
        <v>480</v>
      </c>
      <c r="AT139" s="1">
        <f t="shared" si="23"/>
        <v>5</v>
      </c>
    </row>
    <row r="140" spans="1:46" x14ac:dyDescent="0.25">
      <c r="A140" s="1">
        <f>COUNTIF('Value Matchup'!$D$356:$D$423,'Team History'!B140)</f>
        <v>0</v>
      </c>
      <c r="B140" t="s">
        <v>51</v>
      </c>
      <c r="C140" s="1">
        <f t="shared" si="16"/>
        <v>0</v>
      </c>
      <c r="D140" s="1">
        <f t="shared" si="17"/>
        <v>0</v>
      </c>
      <c r="E140" s="1">
        <f t="shared" si="18"/>
        <v>0</v>
      </c>
      <c r="F140" s="1">
        <f t="shared" si="19"/>
        <v>0</v>
      </c>
      <c r="G140" s="1">
        <f t="shared" si="20"/>
        <v>0</v>
      </c>
      <c r="H140" s="1">
        <f t="shared" si="21"/>
        <v>0</v>
      </c>
      <c r="I140" s="64">
        <f t="shared" si="22"/>
        <v>3</v>
      </c>
      <c r="K140" s="90" t="s">
        <v>480</v>
      </c>
      <c r="L140" s="1" t="s">
        <v>480</v>
      </c>
      <c r="M140" s="1" t="s">
        <v>480</v>
      </c>
      <c r="N140" s="1" t="s">
        <v>480</v>
      </c>
      <c r="O140" s="1">
        <v>0</v>
      </c>
      <c r="P140" s="1" t="s">
        <v>480</v>
      </c>
      <c r="Q140" s="1" t="s">
        <v>480</v>
      </c>
      <c r="R140" s="1" t="s">
        <v>480</v>
      </c>
      <c r="S140" s="1" t="s">
        <v>480</v>
      </c>
      <c r="T140" s="1" t="s">
        <v>480</v>
      </c>
      <c r="U140" s="1" t="s">
        <v>480</v>
      </c>
      <c r="V140" s="1" t="s">
        <v>480</v>
      </c>
      <c r="W140" s="1" t="s">
        <v>480</v>
      </c>
      <c r="X140" s="1" t="s">
        <v>480</v>
      </c>
      <c r="Y140" s="1" t="s">
        <v>480</v>
      </c>
      <c r="Z140" s="1" t="s">
        <v>480</v>
      </c>
      <c r="AA140" s="1" t="s">
        <v>480</v>
      </c>
      <c r="AB140" s="1" t="s">
        <v>480</v>
      </c>
      <c r="AC140" s="1" t="s">
        <v>480</v>
      </c>
      <c r="AD140" s="1">
        <v>0</v>
      </c>
      <c r="AE140" s="1">
        <v>0</v>
      </c>
      <c r="AF140" s="1" t="s">
        <v>480</v>
      </c>
      <c r="AG140" s="1" t="s">
        <v>480</v>
      </c>
      <c r="AH140" s="1" t="s">
        <v>480</v>
      </c>
      <c r="AI140" s="1" t="s">
        <v>480</v>
      </c>
      <c r="AJ140" s="1" t="s">
        <v>480</v>
      </c>
      <c r="AK140" s="1" t="s">
        <v>480</v>
      </c>
      <c r="AL140" s="1" t="s">
        <v>480</v>
      </c>
      <c r="AM140" s="1" t="s">
        <v>480</v>
      </c>
      <c r="AN140" s="1" t="s">
        <v>480</v>
      </c>
      <c r="AO140" s="1" t="s">
        <v>480</v>
      </c>
      <c r="AP140" s="1" t="s">
        <v>480</v>
      </c>
      <c r="AQ140" s="1" t="s">
        <v>480</v>
      </c>
      <c r="AR140" s="1" t="s">
        <v>480</v>
      </c>
      <c r="AS140" s="1" t="s">
        <v>480</v>
      </c>
      <c r="AT140" s="1">
        <f t="shared" si="23"/>
        <v>3</v>
      </c>
    </row>
    <row r="141" spans="1:46" x14ac:dyDescent="0.25">
      <c r="A141" s="1">
        <f>COUNTIF('Value Matchup'!$D$356:$D$423,'Team History'!B141)</f>
        <v>0</v>
      </c>
      <c r="B141" t="s">
        <v>247</v>
      </c>
      <c r="C141" s="1">
        <f t="shared" si="16"/>
        <v>0</v>
      </c>
      <c r="D141" s="1">
        <f t="shared" si="17"/>
        <v>0</v>
      </c>
      <c r="E141" s="1">
        <f t="shared" si="18"/>
        <v>0</v>
      </c>
      <c r="F141" s="1">
        <f t="shared" si="19"/>
        <v>0</v>
      </c>
      <c r="G141" s="1">
        <f t="shared" si="20"/>
        <v>0</v>
      </c>
      <c r="H141" s="1">
        <f t="shared" si="21"/>
        <v>0</v>
      </c>
      <c r="I141" s="64">
        <f t="shared" si="22"/>
        <v>2</v>
      </c>
      <c r="K141" s="90" t="s">
        <v>480</v>
      </c>
      <c r="L141" s="1" t="s">
        <v>480</v>
      </c>
      <c r="M141" s="1" t="s">
        <v>480</v>
      </c>
      <c r="N141" s="1" t="s">
        <v>480</v>
      </c>
      <c r="O141" s="1" t="s">
        <v>480</v>
      </c>
      <c r="P141" s="1" t="s">
        <v>480</v>
      </c>
      <c r="Q141" s="1" t="s">
        <v>480</v>
      </c>
      <c r="R141" s="1">
        <v>0</v>
      </c>
      <c r="S141" s="1" t="s">
        <v>480</v>
      </c>
      <c r="T141" s="1" t="s">
        <v>480</v>
      </c>
      <c r="U141" s="1" t="s">
        <v>480</v>
      </c>
      <c r="V141" s="1" t="s">
        <v>480</v>
      </c>
      <c r="W141" s="1" t="s">
        <v>480</v>
      </c>
      <c r="X141" s="1" t="s">
        <v>480</v>
      </c>
      <c r="Y141" s="1" t="s">
        <v>480</v>
      </c>
      <c r="Z141" s="1" t="s">
        <v>480</v>
      </c>
      <c r="AA141" s="1" t="s">
        <v>480</v>
      </c>
      <c r="AB141" s="1" t="s">
        <v>480</v>
      </c>
      <c r="AC141" s="1" t="s">
        <v>480</v>
      </c>
      <c r="AD141" s="1">
        <v>0</v>
      </c>
      <c r="AE141" s="1" t="s">
        <v>480</v>
      </c>
      <c r="AF141" s="1" t="s">
        <v>480</v>
      </c>
      <c r="AG141" s="1" t="s">
        <v>480</v>
      </c>
      <c r="AH141" s="1" t="s">
        <v>480</v>
      </c>
      <c r="AI141" s="1" t="s">
        <v>480</v>
      </c>
      <c r="AJ141" s="1" t="s">
        <v>480</v>
      </c>
      <c r="AK141" s="1" t="s">
        <v>480</v>
      </c>
      <c r="AL141" s="1" t="s">
        <v>480</v>
      </c>
      <c r="AM141" s="1" t="s">
        <v>480</v>
      </c>
      <c r="AN141" s="1" t="s">
        <v>480</v>
      </c>
      <c r="AO141" s="1" t="s">
        <v>480</v>
      </c>
      <c r="AP141" s="1" t="s">
        <v>480</v>
      </c>
      <c r="AQ141" s="1" t="s">
        <v>480</v>
      </c>
      <c r="AR141" s="1" t="s">
        <v>480</v>
      </c>
      <c r="AS141" s="1" t="s">
        <v>480</v>
      </c>
      <c r="AT141" s="1">
        <f t="shared" si="23"/>
        <v>2</v>
      </c>
    </row>
    <row r="142" spans="1:46" x14ac:dyDescent="0.25">
      <c r="A142" s="1">
        <f>COUNTIF('Value Matchup'!$D$356:$D$423,'Team History'!B142)</f>
        <v>0</v>
      </c>
      <c r="B142" t="s">
        <v>248</v>
      </c>
      <c r="C142" s="1">
        <f t="shared" si="16"/>
        <v>1</v>
      </c>
      <c r="D142" s="1">
        <f t="shared" si="17"/>
        <v>0</v>
      </c>
      <c r="E142" s="1">
        <f t="shared" si="18"/>
        <v>0</v>
      </c>
      <c r="F142" s="1">
        <f t="shared" si="19"/>
        <v>0</v>
      </c>
      <c r="G142" s="1">
        <f t="shared" si="20"/>
        <v>0</v>
      </c>
      <c r="H142" s="1">
        <f t="shared" si="21"/>
        <v>0</v>
      </c>
      <c r="I142" s="64">
        <f t="shared" si="22"/>
        <v>7</v>
      </c>
      <c r="K142" s="90" t="s">
        <v>480</v>
      </c>
      <c r="L142" s="1" t="s">
        <v>480</v>
      </c>
      <c r="M142" s="1" t="s">
        <v>480</v>
      </c>
      <c r="N142" s="1" t="s">
        <v>480</v>
      </c>
      <c r="O142" s="1" t="s">
        <v>480</v>
      </c>
      <c r="P142" s="1" t="s">
        <v>480</v>
      </c>
      <c r="Q142" s="1" t="s">
        <v>480</v>
      </c>
      <c r="R142" s="1">
        <v>1</v>
      </c>
      <c r="S142" s="1" t="s">
        <v>480</v>
      </c>
      <c r="T142" s="1">
        <v>0</v>
      </c>
      <c r="U142" s="1" t="s">
        <v>480</v>
      </c>
      <c r="V142" s="1" t="s">
        <v>480</v>
      </c>
      <c r="W142" s="1" t="s">
        <v>480</v>
      </c>
      <c r="X142" s="1" t="s">
        <v>480</v>
      </c>
      <c r="Y142" s="1" t="s">
        <v>480</v>
      </c>
      <c r="Z142" s="1">
        <v>0</v>
      </c>
      <c r="AA142" s="1" t="s">
        <v>480</v>
      </c>
      <c r="AB142" s="1" t="s">
        <v>480</v>
      </c>
      <c r="AC142" s="1" t="s">
        <v>480</v>
      </c>
      <c r="AD142" s="1" t="s">
        <v>480</v>
      </c>
      <c r="AE142" s="1" t="s">
        <v>480</v>
      </c>
      <c r="AF142" s="1" t="s">
        <v>480</v>
      </c>
      <c r="AG142" s="1" t="s">
        <v>480</v>
      </c>
      <c r="AH142" s="1" t="s">
        <v>480</v>
      </c>
      <c r="AI142" s="1" t="s">
        <v>480</v>
      </c>
      <c r="AJ142" s="1" t="s">
        <v>480</v>
      </c>
      <c r="AK142" s="1" t="s">
        <v>480</v>
      </c>
      <c r="AL142" s="1" t="s">
        <v>480</v>
      </c>
      <c r="AM142" s="1" t="s">
        <v>480</v>
      </c>
      <c r="AN142" s="1" t="s">
        <v>480</v>
      </c>
      <c r="AO142" s="1" t="s">
        <v>480</v>
      </c>
      <c r="AP142" s="1">
        <v>0</v>
      </c>
      <c r="AQ142" s="1" t="s">
        <v>480</v>
      </c>
      <c r="AR142" s="1" t="s">
        <v>480</v>
      </c>
      <c r="AS142" s="1">
        <v>0</v>
      </c>
      <c r="AT142" s="1">
        <f t="shared" si="23"/>
        <v>5</v>
      </c>
    </row>
    <row r="143" spans="1:46" x14ac:dyDescent="0.25">
      <c r="A143" s="1">
        <f>COUNTIF('Value Matchup'!$D$356:$D$423,'Team History'!B143)</f>
        <v>1</v>
      </c>
      <c r="B143" t="s">
        <v>249</v>
      </c>
      <c r="C143" s="1">
        <f t="shared" si="16"/>
        <v>1</v>
      </c>
      <c r="D143" s="1">
        <f t="shared" si="17"/>
        <v>0</v>
      </c>
      <c r="E143" s="1">
        <f t="shared" si="18"/>
        <v>0</v>
      </c>
      <c r="F143" s="1">
        <f t="shared" si="19"/>
        <v>0</v>
      </c>
      <c r="G143" s="1">
        <f t="shared" si="20"/>
        <v>0</v>
      </c>
      <c r="H143" s="1">
        <f t="shared" si="21"/>
        <v>0</v>
      </c>
      <c r="I143" s="64">
        <f t="shared" si="22"/>
        <v>6</v>
      </c>
      <c r="K143" s="90">
        <v>1</v>
      </c>
      <c r="L143" s="1" t="s">
        <v>480</v>
      </c>
      <c r="M143" s="1" t="s">
        <v>480</v>
      </c>
      <c r="N143" s="1" t="s">
        <v>480</v>
      </c>
      <c r="O143" s="1" t="s">
        <v>480</v>
      </c>
      <c r="P143" s="1" t="s">
        <v>480</v>
      </c>
      <c r="Q143" s="1">
        <v>0</v>
      </c>
      <c r="R143" s="1" t="s">
        <v>480</v>
      </c>
      <c r="S143" s="1" t="s">
        <v>480</v>
      </c>
      <c r="T143" s="1" t="s">
        <v>480</v>
      </c>
      <c r="U143" s="1" t="s">
        <v>480</v>
      </c>
      <c r="V143" s="1" t="s">
        <v>480</v>
      </c>
      <c r="W143" s="1" t="s">
        <v>480</v>
      </c>
      <c r="X143" s="1" t="s">
        <v>480</v>
      </c>
      <c r="Y143" s="1" t="s">
        <v>480</v>
      </c>
      <c r="Z143" s="1">
        <v>0</v>
      </c>
      <c r="AA143" s="1" t="s">
        <v>480</v>
      </c>
      <c r="AB143" s="1" t="s">
        <v>480</v>
      </c>
      <c r="AC143" s="1" t="s">
        <v>480</v>
      </c>
      <c r="AD143" s="1" t="s">
        <v>480</v>
      </c>
      <c r="AE143" s="1" t="s">
        <v>480</v>
      </c>
      <c r="AF143" s="1" t="s">
        <v>480</v>
      </c>
      <c r="AG143" s="1" t="s">
        <v>480</v>
      </c>
      <c r="AH143" s="1" t="s">
        <v>480</v>
      </c>
      <c r="AI143" s="1" t="s">
        <v>480</v>
      </c>
      <c r="AJ143" s="1">
        <v>0</v>
      </c>
      <c r="AK143" s="1" t="s">
        <v>480</v>
      </c>
      <c r="AL143" s="1" t="s">
        <v>480</v>
      </c>
      <c r="AM143" s="1" t="s">
        <v>480</v>
      </c>
      <c r="AN143" s="1" t="s">
        <v>480</v>
      </c>
      <c r="AO143" s="1" t="s">
        <v>480</v>
      </c>
      <c r="AP143" s="1" t="s">
        <v>480</v>
      </c>
      <c r="AQ143" s="1" t="s">
        <v>480</v>
      </c>
      <c r="AR143" s="1" t="s">
        <v>480</v>
      </c>
      <c r="AS143" s="1" t="s">
        <v>480</v>
      </c>
      <c r="AT143" s="1">
        <f t="shared" si="23"/>
        <v>4</v>
      </c>
    </row>
    <row r="144" spans="1:46" x14ac:dyDescent="0.25">
      <c r="A144" s="1">
        <f>COUNTIF('Value Matchup'!$D$356:$D$423,'Team History'!B144)</f>
        <v>0</v>
      </c>
      <c r="B144" t="s">
        <v>250</v>
      </c>
      <c r="C144" s="1">
        <f t="shared" si="16"/>
        <v>0</v>
      </c>
      <c r="D144" s="1">
        <f t="shared" si="17"/>
        <v>0</v>
      </c>
      <c r="E144" s="1">
        <f t="shared" si="18"/>
        <v>0</v>
      </c>
      <c r="F144" s="1">
        <f t="shared" si="19"/>
        <v>0</v>
      </c>
      <c r="G144" s="1">
        <f t="shared" si="20"/>
        <v>0</v>
      </c>
      <c r="H144" s="1">
        <f t="shared" si="21"/>
        <v>0</v>
      </c>
      <c r="I144" s="64">
        <f t="shared" si="22"/>
        <v>1</v>
      </c>
      <c r="K144" s="90" t="s">
        <v>480</v>
      </c>
      <c r="L144" s="1">
        <v>0</v>
      </c>
      <c r="M144" s="1" t="s">
        <v>480</v>
      </c>
      <c r="N144" s="1" t="s">
        <v>480</v>
      </c>
      <c r="O144" s="1" t="s">
        <v>480</v>
      </c>
      <c r="P144" s="1" t="s">
        <v>480</v>
      </c>
      <c r="Q144" s="1" t="s">
        <v>480</v>
      </c>
      <c r="R144" s="1" t="s">
        <v>480</v>
      </c>
      <c r="S144" s="1" t="s">
        <v>480</v>
      </c>
      <c r="T144" s="1" t="s">
        <v>480</v>
      </c>
      <c r="U144" s="1" t="s">
        <v>480</v>
      </c>
      <c r="V144" s="1" t="s">
        <v>480</v>
      </c>
      <c r="W144" s="1" t="s">
        <v>480</v>
      </c>
      <c r="X144" s="1" t="s">
        <v>480</v>
      </c>
      <c r="Y144" s="1" t="s">
        <v>480</v>
      </c>
      <c r="Z144" s="1" t="s">
        <v>480</v>
      </c>
      <c r="AA144" s="1" t="s">
        <v>480</v>
      </c>
      <c r="AB144" s="1" t="s">
        <v>480</v>
      </c>
      <c r="AC144" s="1" t="s">
        <v>480</v>
      </c>
      <c r="AD144" s="1" t="s">
        <v>480</v>
      </c>
      <c r="AE144" s="1" t="s">
        <v>480</v>
      </c>
      <c r="AF144" s="1" t="s">
        <v>480</v>
      </c>
      <c r="AG144" s="1" t="s">
        <v>480</v>
      </c>
      <c r="AH144" s="1" t="s">
        <v>480</v>
      </c>
      <c r="AI144" s="1" t="s">
        <v>480</v>
      </c>
      <c r="AJ144" s="1" t="s">
        <v>480</v>
      </c>
      <c r="AK144" s="1" t="s">
        <v>480</v>
      </c>
      <c r="AL144" s="1" t="s">
        <v>480</v>
      </c>
      <c r="AM144" s="1" t="s">
        <v>480</v>
      </c>
      <c r="AN144" s="1" t="s">
        <v>480</v>
      </c>
      <c r="AO144" s="1" t="s">
        <v>480</v>
      </c>
      <c r="AP144" s="1" t="s">
        <v>480</v>
      </c>
      <c r="AQ144" s="1" t="s">
        <v>480</v>
      </c>
      <c r="AR144" s="1" t="s">
        <v>480</v>
      </c>
      <c r="AS144" s="1" t="s">
        <v>480</v>
      </c>
      <c r="AT144" s="1">
        <f t="shared" si="23"/>
        <v>1</v>
      </c>
    </row>
    <row r="145" spans="1:46" x14ac:dyDescent="0.25">
      <c r="A145" s="1">
        <f>COUNTIF('Value Matchup'!$D$356:$D$423,'Team History'!B145)</f>
        <v>0</v>
      </c>
      <c r="B145" t="s">
        <v>472</v>
      </c>
      <c r="C145" s="1">
        <f t="shared" si="16"/>
        <v>0</v>
      </c>
      <c r="D145" s="1">
        <f t="shared" si="17"/>
        <v>0</v>
      </c>
      <c r="E145" s="1">
        <f t="shared" si="18"/>
        <v>0</v>
      </c>
      <c r="F145" s="1">
        <f t="shared" si="19"/>
        <v>0</v>
      </c>
      <c r="G145" s="1">
        <f t="shared" si="20"/>
        <v>0</v>
      </c>
      <c r="H145" s="1">
        <f t="shared" si="21"/>
        <v>0</v>
      </c>
      <c r="I145" s="64">
        <f t="shared" si="22"/>
        <v>0</v>
      </c>
      <c r="K145" s="90" t="s">
        <v>480</v>
      </c>
      <c r="L145" s="1" t="s">
        <v>480</v>
      </c>
      <c r="M145" s="1" t="s">
        <v>480</v>
      </c>
      <c r="N145" s="1" t="s">
        <v>480</v>
      </c>
      <c r="O145" s="1" t="s">
        <v>480</v>
      </c>
      <c r="P145" s="1" t="s">
        <v>480</v>
      </c>
      <c r="Q145" s="1" t="s">
        <v>480</v>
      </c>
      <c r="R145" s="1" t="s">
        <v>480</v>
      </c>
      <c r="S145" s="1" t="s">
        <v>480</v>
      </c>
      <c r="T145" s="1" t="s">
        <v>480</v>
      </c>
      <c r="U145" s="1" t="s">
        <v>480</v>
      </c>
      <c r="V145" s="1" t="s">
        <v>480</v>
      </c>
      <c r="W145" s="1" t="s">
        <v>480</v>
      </c>
      <c r="X145" s="1" t="s">
        <v>480</v>
      </c>
      <c r="Y145" s="1" t="s">
        <v>480</v>
      </c>
      <c r="Z145" s="1" t="s">
        <v>480</v>
      </c>
      <c r="AA145" s="1" t="s">
        <v>480</v>
      </c>
      <c r="AB145" s="1" t="s">
        <v>480</v>
      </c>
      <c r="AC145" s="1" t="s">
        <v>480</v>
      </c>
      <c r="AD145" s="1" t="s">
        <v>480</v>
      </c>
      <c r="AE145" s="1" t="s">
        <v>480</v>
      </c>
      <c r="AF145" s="1" t="s">
        <v>480</v>
      </c>
      <c r="AG145" s="1" t="s">
        <v>480</v>
      </c>
      <c r="AH145" s="1" t="s">
        <v>480</v>
      </c>
      <c r="AI145" s="1" t="s">
        <v>480</v>
      </c>
      <c r="AJ145" s="1" t="s">
        <v>480</v>
      </c>
      <c r="AK145" s="1" t="s">
        <v>480</v>
      </c>
      <c r="AL145" s="1" t="s">
        <v>480</v>
      </c>
      <c r="AM145" s="1" t="s">
        <v>480</v>
      </c>
      <c r="AN145" s="1" t="s">
        <v>480</v>
      </c>
      <c r="AO145" s="1" t="s">
        <v>480</v>
      </c>
      <c r="AP145" s="1" t="s">
        <v>480</v>
      </c>
      <c r="AQ145" s="1" t="s">
        <v>480</v>
      </c>
      <c r="AR145" s="1" t="s">
        <v>480</v>
      </c>
      <c r="AS145" s="1" t="s">
        <v>480</v>
      </c>
      <c r="AT145" s="1">
        <f t="shared" si="23"/>
        <v>0</v>
      </c>
    </row>
    <row r="146" spans="1:46" x14ac:dyDescent="0.25">
      <c r="A146" s="1">
        <f>COUNTIF('Value Matchup'!$D$356:$D$423,'Team History'!B146)</f>
        <v>0</v>
      </c>
      <c r="B146" t="s">
        <v>251</v>
      </c>
      <c r="C146" s="1">
        <f t="shared" si="16"/>
        <v>0</v>
      </c>
      <c r="D146" s="1">
        <f t="shared" si="17"/>
        <v>0</v>
      </c>
      <c r="E146" s="1">
        <f t="shared" si="18"/>
        <v>0</v>
      </c>
      <c r="F146" s="1">
        <f t="shared" si="19"/>
        <v>0</v>
      </c>
      <c r="G146" s="1">
        <f t="shared" si="20"/>
        <v>0</v>
      </c>
      <c r="H146" s="1">
        <f t="shared" si="21"/>
        <v>0</v>
      </c>
      <c r="I146" s="64">
        <f t="shared" si="22"/>
        <v>5</v>
      </c>
      <c r="K146" s="90" t="s">
        <v>480</v>
      </c>
      <c r="L146" s="1">
        <v>0</v>
      </c>
      <c r="M146" s="1" t="s">
        <v>480</v>
      </c>
      <c r="N146" s="1" t="s">
        <v>480</v>
      </c>
      <c r="O146" s="1" t="s">
        <v>480</v>
      </c>
      <c r="P146" s="1" t="s">
        <v>480</v>
      </c>
      <c r="Q146" s="1">
        <v>0</v>
      </c>
      <c r="R146" s="1">
        <v>0</v>
      </c>
      <c r="S146" s="1">
        <v>0</v>
      </c>
      <c r="T146" s="1" t="s">
        <v>480</v>
      </c>
      <c r="U146" s="1" t="s">
        <v>480</v>
      </c>
      <c r="V146" s="1" t="s">
        <v>480</v>
      </c>
      <c r="W146" s="1" t="s">
        <v>480</v>
      </c>
      <c r="X146" s="1" t="s">
        <v>480</v>
      </c>
      <c r="Y146" s="1" t="s">
        <v>480</v>
      </c>
      <c r="Z146" s="1" t="s">
        <v>480</v>
      </c>
      <c r="AA146" s="1" t="s">
        <v>480</v>
      </c>
      <c r="AB146" s="1" t="s">
        <v>480</v>
      </c>
      <c r="AC146" s="1" t="s">
        <v>480</v>
      </c>
      <c r="AD146" s="1" t="s">
        <v>480</v>
      </c>
      <c r="AE146" s="1" t="s">
        <v>480</v>
      </c>
      <c r="AF146" s="1" t="s">
        <v>480</v>
      </c>
      <c r="AG146" s="1">
        <v>0</v>
      </c>
      <c r="AH146" s="1" t="s">
        <v>480</v>
      </c>
      <c r="AI146" s="1" t="s">
        <v>480</v>
      </c>
      <c r="AJ146" s="1" t="s">
        <v>480</v>
      </c>
      <c r="AK146" s="1" t="s">
        <v>480</v>
      </c>
      <c r="AL146" s="1" t="s">
        <v>480</v>
      </c>
      <c r="AM146" s="1" t="s">
        <v>480</v>
      </c>
      <c r="AN146" s="1" t="s">
        <v>480</v>
      </c>
      <c r="AO146" s="1" t="s">
        <v>480</v>
      </c>
      <c r="AP146" s="1" t="s">
        <v>480</v>
      </c>
      <c r="AQ146" s="1" t="s">
        <v>480</v>
      </c>
      <c r="AR146" s="1" t="s">
        <v>480</v>
      </c>
      <c r="AS146" s="1" t="s">
        <v>480</v>
      </c>
      <c r="AT146" s="1">
        <f t="shared" si="23"/>
        <v>5</v>
      </c>
    </row>
    <row r="147" spans="1:46" x14ac:dyDescent="0.25">
      <c r="A147" s="1">
        <f>COUNTIF('Value Matchup'!$D$356:$D$423,'Team History'!B147)</f>
        <v>0</v>
      </c>
      <c r="B147" t="s">
        <v>252</v>
      </c>
      <c r="C147" s="1">
        <f t="shared" si="16"/>
        <v>0</v>
      </c>
      <c r="D147" s="1">
        <f t="shared" si="17"/>
        <v>0</v>
      </c>
      <c r="E147" s="1">
        <f t="shared" si="18"/>
        <v>0</v>
      </c>
      <c r="F147" s="1">
        <f t="shared" si="19"/>
        <v>0</v>
      </c>
      <c r="G147" s="1">
        <f t="shared" si="20"/>
        <v>0</v>
      </c>
      <c r="H147" s="1">
        <f t="shared" si="21"/>
        <v>0</v>
      </c>
      <c r="I147" s="64">
        <f t="shared" si="22"/>
        <v>4</v>
      </c>
      <c r="K147" s="90" t="s">
        <v>480</v>
      </c>
      <c r="L147" s="1" t="s">
        <v>480</v>
      </c>
      <c r="M147" s="1" t="s">
        <v>480</v>
      </c>
      <c r="N147" s="1" t="s">
        <v>480</v>
      </c>
      <c r="O147" s="1" t="s">
        <v>480</v>
      </c>
      <c r="P147" s="1" t="s">
        <v>480</v>
      </c>
      <c r="Q147" s="1" t="s">
        <v>480</v>
      </c>
      <c r="R147" s="1">
        <v>0</v>
      </c>
      <c r="S147" s="1" t="s">
        <v>480</v>
      </c>
      <c r="T147" s="1" t="s">
        <v>480</v>
      </c>
      <c r="U147" s="1" t="s">
        <v>480</v>
      </c>
      <c r="V147" s="1" t="s">
        <v>480</v>
      </c>
      <c r="W147" s="1">
        <v>0</v>
      </c>
      <c r="X147" s="1" t="s">
        <v>480</v>
      </c>
      <c r="Y147" s="1" t="s">
        <v>480</v>
      </c>
      <c r="Z147" s="1" t="s">
        <v>480</v>
      </c>
      <c r="AA147" s="1" t="s">
        <v>480</v>
      </c>
      <c r="AB147" s="1" t="s">
        <v>480</v>
      </c>
      <c r="AC147" s="1" t="s">
        <v>480</v>
      </c>
      <c r="AD147" s="1" t="s">
        <v>480</v>
      </c>
      <c r="AE147" s="1" t="s">
        <v>480</v>
      </c>
      <c r="AF147" s="1" t="s">
        <v>480</v>
      </c>
      <c r="AG147" s="1" t="s">
        <v>480</v>
      </c>
      <c r="AH147" s="1" t="s">
        <v>480</v>
      </c>
      <c r="AI147" s="1">
        <v>0</v>
      </c>
      <c r="AJ147" s="1" t="s">
        <v>480</v>
      </c>
      <c r="AK147" s="1">
        <v>0</v>
      </c>
      <c r="AL147" s="1" t="s">
        <v>480</v>
      </c>
      <c r="AM147" s="1" t="s">
        <v>480</v>
      </c>
      <c r="AN147" s="1" t="s">
        <v>480</v>
      </c>
      <c r="AO147" s="1" t="s">
        <v>480</v>
      </c>
      <c r="AP147" s="1" t="s">
        <v>480</v>
      </c>
      <c r="AQ147" s="1" t="s">
        <v>480</v>
      </c>
      <c r="AR147" s="1" t="s">
        <v>480</v>
      </c>
      <c r="AS147" s="1" t="s">
        <v>480</v>
      </c>
      <c r="AT147" s="1">
        <f t="shared" si="23"/>
        <v>4</v>
      </c>
    </row>
    <row r="148" spans="1:46" x14ac:dyDescent="0.25">
      <c r="A148" s="1">
        <f>COUNTIF('Value Matchup'!$D$356:$D$423,'Team History'!B148)</f>
        <v>0</v>
      </c>
      <c r="B148" t="s">
        <v>253</v>
      </c>
      <c r="C148" s="1">
        <f t="shared" si="16"/>
        <v>0</v>
      </c>
      <c r="D148" s="1">
        <f t="shared" si="17"/>
        <v>0</v>
      </c>
      <c r="E148" s="1">
        <f t="shared" si="18"/>
        <v>0</v>
      </c>
      <c r="F148" s="1">
        <f t="shared" si="19"/>
        <v>0</v>
      </c>
      <c r="G148" s="1">
        <f t="shared" si="20"/>
        <v>0</v>
      </c>
      <c r="H148" s="1">
        <f t="shared" si="21"/>
        <v>0</v>
      </c>
      <c r="I148" s="64">
        <f t="shared" si="22"/>
        <v>0</v>
      </c>
      <c r="K148" s="90" t="s">
        <v>480</v>
      </c>
      <c r="L148" s="1" t="s">
        <v>480</v>
      </c>
      <c r="M148" s="1" t="s">
        <v>480</v>
      </c>
      <c r="N148" s="1" t="s">
        <v>480</v>
      </c>
      <c r="O148" s="1" t="s">
        <v>480</v>
      </c>
      <c r="P148" s="1" t="s">
        <v>480</v>
      </c>
      <c r="Q148" s="1" t="s">
        <v>480</v>
      </c>
      <c r="R148" s="1" t="s">
        <v>480</v>
      </c>
      <c r="S148" s="1" t="s">
        <v>480</v>
      </c>
      <c r="T148" s="1" t="s">
        <v>480</v>
      </c>
      <c r="U148" s="1" t="s">
        <v>480</v>
      </c>
      <c r="V148" s="1" t="s">
        <v>480</v>
      </c>
      <c r="W148" s="1" t="s">
        <v>480</v>
      </c>
      <c r="X148" s="1" t="s">
        <v>480</v>
      </c>
      <c r="Y148" s="1" t="s">
        <v>480</v>
      </c>
      <c r="Z148" s="1" t="s">
        <v>480</v>
      </c>
      <c r="AA148" s="1" t="s">
        <v>480</v>
      </c>
      <c r="AB148" s="1" t="s">
        <v>480</v>
      </c>
      <c r="AC148" s="1" t="s">
        <v>480</v>
      </c>
      <c r="AD148" s="1" t="s">
        <v>480</v>
      </c>
      <c r="AE148" s="1" t="s">
        <v>480</v>
      </c>
      <c r="AF148" s="1" t="s">
        <v>480</v>
      </c>
      <c r="AG148" s="1" t="s">
        <v>480</v>
      </c>
      <c r="AH148" s="1" t="s">
        <v>480</v>
      </c>
      <c r="AI148" s="1" t="s">
        <v>480</v>
      </c>
      <c r="AJ148" s="1" t="s">
        <v>480</v>
      </c>
      <c r="AK148" s="1" t="s">
        <v>480</v>
      </c>
      <c r="AL148" s="1" t="s">
        <v>480</v>
      </c>
      <c r="AM148" s="1" t="s">
        <v>480</v>
      </c>
      <c r="AN148" s="1" t="s">
        <v>480</v>
      </c>
      <c r="AO148" s="1" t="s">
        <v>480</v>
      </c>
      <c r="AP148" s="1" t="s">
        <v>480</v>
      </c>
      <c r="AQ148" s="1" t="s">
        <v>480</v>
      </c>
      <c r="AR148" s="1" t="s">
        <v>480</v>
      </c>
      <c r="AS148" s="1" t="s">
        <v>480</v>
      </c>
      <c r="AT148" s="1">
        <f t="shared" si="23"/>
        <v>0</v>
      </c>
    </row>
    <row r="149" spans="1:46" x14ac:dyDescent="0.25">
      <c r="A149" s="1">
        <f>COUNTIF('Value Matchup'!$D$356:$D$423,'Team History'!B149)</f>
        <v>0</v>
      </c>
      <c r="B149" t="s">
        <v>489</v>
      </c>
      <c r="C149" s="1">
        <f t="shared" si="16"/>
        <v>0</v>
      </c>
      <c r="D149" s="1">
        <f t="shared" si="17"/>
        <v>0</v>
      </c>
      <c r="E149" s="1">
        <f t="shared" si="18"/>
        <v>0</v>
      </c>
      <c r="F149" s="1">
        <f t="shared" si="19"/>
        <v>0</v>
      </c>
      <c r="G149" s="1">
        <f t="shared" si="20"/>
        <v>0</v>
      </c>
      <c r="H149" s="1">
        <f t="shared" si="21"/>
        <v>0</v>
      </c>
      <c r="I149" s="64">
        <f t="shared" si="22"/>
        <v>0</v>
      </c>
      <c r="K149" s="90" t="s">
        <v>480</v>
      </c>
      <c r="L149" s="1" t="s">
        <v>480</v>
      </c>
      <c r="M149" s="1" t="s">
        <v>480</v>
      </c>
      <c r="N149" s="1" t="s">
        <v>480</v>
      </c>
      <c r="O149" s="1" t="s">
        <v>480</v>
      </c>
      <c r="P149" s="1" t="s">
        <v>480</v>
      </c>
      <c r="Q149" s="1" t="s">
        <v>480</v>
      </c>
      <c r="R149" s="1" t="s">
        <v>480</v>
      </c>
      <c r="S149" s="1" t="s">
        <v>480</v>
      </c>
      <c r="T149" s="1" t="s">
        <v>480</v>
      </c>
      <c r="U149" s="1" t="s">
        <v>480</v>
      </c>
      <c r="V149" s="1" t="s">
        <v>480</v>
      </c>
      <c r="W149" s="1" t="s">
        <v>480</v>
      </c>
      <c r="X149" s="1" t="s">
        <v>480</v>
      </c>
      <c r="Y149" s="1" t="s">
        <v>480</v>
      </c>
      <c r="Z149" s="1" t="s">
        <v>480</v>
      </c>
      <c r="AA149" s="1" t="s">
        <v>480</v>
      </c>
      <c r="AB149" s="1" t="s">
        <v>480</v>
      </c>
      <c r="AC149" s="1" t="s">
        <v>480</v>
      </c>
      <c r="AD149" s="1" t="s">
        <v>480</v>
      </c>
      <c r="AE149" s="1" t="s">
        <v>480</v>
      </c>
      <c r="AF149" s="1" t="s">
        <v>480</v>
      </c>
      <c r="AG149" s="1" t="s">
        <v>480</v>
      </c>
      <c r="AH149" s="1" t="s">
        <v>480</v>
      </c>
      <c r="AI149" s="1" t="s">
        <v>480</v>
      </c>
      <c r="AJ149" s="1" t="s">
        <v>480</v>
      </c>
      <c r="AK149" s="1" t="s">
        <v>480</v>
      </c>
      <c r="AL149" s="1" t="s">
        <v>480</v>
      </c>
      <c r="AM149" s="1" t="s">
        <v>480</v>
      </c>
      <c r="AN149" s="1" t="s">
        <v>480</v>
      </c>
      <c r="AO149" s="1" t="s">
        <v>480</v>
      </c>
      <c r="AP149" s="1" t="s">
        <v>480</v>
      </c>
      <c r="AQ149" s="1" t="s">
        <v>480</v>
      </c>
      <c r="AR149" s="1" t="s">
        <v>480</v>
      </c>
      <c r="AS149" s="1" t="s">
        <v>480</v>
      </c>
      <c r="AT149" s="1">
        <f t="shared" si="23"/>
        <v>0</v>
      </c>
    </row>
    <row r="150" spans="1:46" x14ac:dyDescent="0.25">
      <c r="A150" s="1">
        <f>COUNTIF('Value Matchup'!$D$356:$D$423,'Team History'!B150)</f>
        <v>0</v>
      </c>
      <c r="B150" t="s">
        <v>255</v>
      </c>
      <c r="C150" s="1">
        <f t="shared" si="16"/>
        <v>0</v>
      </c>
      <c r="D150" s="1">
        <f t="shared" si="17"/>
        <v>0</v>
      </c>
      <c r="E150" s="1">
        <f t="shared" si="18"/>
        <v>0</v>
      </c>
      <c r="F150" s="1">
        <f t="shared" si="19"/>
        <v>0</v>
      </c>
      <c r="G150" s="1">
        <f t="shared" si="20"/>
        <v>0</v>
      </c>
      <c r="H150" s="1">
        <f t="shared" si="21"/>
        <v>0</v>
      </c>
      <c r="I150" s="64">
        <f t="shared" si="22"/>
        <v>6</v>
      </c>
      <c r="K150" s="90" t="s">
        <v>480</v>
      </c>
      <c r="L150" s="1" t="s">
        <v>480</v>
      </c>
      <c r="M150" s="1" t="s">
        <v>480</v>
      </c>
      <c r="N150" s="1" t="s">
        <v>480</v>
      </c>
      <c r="O150" s="1" t="s">
        <v>480</v>
      </c>
      <c r="P150" s="1" t="s">
        <v>480</v>
      </c>
      <c r="Q150" s="1" t="s">
        <v>480</v>
      </c>
      <c r="R150" s="1" t="s">
        <v>480</v>
      </c>
      <c r="S150" s="1" t="s">
        <v>480</v>
      </c>
      <c r="T150" s="1" t="s">
        <v>480</v>
      </c>
      <c r="U150" s="1" t="s">
        <v>480</v>
      </c>
      <c r="V150" s="1" t="s">
        <v>480</v>
      </c>
      <c r="W150" s="1" t="s">
        <v>480</v>
      </c>
      <c r="X150" s="1" t="s">
        <v>480</v>
      </c>
      <c r="Y150" s="1" t="s">
        <v>480</v>
      </c>
      <c r="Z150" s="1" t="s">
        <v>480</v>
      </c>
      <c r="AA150" s="1" t="s">
        <v>480</v>
      </c>
      <c r="AB150" s="1" t="s">
        <v>480</v>
      </c>
      <c r="AC150" s="1" t="s">
        <v>480</v>
      </c>
      <c r="AD150" s="1" t="s">
        <v>480</v>
      </c>
      <c r="AE150" s="1" t="s">
        <v>480</v>
      </c>
      <c r="AF150" s="1" t="s">
        <v>480</v>
      </c>
      <c r="AG150" s="1" t="s">
        <v>480</v>
      </c>
      <c r="AH150" s="1">
        <v>0</v>
      </c>
      <c r="AI150" s="1" t="s">
        <v>480</v>
      </c>
      <c r="AJ150" s="1" t="s">
        <v>480</v>
      </c>
      <c r="AK150" s="1">
        <v>0</v>
      </c>
      <c r="AL150" s="1">
        <v>0</v>
      </c>
      <c r="AM150" s="1">
        <v>0</v>
      </c>
      <c r="AN150" s="1">
        <v>0</v>
      </c>
      <c r="AO150" s="1" t="s">
        <v>480</v>
      </c>
      <c r="AP150" s="1" t="s">
        <v>480</v>
      </c>
      <c r="AQ150" s="1" t="s">
        <v>480</v>
      </c>
      <c r="AR150" s="1">
        <v>0</v>
      </c>
      <c r="AS150" s="1" t="s">
        <v>480</v>
      </c>
      <c r="AT150" s="1">
        <f t="shared" si="23"/>
        <v>6</v>
      </c>
    </row>
    <row r="151" spans="1:46" x14ac:dyDescent="0.25">
      <c r="A151" s="1">
        <f>COUNTIF('Value Matchup'!$D$356:$D$423,'Team History'!B151)</f>
        <v>0</v>
      </c>
      <c r="B151" t="s">
        <v>256</v>
      </c>
      <c r="C151" s="1">
        <f t="shared" si="16"/>
        <v>2</v>
      </c>
      <c r="D151" s="1">
        <f t="shared" si="17"/>
        <v>1</v>
      </c>
      <c r="E151" s="1">
        <f t="shared" si="18"/>
        <v>0</v>
      </c>
      <c r="F151" s="1">
        <f t="shared" si="19"/>
        <v>0</v>
      </c>
      <c r="G151" s="1">
        <f t="shared" si="20"/>
        <v>0</v>
      </c>
      <c r="H151" s="1">
        <f t="shared" si="21"/>
        <v>0</v>
      </c>
      <c r="I151" s="64">
        <f t="shared" si="22"/>
        <v>7</v>
      </c>
      <c r="K151" s="90" t="s">
        <v>480</v>
      </c>
      <c r="L151" s="1" t="s">
        <v>480</v>
      </c>
      <c r="M151" s="1" t="s">
        <v>480</v>
      </c>
      <c r="N151" s="1" t="s">
        <v>480</v>
      </c>
      <c r="O151" s="1" t="s">
        <v>480</v>
      </c>
      <c r="P151" s="1" t="s">
        <v>480</v>
      </c>
      <c r="Q151" s="1" t="s">
        <v>480</v>
      </c>
      <c r="R151" s="1" t="s">
        <v>480</v>
      </c>
      <c r="S151" s="1" t="s">
        <v>480</v>
      </c>
      <c r="T151" s="1" t="s">
        <v>480</v>
      </c>
      <c r="U151" s="1" t="s">
        <v>480</v>
      </c>
      <c r="V151" s="1" t="s">
        <v>480</v>
      </c>
      <c r="W151" s="1" t="s">
        <v>480</v>
      </c>
      <c r="X151" s="1" t="s">
        <v>480</v>
      </c>
      <c r="Y151" s="1" t="s">
        <v>480</v>
      </c>
      <c r="Z151" s="1" t="s">
        <v>480</v>
      </c>
      <c r="AA151" s="1" t="s">
        <v>480</v>
      </c>
      <c r="AB151" s="1" t="s">
        <v>480</v>
      </c>
      <c r="AC151" s="1" t="s">
        <v>480</v>
      </c>
      <c r="AD151" s="1" t="s">
        <v>480</v>
      </c>
      <c r="AE151" s="1" t="s">
        <v>480</v>
      </c>
      <c r="AF151" s="1" t="s">
        <v>480</v>
      </c>
      <c r="AG151" s="1" t="s">
        <v>480</v>
      </c>
      <c r="AH151" s="1" t="s">
        <v>480</v>
      </c>
      <c r="AI151" s="1" t="s">
        <v>480</v>
      </c>
      <c r="AJ151" s="1" t="s">
        <v>480</v>
      </c>
      <c r="AK151" s="1" t="s">
        <v>480</v>
      </c>
      <c r="AL151" s="1" t="s">
        <v>480</v>
      </c>
      <c r="AM151" s="1">
        <v>0</v>
      </c>
      <c r="AN151" s="1" t="s">
        <v>480</v>
      </c>
      <c r="AO151" s="1">
        <v>1</v>
      </c>
      <c r="AP151" s="1" t="s">
        <v>480</v>
      </c>
      <c r="AQ151" s="1">
        <v>0</v>
      </c>
      <c r="AR151" s="1" t="s">
        <v>480</v>
      </c>
      <c r="AS151" s="1">
        <v>2</v>
      </c>
      <c r="AT151" s="1">
        <f t="shared" si="23"/>
        <v>4</v>
      </c>
    </row>
    <row r="152" spans="1:46" x14ac:dyDescent="0.25">
      <c r="A152" s="1">
        <f>COUNTIF('Value Matchup'!$D$356:$D$423,'Team History'!B152)</f>
        <v>0</v>
      </c>
      <c r="B152" t="s">
        <v>54</v>
      </c>
      <c r="C152" s="1">
        <f t="shared" si="16"/>
        <v>17</v>
      </c>
      <c r="D152" s="1">
        <f t="shared" si="17"/>
        <v>12</v>
      </c>
      <c r="E152" s="1">
        <f t="shared" si="18"/>
        <v>6</v>
      </c>
      <c r="F152" s="1">
        <f t="shared" si="19"/>
        <v>2</v>
      </c>
      <c r="G152" s="1">
        <f t="shared" si="20"/>
        <v>0</v>
      </c>
      <c r="H152" s="1">
        <f t="shared" si="21"/>
        <v>0</v>
      </c>
      <c r="I152" s="64">
        <f t="shared" si="22"/>
        <v>71</v>
      </c>
      <c r="K152" s="90">
        <v>0</v>
      </c>
      <c r="L152" s="1" t="s">
        <v>480</v>
      </c>
      <c r="M152" s="1">
        <v>1</v>
      </c>
      <c r="N152" s="1" t="s">
        <v>480</v>
      </c>
      <c r="O152" s="1">
        <v>3</v>
      </c>
      <c r="P152" s="1">
        <v>2</v>
      </c>
      <c r="Q152" s="1" t="s">
        <v>480</v>
      </c>
      <c r="R152" s="1">
        <v>4</v>
      </c>
      <c r="S152" s="1">
        <v>0</v>
      </c>
      <c r="T152" s="1">
        <v>0</v>
      </c>
      <c r="U152" s="1">
        <v>3</v>
      </c>
      <c r="V152" s="1">
        <v>3</v>
      </c>
      <c r="W152" s="1">
        <v>1</v>
      </c>
      <c r="X152" s="1" t="s">
        <v>480</v>
      </c>
      <c r="Y152" s="1">
        <v>4</v>
      </c>
      <c r="Z152" s="1">
        <v>0</v>
      </c>
      <c r="AA152" s="1">
        <v>1</v>
      </c>
      <c r="AB152" s="1" t="s">
        <v>480</v>
      </c>
      <c r="AC152" s="1" t="s">
        <v>480</v>
      </c>
      <c r="AD152" s="1">
        <v>0</v>
      </c>
      <c r="AE152" s="1">
        <v>0</v>
      </c>
      <c r="AF152" s="1" t="s">
        <v>480</v>
      </c>
      <c r="AG152" s="1">
        <v>3</v>
      </c>
      <c r="AH152" s="1">
        <v>2</v>
      </c>
      <c r="AI152" s="1">
        <v>0</v>
      </c>
      <c r="AJ152" s="1">
        <v>2</v>
      </c>
      <c r="AK152" s="1">
        <v>2</v>
      </c>
      <c r="AL152" s="1">
        <v>1</v>
      </c>
      <c r="AM152" s="1" t="s">
        <v>480</v>
      </c>
      <c r="AN152" s="1">
        <v>1</v>
      </c>
      <c r="AO152" s="1">
        <v>2</v>
      </c>
      <c r="AP152" s="1">
        <v>2</v>
      </c>
      <c r="AQ152" s="1" t="s">
        <v>480</v>
      </c>
      <c r="AR152" s="1" t="s">
        <v>480</v>
      </c>
      <c r="AS152" s="1" t="s">
        <v>480</v>
      </c>
      <c r="AT152" s="1">
        <f t="shared" si="23"/>
        <v>24</v>
      </c>
    </row>
    <row r="153" spans="1:46" x14ac:dyDescent="0.25">
      <c r="A153" s="1">
        <f>COUNTIF('Value Matchup'!$D$356:$D$423,'Team History'!B153)</f>
        <v>1</v>
      </c>
      <c r="B153" t="s">
        <v>257</v>
      </c>
      <c r="C153" s="1">
        <f t="shared" si="16"/>
        <v>2</v>
      </c>
      <c r="D153" s="1">
        <f t="shared" si="17"/>
        <v>2</v>
      </c>
      <c r="E153" s="1">
        <f t="shared" si="18"/>
        <v>1</v>
      </c>
      <c r="F153" s="1">
        <f t="shared" si="19"/>
        <v>1</v>
      </c>
      <c r="G153" s="1">
        <f t="shared" si="20"/>
        <v>0</v>
      </c>
      <c r="H153" s="1">
        <f t="shared" si="21"/>
        <v>0</v>
      </c>
      <c r="I153" s="64">
        <f t="shared" si="22"/>
        <v>12</v>
      </c>
      <c r="K153" s="90" t="s">
        <v>480</v>
      </c>
      <c r="L153" s="1">
        <v>4</v>
      </c>
      <c r="M153" s="1" t="s">
        <v>480</v>
      </c>
      <c r="N153" s="1" t="s">
        <v>480</v>
      </c>
      <c r="O153" s="1" t="s">
        <v>480</v>
      </c>
      <c r="P153" s="1" t="s">
        <v>480</v>
      </c>
      <c r="Q153" s="1" t="s">
        <v>480</v>
      </c>
      <c r="R153" s="1" t="s">
        <v>480</v>
      </c>
      <c r="S153" s="1" t="s">
        <v>480</v>
      </c>
      <c r="T153" s="1" t="s">
        <v>480</v>
      </c>
      <c r="U153" s="1" t="s">
        <v>480</v>
      </c>
      <c r="V153" s="1" t="s">
        <v>480</v>
      </c>
      <c r="W153" s="1" t="s">
        <v>480</v>
      </c>
      <c r="X153" s="1" t="s">
        <v>480</v>
      </c>
      <c r="Y153" s="1" t="s">
        <v>480</v>
      </c>
      <c r="Z153" s="1" t="s">
        <v>480</v>
      </c>
      <c r="AA153" s="1" t="s">
        <v>480</v>
      </c>
      <c r="AB153" s="1" t="s">
        <v>480</v>
      </c>
      <c r="AC153" s="1" t="s">
        <v>480</v>
      </c>
      <c r="AD153" s="1" t="s">
        <v>480</v>
      </c>
      <c r="AE153" s="1" t="s">
        <v>480</v>
      </c>
      <c r="AF153" s="1" t="s">
        <v>480</v>
      </c>
      <c r="AG153" s="1" t="s">
        <v>480</v>
      </c>
      <c r="AH153" s="1" t="s">
        <v>480</v>
      </c>
      <c r="AI153" s="1" t="s">
        <v>480</v>
      </c>
      <c r="AJ153" s="1" t="s">
        <v>480</v>
      </c>
      <c r="AK153" s="1" t="s">
        <v>480</v>
      </c>
      <c r="AL153" s="1" t="s">
        <v>480</v>
      </c>
      <c r="AM153" s="1" t="s">
        <v>480</v>
      </c>
      <c r="AN153" s="1" t="s">
        <v>480</v>
      </c>
      <c r="AO153" s="1" t="s">
        <v>480</v>
      </c>
      <c r="AP153" s="1" t="s">
        <v>480</v>
      </c>
      <c r="AQ153" s="1" t="s">
        <v>480</v>
      </c>
      <c r="AR153" s="1" t="s">
        <v>480</v>
      </c>
      <c r="AS153" s="1">
        <v>2</v>
      </c>
      <c r="AT153" s="1">
        <f t="shared" si="23"/>
        <v>2</v>
      </c>
    </row>
    <row r="154" spans="1:46" x14ac:dyDescent="0.25">
      <c r="A154" s="1">
        <f>COUNTIF('Value Matchup'!$D$356:$D$423,'Team History'!B154)</f>
        <v>0</v>
      </c>
      <c r="B154" t="s">
        <v>258</v>
      </c>
      <c r="C154" s="1">
        <f t="shared" si="16"/>
        <v>2</v>
      </c>
      <c r="D154" s="1">
        <f t="shared" si="17"/>
        <v>1</v>
      </c>
      <c r="E154" s="1">
        <f t="shared" si="18"/>
        <v>1</v>
      </c>
      <c r="F154" s="1">
        <f t="shared" si="19"/>
        <v>0</v>
      </c>
      <c r="G154" s="1">
        <f t="shared" si="20"/>
        <v>0</v>
      </c>
      <c r="H154" s="1">
        <f t="shared" si="21"/>
        <v>0</v>
      </c>
      <c r="I154" s="64">
        <f t="shared" si="22"/>
        <v>7</v>
      </c>
      <c r="K154" s="90" t="s">
        <v>480</v>
      </c>
      <c r="L154" s="1" t="s">
        <v>480</v>
      </c>
      <c r="M154" s="1" t="s">
        <v>480</v>
      </c>
      <c r="N154" s="1" t="s">
        <v>480</v>
      </c>
      <c r="O154" s="1" t="s">
        <v>480</v>
      </c>
      <c r="P154" s="1" t="s">
        <v>480</v>
      </c>
      <c r="Q154" s="1" t="s">
        <v>480</v>
      </c>
      <c r="R154" s="1" t="s">
        <v>480</v>
      </c>
      <c r="S154" s="1" t="s">
        <v>480</v>
      </c>
      <c r="T154" s="1" t="s">
        <v>480</v>
      </c>
      <c r="U154" s="1" t="s">
        <v>480</v>
      </c>
      <c r="V154" s="1" t="s">
        <v>480</v>
      </c>
      <c r="W154" s="1" t="s">
        <v>480</v>
      </c>
      <c r="X154" s="1" t="s">
        <v>480</v>
      </c>
      <c r="Y154" s="1" t="s">
        <v>480</v>
      </c>
      <c r="Z154" s="1" t="s">
        <v>480</v>
      </c>
      <c r="AA154" s="1" t="s">
        <v>480</v>
      </c>
      <c r="AB154" s="1" t="s">
        <v>480</v>
      </c>
      <c r="AC154" s="1" t="s">
        <v>480</v>
      </c>
      <c r="AD154" s="1" t="s">
        <v>480</v>
      </c>
      <c r="AE154" s="1" t="s">
        <v>480</v>
      </c>
      <c r="AF154" s="1" t="s">
        <v>480</v>
      </c>
      <c r="AG154" s="1" t="s">
        <v>480</v>
      </c>
      <c r="AH154" s="1" t="s">
        <v>480</v>
      </c>
      <c r="AI154" s="1" t="s">
        <v>480</v>
      </c>
      <c r="AJ154" s="1" t="s">
        <v>480</v>
      </c>
      <c r="AK154" s="1" t="s">
        <v>480</v>
      </c>
      <c r="AL154" s="1" t="s">
        <v>480</v>
      </c>
      <c r="AM154" s="1" t="s">
        <v>480</v>
      </c>
      <c r="AN154" s="1">
        <v>3</v>
      </c>
      <c r="AO154" s="1">
        <v>0</v>
      </c>
      <c r="AP154" s="1">
        <v>1</v>
      </c>
      <c r="AQ154" s="1" t="s">
        <v>480</v>
      </c>
      <c r="AR154" s="1" t="s">
        <v>480</v>
      </c>
      <c r="AS154" s="1" t="s">
        <v>480</v>
      </c>
      <c r="AT154" s="1">
        <f t="shared" si="23"/>
        <v>3</v>
      </c>
    </row>
    <row r="155" spans="1:46" x14ac:dyDescent="0.25">
      <c r="A155" s="1">
        <f>COUNTIF('Value Matchup'!$D$356:$D$423,'Team History'!B155)</f>
        <v>0</v>
      </c>
      <c r="B155" t="s">
        <v>259</v>
      </c>
      <c r="C155" s="1">
        <f t="shared" si="16"/>
        <v>0</v>
      </c>
      <c r="D155" s="1">
        <f t="shared" si="17"/>
        <v>0</v>
      </c>
      <c r="E155" s="1">
        <f t="shared" si="18"/>
        <v>0</v>
      </c>
      <c r="F155" s="1">
        <f t="shared" si="19"/>
        <v>0</v>
      </c>
      <c r="G155" s="1">
        <f t="shared" si="20"/>
        <v>0</v>
      </c>
      <c r="H155" s="1">
        <f t="shared" si="21"/>
        <v>0</v>
      </c>
      <c r="I155" s="64">
        <f t="shared" si="22"/>
        <v>2</v>
      </c>
      <c r="K155" s="90" t="s">
        <v>480</v>
      </c>
      <c r="L155" s="1" t="s">
        <v>480</v>
      </c>
      <c r="M155" s="1" t="s">
        <v>480</v>
      </c>
      <c r="N155" s="1" t="s">
        <v>480</v>
      </c>
      <c r="O155" s="1" t="s">
        <v>480</v>
      </c>
      <c r="P155" s="1" t="s">
        <v>480</v>
      </c>
      <c r="Q155" s="1" t="s">
        <v>480</v>
      </c>
      <c r="R155" s="1">
        <v>0</v>
      </c>
      <c r="S155" s="1" t="s">
        <v>480</v>
      </c>
      <c r="T155" s="1" t="s">
        <v>480</v>
      </c>
      <c r="U155" s="1" t="s">
        <v>480</v>
      </c>
      <c r="V155" s="1" t="s">
        <v>480</v>
      </c>
      <c r="W155" s="1" t="s">
        <v>480</v>
      </c>
      <c r="X155" s="1" t="s">
        <v>480</v>
      </c>
      <c r="Y155" s="1" t="s">
        <v>480</v>
      </c>
      <c r="Z155" s="1" t="s">
        <v>480</v>
      </c>
      <c r="AA155" s="1" t="s">
        <v>480</v>
      </c>
      <c r="AB155" s="1" t="s">
        <v>480</v>
      </c>
      <c r="AC155" s="1" t="s">
        <v>480</v>
      </c>
      <c r="AD155" s="1" t="s">
        <v>480</v>
      </c>
      <c r="AE155" s="1" t="s">
        <v>480</v>
      </c>
      <c r="AF155" s="1" t="s">
        <v>480</v>
      </c>
      <c r="AG155" s="1" t="s">
        <v>480</v>
      </c>
      <c r="AH155" s="1" t="s">
        <v>480</v>
      </c>
      <c r="AI155" s="1" t="s">
        <v>480</v>
      </c>
      <c r="AJ155" s="1">
        <v>0</v>
      </c>
      <c r="AK155" s="1" t="s">
        <v>480</v>
      </c>
      <c r="AL155" s="1" t="s">
        <v>480</v>
      </c>
      <c r="AM155" s="1" t="s">
        <v>480</v>
      </c>
      <c r="AN155" s="1" t="s">
        <v>480</v>
      </c>
      <c r="AO155" s="1" t="s">
        <v>480</v>
      </c>
      <c r="AP155" s="1" t="s">
        <v>480</v>
      </c>
      <c r="AQ155" s="1" t="s">
        <v>480</v>
      </c>
      <c r="AR155" s="1" t="s">
        <v>480</v>
      </c>
      <c r="AS155" s="1" t="s">
        <v>480</v>
      </c>
      <c r="AT155" s="1">
        <f t="shared" si="23"/>
        <v>2</v>
      </c>
    </row>
    <row r="156" spans="1:46" x14ac:dyDescent="0.25">
      <c r="A156" s="1">
        <f>COUNTIF('Value Matchup'!$D$356:$D$423,'Team History'!B156)</f>
        <v>1</v>
      </c>
      <c r="B156" t="s">
        <v>52</v>
      </c>
      <c r="C156" s="1">
        <f t="shared" si="16"/>
        <v>8</v>
      </c>
      <c r="D156" s="1">
        <f t="shared" si="17"/>
        <v>5</v>
      </c>
      <c r="E156" s="1">
        <f t="shared" si="18"/>
        <v>3</v>
      </c>
      <c r="F156" s="1">
        <f t="shared" si="19"/>
        <v>2</v>
      </c>
      <c r="G156" s="1">
        <f t="shared" si="20"/>
        <v>0</v>
      </c>
      <c r="H156" s="1">
        <f t="shared" si="21"/>
        <v>0</v>
      </c>
      <c r="I156" s="64">
        <f t="shared" si="22"/>
        <v>36</v>
      </c>
      <c r="K156" s="90">
        <v>2</v>
      </c>
      <c r="L156" s="1" t="s">
        <v>480</v>
      </c>
      <c r="M156" s="1" t="s">
        <v>480</v>
      </c>
      <c r="N156" s="1" t="s">
        <v>480</v>
      </c>
      <c r="O156" s="1">
        <v>0</v>
      </c>
      <c r="P156" s="1" t="s">
        <v>480</v>
      </c>
      <c r="Q156" s="1" t="s">
        <v>480</v>
      </c>
      <c r="R156" s="1" t="s">
        <v>480</v>
      </c>
      <c r="S156" s="1" t="s">
        <v>480</v>
      </c>
      <c r="T156" s="1" t="s">
        <v>480</v>
      </c>
      <c r="U156" s="1">
        <v>1</v>
      </c>
      <c r="V156" s="1" t="s">
        <v>480</v>
      </c>
      <c r="W156" s="1" t="s">
        <v>480</v>
      </c>
      <c r="X156" s="1">
        <v>4</v>
      </c>
      <c r="Y156" s="1">
        <v>0</v>
      </c>
      <c r="Z156" s="1" t="s">
        <v>480</v>
      </c>
      <c r="AA156" s="1">
        <v>0</v>
      </c>
      <c r="AB156" s="1" t="s">
        <v>480</v>
      </c>
      <c r="AC156" s="1" t="s">
        <v>480</v>
      </c>
      <c r="AD156" s="1">
        <v>2</v>
      </c>
      <c r="AE156" s="1" t="s">
        <v>480</v>
      </c>
      <c r="AF156" s="1" t="s">
        <v>480</v>
      </c>
      <c r="AG156" s="1" t="s">
        <v>480</v>
      </c>
      <c r="AH156" s="1" t="s">
        <v>480</v>
      </c>
      <c r="AI156" s="1" t="s">
        <v>480</v>
      </c>
      <c r="AJ156" s="1" t="s">
        <v>480</v>
      </c>
      <c r="AK156" s="1">
        <v>0</v>
      </c>
      <c r="AL156" s="1">
        <v>1</v>
      </c>
      <c r="AM156" s="1">
        <v>0</v>
      </c>
      <c r="AN156" s="1">
        <v>1</v>
      </c>
      <c r="AO156" s="1">
        <v>0</v>
      </c>
      <c r="AP156" s="1">
        <v>0</v>
      </c>
      <c r="AQ156" s="1">
        <v>3</v>
      </c>
      <c r="AR156" s="1">
        <v>4</v>
      </c>
      <c r="AS156" s="1">
        <v>0</v>
      </c>
      <c r="AT156" s="1">
        <f t="shared" si="23"/>
        <v>16</v>
      </c>
    </row>
    <row r="157" spans="1:46" x14ac:dyDescent="0.25">
      <c r="A157" s="1">
        <f>COUNTIF('Value Matchup'!$D$356:$D$423,'Team History'!B157)</f>
        <v>0</v>
      </c>
      <c r="B157" t="s">
        <v>260</v>
      </c>
      <c r="C157" s="1">
        <f t="shared" si="16"/>
        <v>0</v>
      </c>
      <c r="D157" s="1">
        <f t="shared" si="17"/>
        <v>0</v>
      </c>
      <c r="E157" s="1">
        <f t="shared" si="18"/>
        <v>0</v>
      </c>
      <c r="F157" s="1">
        <f t="shared" si="19"/>
        <v>0</v>
      </c>
      <c r="G157" s="1">
        <f t="shared" si="20"/>
        <v>0</v>
      </c>
      <c r="H157" s="1">
        <f t="shared" si="21"/>
        <v>0</v>
      </c>
      <c r="I157" s="64">
        <f t="shared" si="22"/>
        <v>0</v>
      </c>
      <c r="K157" s="90" t="s">
        <v>480</v>
      </c>
      <c r="L157" s="1" t="s">
        <v>480</v>
      </c>
      <c r="M157" s="1" t="s">
        <v>480</v>
      </c>
      <c r="N157" s="1" t="s">
        <v>480</v>
      </c>
      <c r="O157" s="1" t="s">
        <v>480</v>
      </c>
      <c r="P157" s="1" t="s">
        <v>480</v>
      </c>
      <c r="Q157" s="1" t="s">
        <v>480</v>
      </c>
      <c r="R157" s="1" t="s">
        <v>480</v>
      </c>
      <c r="S157" s="1" t="s">
        <v>480</v>
      </c>
      <c r="T157" s="1" t="s">
        <v>480</v>
      </c>
      <c r="U157" s="1" t="s">
        <v>480</v>
      </c>
      <c r="V157" s="1" t="s">
        <v>480</v>
      </c>
      <c r="W157" s="1" t="s">
        <v>480</v>
      </c>
      <c r="X157" s="1" t="s">
        <v>480</v>
      </c>
      <c r="Y157" s="1" t="s">
        <v>480</v>
      </c>
      <c r="Z157" s="1" t="s">
        <v>480</v>
      </c>
      <c r="AA157" s="1" t="s">
        <v>480</v>
      </c>
      <c r="AB157" s="1" t="s">
        <v>480</v>
      </c>
      <c r="AC157" s="1" t="s">
        <v>480</v>
      </c>
      <c r="AD157" s="1" t="s">
        <v>480</v>
      </c>
      <c r="AE157" s="1" t="s">
        <v>480</v>
      </c>
      <c r="AF157" s="1" t="s">
        <v>480</v>
      </c>
      <c r="AG157" s="1" t="s">
        <v>480</v>
      </c>
      <c r="AH157" s="1" t="s">
        <v>480</v>
      </c>
      <c r="AI157" s="1" t="s">
        <v>480</v>
      </c>
      <c r="AJ157" s="1" t="s">
        <v>480</v>
      </c>
      <c r="AK157" s="1" t="s">
        <v>480</v>
      </c>
      <c r="AL157" s="1" t="s">
        <v>480</v>
      </c>
      <c r="AM157" s="1" t="s">
        <v>480</v>
      </c>
      <c r="AN157" s="1" t="s">
        <v>480</v>
      </c>
      <c r="AO157" s="1" t="s">
        <v>480</v>
      </c>
      <c r="AP157" s="1" t="s">
        <v>480</v>
      </c>
      <c r="AQ157" s="1" t="s">
        <v>480</v>
      </c>
      <c r="AR157" s="1" t="s">
        <v>480</v>
      </c>
      <c r="AS157" s="1" t="s">
        <v>480</v>
      </c>
      <c r="AT157" s="1">
        <f t="shared" si="23"/>
        <v>0</v>
      </c>
    </row>
    <row r="158" spans="1:46" x14ac:dyDescent="0.25">
      <c r="A158" s="1">
        <f>COUNTIF('Value Matchup'!$D$356:$D$423,'Team History'!B158)</f>
        <v>0</v>
      </c>
      <c r="B158" t="s">
        <v>73</v>
      </c>
      <c r="C158" s="1">
        <f t="shared" si="16"/>
        <v>2</v>
      </c>
      <c r="D158" s="1">
        <f t="shared" si="17"/>
        <v>0</v>
      </c>
      <c r="E158" s="1">
        <f t="shared" si="18"/>
        <v>0</v>
      </c>
      <c r="F158" s="1">
        <f t="shared" si="19"/>
        <v>0</v>
      </c>
      <c r="G158" s="1">
        <f t="shared" si="20"/>
        <v>0</v>
      </c>
      <c r="H158" s="1">
        <f t="shared" si="21"/>
        <v>0</v>
      </c>
      <c r="I158" s="64">
        <f t="shared" si="22"/>
        <v>8</v>
      </c>
      <c r="K158" s="90" t="s">
        <v>480</v>
      </c>
      <c r="L158" s="1" t="s">
        <v>480</v>
      </c>
      <c r="M158" s="1" t="s">
        <v>480</v>
      </c>
      <c r="N158" s="1" t="s">
        <v>480</v>
      </c>
      <c r="O158" s="1">
        <v>0</v>
      </c>
      <c r="P158" s="1">
        <v>0</v>
      </c>
      <c r="Q158" s="1" t="s">
        <v>480</v>
      </c>
      <c r="R158" s="1" t="s">
        <v>480</v>
      </c>
      <c r="S158" s="1" t="s">
        <v>480</v>
      </c>
      <c r="T158" s="1" t="s">
        <v>480</v>
      </c>
      <c r="U158" s="1" t="s">
        <v>480</v>
      </c>
      <c r="V158" s="1" t="s">
        <v>480</v>
      </c>
      <c r="W158" s="1" t="s">
        <v>480</v>
      </c>
      <c r="X158" s="1" t="s">
        <v>480</v>
      </c>
      <c r="Y158" s="1" t="s">
        <v>480</v>
      </c>
      <c r="Z158" s="1">
        <v>1</v>
      </c>
      <c r="AA158" s="1">
        <v>0</v>
      </c>
      <c r="AB158" s="1" t="s">
        <v>480</v>
      </c>
      <c r="AC158" s="1" t="s">
        <v>480</v>
      </c>
      <c r="AD158" s="1" t="s">
        <v>480</v>
      </c>
      <c r="AE158" s="1" t="s">
        <v>480</v>
      </c>
      <c r="AF158" s="1" t="s">
        <v>480</v>
      </c>
      <c r="AG158" s="1" t="s">
        <v>480</v>
      </c>
      <c r="AH158" s="1" t="s">
        <v>480</v>
      </c>
      <c r="AI158" s="1">
        <v>1</v>
      </c>
      <c r="AJ158" s="1" t="s">
        <v>480</v>
      </c>
      <c r="AK158" s="1">
        <v>0</v>
      </c>
      <c r="AL158" s="1" t="s">
        <v>480</v>
      </c>
      <c r="AM158" s="1" t="s">
        <v>480</v>
      </c>
      <c r="AN158" s="1" t="s">
        <v>480</v>
      </c>
      <c r="AO158" s="1" t="s">
        <v>480</v>
      </c>
      <c r="AP158" s="1" t="s">
        <v>480</v>
      </c>
      <c r="AQ158" s="1" t="s">
        <v>480</v>
      </c>
      <c r="AR158" s="1" t="s">
        <v>480</v>
      </c>
      <c r="AS158" s="1" t="s">
        <v>480</v>
      </c>
      <c r="AT158" s="1">
        <f t="shared" si="23"/>
        <v>6</v>
      </c>
    </row>
    <row r="159" spans="1:46" x14ac:dyDescent="0.25">
      <c r="A159" s="1">
        <f>COUNTIF('Value Matchup'!$D$356:$D$423,'Team History'!B159)</f>
        <v>0</v>
      </c>
      <c r="B159" t="s">
        <v>261</v>
      </c>
      <c r="C159" s="1">
        <f t="shared" si="16"/>
        <v>0</v>
      </c>
      <c r="D159" s="1">
        <f t="shared" si="17"/>
        <v>0</v>
      </c>
      <c r="E159" s="1">
        <f t="shared" si="18"/>
        <v>0</v>
      </c>
      <c r="F159" s="1">
        <f t="shared" si="19"/>
        <v>0</v>
      </c>
      <c r="G159" s="1">
        <f t="shared" si="20"/>
        <v>0</v>
      </c>
      <c r="H159" s="1">
        <f t="shared" si="21"/>
        <v>0</v>
      </c>
      <c r="I159" s="64">
        <f t="shared" si="22"/>
        <v>2</v>
      </c>
      <c r="K159" s="90" t="s">
        <v>480</v>
      </c>
      <c r="L159" s="1" t="s">
        <v>480</v>
      </c>
      <c r="M159" s="1" t="s">
        <v>480</v>
      </c>
      <c r="N159" s="1" t="s">
        <v>480</v>
      </c>
      <c r="O159" s="1" t="s">
        <v>480</v>
      </c>
      <c r="P159" s="1" t="s">
        <v>480</v>
      </c>
      <c r="Q159" s="1" t="s">
        <v>480</v>
      </c>
      <c r="R159" s="1" t="s">
        <v>480</v>
      </c>
      <c r="S159" s="1" t="s">
        <v>480</v>
      </c>
      <c r="T159" s="1" t="s">
        <v>480</v>
      </c>
      <c r="U159" s="1" t="s">
        <v>480</v>
      </c>
      <c r="V159" s="1" t="s">
        <v>480</v>
      </c>
      <c r="W159" s="1" t="s">
        <v>480</v>
      </c>
      <c r="X159" s="1" t="s">
        <v>480</v>
      </c>
      <c r="Y159" s="1" t="s">
        <v>480</v>
      </c>
      <c r="Z159" s="1" t="s">
        <v>480</v>
      </c>
      <c r="AA159" s="1" t="s">
        <v>480</v>
      </c>
      <c r="AB159" s="1" t="s">
        <v>480</v>
      </c>
      <c r="AC159" s="1" t="s">
        <v>480</v>
      </c>
      <c r="AD159" s="1" t="s">
        <v>480</v>
      </c>
      <c r="AE159" s="1" t="s">
        <v>480</v>
      </c>
      <c r="AF159" s="1" t="s">
        <v>480</v>
      </c>
      <c r="AG159" s="1" t="s">
        <v>480</v>
      </c>
      <c r="AH159" s="1" t="s">
        <v>480</v>
      </c>
      <c r="AI159" s="1" t="s">
        <v>480</v>
      </c>
      <c r="AJ159" s="1" t="s">
        <v>480</v>
      </c>
      <c r="AK159" s="1" t="s">
        <v>480</v>
      </c>
      <c r="AL159" s="1" t="s">
        <v>480</v>
      </c>
      <c r="AM159" s="1" t="s">
        <v>480</v>
      </c>
      <c r="AN159" s="1" t="s">
        <v>480</v>
      </c>
      <c r="AO159" s="1" t="s">
        <v>480</v>
      </c>
      <c r="AP159" s="1" t="s">
        <v>480</v>
      </c>
      <c r="AQ159" s="1">
        <v>0</v>
      </c>
      <c r="AR159" s="1">
        <v>0</v>
      </c>
      <c r="AS159" s="1" t="s">
        <v>480</v>
      </c>
      <c r="AT159" s="1">
        <f t="shared" si="23"/>
        <v>2</v>
      </c>
    </row>
    <row r="160" spans="1:46" x14ac:dyDescent="0.25">
      <c r="A160" s="1">
        <f>COUNTIF('Value Matchup'!$D$356:$D$423,'Team History'!B160)</f>
        <v>0</v>
      </c>
      <c r="B160" t="s">
        <v>262</v>
      </c>
      <c r="C160" s="1">
        <f t="shared" si="16"/>
        <v>8</v>
      </c>
      <c r="D160" s="1">
        <f t="shared" si="17"/>
        <v>5</v>
      </c>
      <c r="E160" s="1">
        <f t="shared" si="18"/>
        <v>2</v>
      </c>
      <c r="F160" s="1">
        <f t="shared" si="19"/>
        <v>1</v>
      </c>
      <c r="G160" s="1">
        <f t="shared" si="20"/>
        <v>0</v>
      </c>
      <c r="H160" s="1">
        <f t="shared" si="21"/>
        <v>0</v>
      </c>
      <c r="I160" s="64">
        <f t="shared" si="22"/>
        <v>39</v>
      </c>
      <c r="K160" s="90">
        <v>0</v>
      </c>
      <c r="L160" s="1" t="s">
        <v>480</v>
      </c>
      <c r="M160" s="1">
        <v>0</v>
      </c>
      <c r="N160" s="1" t="s">
        <v>480</v>
      </c>
      <c r="O160" s="1" t="s">
        <v>480</v>
      </c>
      <c r="P160" s="1" t="s">
        <v>480</v>
      </c>
      <c r="Q160" s="1">
        <v>3</v>
      </c>
      <c r="R160" s="1">
        <v>2</v>
      </c>
      <c r="S160" s="1">
        <v>2</v>
      </c>
      <c r="T160" s="1">
        <v>0</v>
      </c>
      <c r="U160" s="1">
        <v>1</v>
      </c>
      <c r="V160" s="1">
        <v>1</v>
      </c>
      <c r="W160" s="1">
        <v>0</v>
      </c>
      <c r="X160" s="1">
        <v>0</v>
      </c>
      <c r="Y160" s="1" t="s">
        <v>480</v>
      </c>
      <c r="Z160" s="1" t="s">
        <v>480</v>
      </c>
      <c r="AA160" s="1">
        <v>4</v>
      </c>
      <c r="AB160" s="1">
        <v>0</v>
      </c>
      <c r="AC160" s="1" t="s">
        <v>480</v>
      </c>
      <c r="AD160" s="1" t="s">
        <v>480</v>
      </c>
      <c r="AE160" s="1" t="s">
        <v>480</v>
      </c>
      <c r="AF160" s="1" t="s">
        <v>480</v>
      </c>
      <c r="AG160" s="1">
        <v>0</v>
      </c>
      <c r="AH160" s="1">
        <v>1</v>
      </c>
      <c r="AI160" s="1" t="s">
        <v>480</v>
      </c>
      <c r="AJ160" s="1">
        <v>2</v>
      </c>
      <c r="AK160" s="1">
        <v>0</v>
      </c>
      <c r="AL160" s="1" t="s">
        <v>480</v>
      </c>
      <c r="AM160" s="1" t="s">
        <v>480</v>
      </c>
      <c r="AN160" s="1" t="s">
        <v>480</v>
      </c>
      <c r="AO160" s="1" t="s">
        <v>480</v>
      </c>
      <c r="AP160" s="1" t="s">
        <v>480</v>
      </c>
      <c r="AQ160" s="1" t="s">
        <v>480</v>
      </c>
      <c r="AR160" s="1" t="s">
        <v>480</v>
      </c>
      <c r="AS160" s="1" t="s">
        <v>480</v>
      </c>
      <c r="AT160" s="1">
        <f t="shared" si="23"/>
        <v>16</v>
      </c>
    </row>
    <row r="161" spans="1:46" x14ac:dyDescent="0.25">
      <c r="A161" s="1">
        <f>COUNTIF('Value Matchup'!$D$356:$D$423,'Team History'!B161)</f>
        <v>0</v>
      </c>
      <c r="B161" t="s">
        <v>263</v>
      </c>
      <c r="C161" s="1">
        <f t="shared" si="16"/>
        <v>1</v>
      </c>
      <c r="D161" s="1">
        <f t="shared" si="17"/>
        <v>0</v>
      </c>
      <c r="E161" s="1">
        <f t="shared" si="18"/>
        <v>0</v>
      </c>
      <c r="F161" s="1">
        <f t="shared" si="19"/>
        <v>0</v>
      </c>
      <c r="G161" s="1">
        <f t="shared" si="20"/>
        <v>0</v>
      </c>
      <c r="H161" s="1">
        <f t="shared" si="21"/>
        <v>0</v>
      </c>
      <c r="I161" s="64">
        <f t="shared" si="22"/>
        <v>5</v>
      </c>
      <c r="K161" s="90" t="s">
        <v>480</v>
      </c>
      <c r="L161" s="1">
        <v>1</v>
      </c>
      <c r="M161" s="1" t="s">
        <v>480</v>
      </c>
      <c r="N161" s="1" t="s">
        <v>480</v>
      </c>
      <c r="O161" s="1" t="s">
        <v>480</v>
      </c>
      <c r="P161" s="1" t="s">
        <v>480</v>
      </c>
      <c r="Q161" s="1" t="s">
        <v>480</v>
      </c>
      <c r="R161" s="1" t="s">
        <v>480</v>
      </c>
      <c r="S161" s="1" t="s">
        <v>480</v>
      </c>
      <c r="T161" s="1" t="s">
        <v>480</v>
      </c>
      <c r="U161" s="1" t="s">
        <v>480</v>
      </c>
      <c r="V161" s="1" t="s">
        <v>480</v>
      </c>
      <c r="W161" s="1" t="s">
        <v>480</v>
      </c>
      <c r="X161" s="1" t="s">
        <v>480</v>
      </c>
      <c r="Y161" s="1" t="s">
        <v>480</v>
      </c>
      <c r="Z161" s="1" t="s">
        <v>480</v>
      </c>
      <c r="AA161" s="1" t="s">
        <v>480</v>
      </c>
      <c r="AB161" s="1" t="s">
        <v>480</v>
      </c>
      <c r="AC161" s="1" t="s">
        <v>480</v>
      </c>
      <c r="AD161" s="1" t="s">
        <v>480</v>
      </c>
      <c r="AE161" s="1" t="s">
        <v>480</v>
      </c>
      <c r="AF161" s="1" t="s">
        <v>480</v>
      </c>
      <c r="AG161" s="1" t="s">
        <v>480</v>
      </c>
      <c r="AH161" s="1" t="s">
        <v>480</v>
      </c>
      <c r="AI161" s="1" t="s">
        <v>480</v>
      </c>
      <c r="AJ161" s="1" t="s">
        <v>480</v>
      </c>
      <c r="AK161" s="1" t="s">
        <v>480</v>
      </c>
      <c r="AL161" s="1" t="s">
        <v>480</v>
      </c>
      <c r="AM161" s="1" t="s">
        <v>480</v>
      </c>
      <c r="AN161" s="1" t="s">
        <v>480</v>
      </c>
      <c r="AO161" s="1" t="s">
        <v>480</v>
      </c>
      <c r="AP161" s="1" t="s">
        <v>480</v>
      </c>
      <c r="AQ161" s="1">
        <v>0</v>
      </c>
      <c r="AR161" s="1" t="s">
        <v>480</v>
      </c>
      <c r="AS161" s="1">
        <v>0</v>
      </c>
      <c r="AT161" s="1">
        <f t="shared" si="23"/>
        <v>3</v>
      </c>
    </row>
    <row r="162" spans="1:46" x14ac:dyDescent="0.25">
      <c r="A162" s="1">
        <f>COUNTIF('Value Matchup'!$D$356:$D$423,'Team History'!B162)</f>
        <v>1</v>
      </c>
      <c r="B162" t="s">
        <v>31</v>
      </c>
      <c r="C162" s="1">
        <f t="shared" si="16"/>
        <v>17</v>
      </c>
      <c r="D162" s="1">
        <f t="shared" si="17"/>
        <v>8</v>
      </c>
      <c r="E162" s="1">
        <f t="shared" si="18"/>
        <v>1</v>
      </c>
      <c r="F162" s="1">
        <f t="shared" si="19"/>
        <v>1</v>
      </c>
      <c r="G162" s="1">
        <f t="shared" si="20"/>
        <v>0</v>
      </c>
      <c r="H162" s="1">
        <f t="shared" si="21"/>
        <v>0</v>
      </c>
      <c r="I162" s="64">
        <f t="shared" si="22"/>
        <v>52</v>
      </c>
      <c r="K162" s="90">
        <v>1</v>
      </c>
      <c r="L162" s="1" t="s">
        <v>480</v>
      </c>
      <c r="M162" s="1">
        <v>0</v>
      </c>
      <c r="N162" s="1">
        <v>2</v>
      </c>
      <c r="O162" s="1">
        <v>1</v>
      </c>
      <c r="P162" s="1" t="s">
        <v>480</v>
      </c>
      <c r="Q162" s="1" t="s">
        <v>480</v>
      </c>
      <c r="R162" s="1" t="s">
        <v>480</v>
      </c>
      <c r="S162" s="1" t="s">
        <v>480</v>
      </c>
      <c r="T162" s="1">
        <v>1</v>
      </c>
      <c r="U162" s="1">
        <v>1</v>
      </c>
      <c r="V162" s="1" t="s">
        <v>480</v>
      </c>
      <c r="W162" s="1">
        <v>1</v>
      </c>
      <c r="X162" s="1" t="s">
        <v>480</v>
      </c>
      <c r="Y162" s="1" t="s">
        <v>480</v>
      </c>
      <c r="Z162" s="1">
        <v>1</v>
      </c>
      <c r="AA162" s="1">
        <v>2</v>
      </c>
      <c r="AB162" s="1" t="s">
        <v>480</v>
      </c>
      <c r="AC162" s="1">
        <v>4</v>
      </c>
      <c r="AD162" s="1">
        <v>1</v>
      </c>
      <c r="AE162" s="1">
        <v>2</v>
      </c>
      <c r="AF162" s="1">
        <v>2</v>
      </c>
      <c r="AG162" s="1">
        <v>0</v>
      </c>
      <c r="AH162" s="1">
        <v>0</v>
      </c>
      <c r="AI162" s="1">
        <v>2</v>
      </c>
      <c r="AJ162" s="1">
        <v>2</v>
      </c>
      <c r="AK162" s="1" t="s">
        <v>480</v>
      </c>
      <c r="AL162" s="1" t="s">
        <v>480</v>
      </c>
      <c r="AM162" s="1" t="s">
        <v>480</v>
      </c>
      <c r="AN162" s="1" t="s">
        <v>480</v>
      </c>
      <c r="AO162" s="1" t="s">
        <v>480</v>
      </c>
      <c r="AP162" s="1">
        <v>1</v>
      </c>
      <c r="AQ162" s="1" t="s">
        <v>480</v>
      </c>
      <c r="AR162" s="1">
        <v>1</v>
      </c>
      <c r="AS162" s="1">
        <v>2</v>
      </c>
      <c r="AT162" s="1">
        <f t="shared" si="23"/>
        <v>20</v>
      </c>
    </row>
    <row r="163" spans="1:46" x14ac:dyDescent="0.25">
      <c r="A163" s="1">
        <f>COUNTIF('Value Matchup'!$D$356:$D$423,'Team History'!B163)</f>
        <v>0</v>
      </c>
      <c r="B163" t="s">
        <v>264</v>
      </c>
      <c r="C163" s="1">
        <f t="shared" si="16"/>
        <v>0</v>
      </c>
      <c r="D163" s="1">
        <f t="shared" si="17"/>
        <v>0</v>
      </c>
      <c r="E163" s="1">
        <f t="shared" si="18"/>
        <v>0</v>
      </c>
      <c r="F163" s="1">
        <f t="shared" si="19"/>
        <v>0</v>
      </c>
      <c r="G163" s="1">
        <f t="shared" si="20"/>
        <v>0</v>
      </c>
      <c r="H163" s="1">
        <f t="shared" si="21"/>
        <v>0</v>
      </c>
      <c r="I163" s="64">
        <f t="shared" si="22"/>
        <v>0</v>
      </c>
      <c r="K163" s="90" t="s">
        <v>480</v>
      </c>
      <c r="L163" s="1" t="s">
        <v>480</v>
      </c>
      <c r="M163" s="1" t="s">
        <v>480</v>
      </c>
      <c r="N163" s="1" t="s">
        <v>480</v>
      </c>
      <c r="O163" s="1" t="s">
        <v>480</v>
      </c>
      <c r="P163" s="1" t="s">
        <v>480</v>
      </c>
      <c r="Q163" s="1" t="s">
        <v>480</v>
      </c>
      <c r="R163" s="1" t="s">
        <v>480</v>
      </c>
      <c r="S163" s="1" t="s">
        <v>480</v>
      </c>
      <c r="T163" s="1" t="s">
        <v>480</v>
      </c>
      <c r="U163" s="1" t="s">
        <v>480</v>
      </c>
      <c r="V163" s="1" t="s">
        <v>480</v>
      </c>
      <c r="W163" s="1" t="s">
        <v>480</v>
      </c>
      <c r="X163" s="1" t="s">
        <v>480</v>
      </c>
      <c r="Y163" s="1" t="s">
        <v>480</v>
      </c>
      <c r="Z163" s="1" t="s">
        <v>480</v>
      </c>
      <c r="AA163" s="1" t="s">
        <v>480</v>
      </c>
      <c r="AB163" s="1" t="s">
        <v>480</v>
      </c>
      <c r="AC163" s="1" t="s">
        <v>480</v>
      </c>
      <c r="AD163" s="1" t="s">
        <v>480</v>
      </c>
      <c r="AE163" s="1" t="s">
        <v>480</v>
      </c>
      <c r="AF163" s="1" t="s">
        <v>480</v>
      </c>
      <c r="AG163" s="1" t="s">
        <v>480</v>
      </c>
      <c r="AH163" s="1" t="s">
        <v>480</v>
      </c>
      <c r="AI163" s="1" t="s">
        <v>480</v>
      </c>
      <c r="AJ163" s="1" t="s">
        <v>480</v>
      </c>
      <c r="AK163" s="1" t="s">
        <v>480</v>
      </c>
      <c r="AL163" s="1" t="s">
        <v>480</v>
      </c>
      <c r="AM163" s="1" t="s">
        <v>480</v>
      </c>
      <c r="AN163" s="1" t="s">
        <v>480</v>
      </c>
      <c r="AO163" s="1" t="s">
        <v>480</v>
      </c>
      <c r="AP163" s="1" t="s">
        <v>480</v>
      </c>
      <c r="AQ163" s="1" t="s">
        <v>480</v>
      </c>
      <c r="AR163" s="1" t="s">
        <v>480</v>
      </c>
      <c r="AS163" s="1" t="s">
        <v>480</v>
      </c>
      <c r="AT163" s="1">
        <f t="shared" si="23"/>
        <v>0</v>
      </c>
    </row>
    <row r="164" spans="1:46" x14ac:dyDescent="0.25">
      <c r="A164" s="1">
        <f>COUNTIF('Value Matchup'!$D$356:$D$423,'Team History'!B164)</f>
        <v>0</v>
      </c>
      <c r="B164" t="s">
        <v>265</v>
      </c>
      <c r="C164" s="1">
        <f t="shared" si="16"/>
        <v>5</v>
      </c>
      <c r="D164" s="1">
        <f t="shared" si="17"/>
        <v>3</v>
      </c>
      <c r="E164" s="1">
        <f t="shared" si="18"/>
        <v>2</v>
      </c>
      <c r="F164" s="1">
        <f t="shared" si="19"/>
        <v>1</v>
      </c>
      <c r="G164" s="1">
        <f t="shared" si="20"/>
        <v>0</v>
      </c>
      <c r="H164" s="1">
        <f t="shared" si="21"/>
        <v>0</v>
      </c>
      <c r="I164" s="64">
        <f t="shared" si="22"/>
        <v>19</v>
      </c>
      <c r="K164" s="90" t="s">
        <v>480</v>
      </c>
      <c r="L164" s="1" t="s">
        <v>480</v>
      </c>
      <c r="M164" s="1" t="s">
        <v>480</v>
      </c>
      <c r="N164" s="1" t="s">
        <v>480</v>
      </c>
      <c r="O164" s="1" t="s">
        <v>480</v>
      </c>
      <c r="P164" s="1">
        <v>0</v>
      </c>
      <c r="Q164" s="1" t="s">
        <v>480</v>
      </c>
      <c r="R164" s="1" t="s">
        <v>480</v>
      </c>
      <c r="S164" s="1" t="s">
        <v>480</v>
      </c>
      <c r="T164" s="1" t="s">
        <v>480</v>
      </c>
      <c r="U164" s="1" t="s">
        <v>480</v>
      </c>
      <c r="V164" s="1" t="s">
        <v>480</v>
      </c>
      <c r="W164" s="1" t="s">
        <v>480</v>
      </c>
      <c r="X164" s="1" t="s">
        <v>480</v>
      </c>
      <c r="Y164" s="1" t="s">
        <v>480</v>
      </c>
      <c r="Z164" s="1" t="s">
        <v>480</v>
      </c>
      <c r="AA164" s="1" t="s">
        <v>480</v>
      </c>
      <c r="AB164" s="1" t="s">
        <v>480</v>
      </c>
      <c r="AC164" s="1" t="s">
        <v>480</v>
      </c>
      <c r="AD164" s="1" t="s">
        <v>480</v>
      </c>
      <c r="AE164" s="1" t="s">
        <v>480</v>
      </c>
      <c r="AF164" s="1">
        <v>0</v>
      </c>
      <c r="AG164" s="1">
        <v>0</v>
      </c>
      <c r="AH164" s="1">
        <v>4</v>
      </c>
      <c r="AI164" s="1">
        <v>3</v>
      </c>
      <c r="AJ164" s="1">
        <v>1</v>
      </c>
      <c r="AK164" s="1">
        <v>1</v>
      </c>
      <c r="AL164" s="1">
        <v>2</v>
      </c>
      <c r="AM164" s="1" t="s">
        <v>480</v>
      </c>
      <c r="AN164" s="1" t="s">
        <v>480</v>
      </c>
      <c r="AO164" s="1" t="s">
        <v>480</v>
      </c>
      <c r="AP164" s="1" t="s">
        <v>480</v>
      </c>
      <c r="AQ164" s="1" t="s">
        <v>480</v>
      </c>
      <c r="AR164" s="1" t="s">
        <v>480</v>
      </c>
      <c r="AS164" s="1" t="s">
        <v>480</v>
      </c>
      <c r="AT164" s="1">
        <f t="shared" si="23"/>
        <v>8</v>
      </c>
    </row>
    <row r="165" spans="1:46" x14ac:dyDescent="0.25">
      <c r="A165" s="1">
        <f>COUNTIF('Value Matchup'!$D$356:$D$423,'Team History'!B165)</f>
        <v>0</v>
      </c>
      <c r="B165" t="s">
        <v>266</v>
      </c>
      <c r="C165" s="1">
        <f t="shared" si="16"/>
        <v>0</v>
      </c>
      <c r="D165" s="1">
        <f t="shared" si="17"/>
        <v>0</v>
      </c>
      <c r="E165" s="1">
        <f t="shared" si="18"/>
        <v>0</v>
      </c>
      <c r="F165" s="1">
        <f t="shared" si="19"/>
        <v>0</v>
      </c>
      <c r="G165" s="1">
        <f t="shared" si="20"/>
        <v>0</v>
      </c>
      <c r="H165" s="1">
        <f t="shared" si="21"/>
        <v>0</v>
      </c>
      <c r="I165" s="64">
        <f t="shared" si="22"/>
        <v>2</v>
      </c>
      <c r="K165" s="90" t="s">
        <v>480</v>
      </c>
      <c r="L165" s="1" t="s">
        <v>480</v>
      </c>
      <c r="M165" s="1" t="s">
        <v>480</v>
      </c>
      <c r="N165" s="1" t="s">
        <v>480</v>
      </c>
      <c r="O165" s="1" t="s">
        <v>480</v>
      </c>
      <c r="P165" s="1" t="s">
        <v>480</v>
      </c>
      <c r="Q165" s="1" t="s">
        <v>480</v>
      </c>
      <c r="R165" s="1" t="s">
        <v>480</v>
      </c>
      <c r="S165" s="1" t="s">
        <v>480</v>
      </c>
      <c r="T165" s="1" t="s">
        <v>480</v>
      </c>
      <c r="U165" s="1" t="s">
        <v>480</v>
      </c>
      <c r="V165" s="1" t="s">
        <v>480</v>
      </c>
      <c r="W165" s="1" t="s">
        <v>480</v>
      </c>
      <c r="X165" s="1" t="s">
        <v>480</v>
      </c>
      <c r="Y165" s="1" t="s">
        <v>480</v>
      </c>
      <c r="Z165" s="1" t="s">
        <v>480</v>
      </c>
      <c r="AA165" s="1" t="s">
        <v>480</v>
      </c>
      <c r="AB165" s="1">
        <v>0</v>
      </c>
      <c r="AC165" s="1" t="s">
        <v>480</v>
      </c>
      <c r="AD165" s="1" t="s">
        <v>480</v>
      </c>
      <c r="AE165" s="1" t="s">
        <v>480</v>
      </c>
      <c r="AF165" s="1" t="s">
        <v>480</v>
      </c>
      <c r="AG165" s="1" t="s">
        <v>480</v>
      </c>
      <c r="AH165" s="1" t="s">
        <v>480</v>
      </c>
      <c r="AI165" s="1" t="s">
        <v>480</v>
      </c>
      <c r="AJ165" s="1" t="s">
        <v>480</v>
      </c>
      <c r="AK165" s="1" t="s">
        <v>480</v>
      </c>
      <c r="AL165" s="1" t="s">
        <v>480</v>
      </c>
      <c r="AM165" s="1" t="s">
        <v>480</v>
      </c>
      <c r="AN165" s="1" t="s">
        <v>480</v>
      </c>
      <c r="AO165" s="1">
        <v>0</v>
      </c>
      <c r="AP165" s="1" t="s">
        <v>480</v>
      </c>
      <c r="AQ165" s="1" t="s">
        <v>480</v>
      </c>
      <c r="AR165" s="1" t="s">
        <v>480</v>
      </c>
      <c r="AS165" s="1" t="s">
        <v>480</v>
      </c>
      <c r="AT165" s="1">
        <f t="shared" si="23"/>
        <v>2</v>
      </c>
    </row>
    <row r="166" spans="1:46" x14ac:dyDescent="0.25">
      <c r="A166" s="1">
        <f>COUNTIF('Value Matchup'!$D$356:$D$423,'Team History'!B166)</f>
        <v>0</v>
      </c>
      <c r="B166" t="s">
        <v>267</v>
      </c>
      <c r="C166" s="1">
        <f t="shared" si="16"/>
        <v>12</v>
      </c>
      <c r="D166" s="1">
        <f t="shared" si="17"/>
        <v>7</v>
      </c>
      <c r="E166" s="1">
        <f t="shared" si="18"/>
        <v>5</v>
      </c>
      <c r="F166" s="1">
        <f t="shared" si="19"/>
        <v>2</v>
      </c>
      <c r="G166" s="1">
        <f t="shared" si="20"/>
        <v>1</v>
      </c>
      <c r="H166" s="1">
        <f t="shared" si="21"/>
        <v>0</v>
      </c>
      <c r="I166" s="64">
        <f t="shared" si="22"/>
        <v>47</v>
      </c>
      <c r="K166" s="90" t="s">
        <v>480</v>
      </c>
      <c r="L166" s="1" t="s">
        <v>480</v>
      </c>
      <c r="M166" s="1" t="s">
        <v>480</v>
      </c>
      <c r="N166" s="1" t="s">
        <v>480</v>
      </c>
      <c r="O166" s="1" t="s">
        <v>480</v>
      </c>
      <c r="P166" s="1">
        <v>1</v>
      </c>
      <c r="Q166" s="1">
        <v>1</v>
      </c>
      <c r="R166" s="1">
        <v>0</v>
      </c>
      <c r="S166" s="1">
        <v>0</v>
      </c>
      <c r="T166" s="1" t="s">
        <v>480</v>
      </c>
      <c r="U166" s="1">
        <v>2</v>
      </c>
      <c r="V166" s="1">
        <v>5</v>
      </c>
      <c r="W166" s="1">
        <v>3</v>
      </c>
      <c r="X166" s="1">
        <v>3</v>
      </c>
      <c r="Y166" s="1" t="s">
        <v>480</v>
      </c>
      <c r="Z166" s="1">
        <v>1</v>
      </c>
      <c r="AA166" s="1">
        <v>0</v>
      </c>
      <c r="AB166" s="1" t="s">
        <v>480</v>
      </c>
      <c r="AC166" s="1" t="s">
        <v>480</v>
      </c>
      <c r="AD166" s="1" t="s">
        <v>480</v>
      </c>
      <c r="AE166" s="1" t="s">
        <v>480</v>
      </c>
      <c r="AF166" s="1" t="s">
        <v>480</v>
      </c>
      <c r="AG166" s="1" t="s">
        <v>480</v>
      </c>
      <c r="AH166" s="1">
        <v>0</v>
      </c>
      <c r="AI166" s="1">
        <v>2</v>
      </c>
      <c r="AJ166" s="1" t="s">
        <v>480</v>
      </c>
      <c r="AK166" s="1">
        <v>0</v>
      </c>
      <c r="AL166" s="1">
        <v>3</v>
      </c>
      <c r="AM166" s="1" t="s">
        <v>480</v>
      </c>
      <c r="AN166" s="1" t="s">
        <v>480</v>
      </c>
      <c r="AO166" s="1">
        <v>0</v>
      </c>
      <c r="AP166" s="1">
        <v>1</v>
      </c>
      <c r="AQ166" s="1" t="s">
        <v>480</v>
      </c>
      <c r="AR166" s="1">
        <v>1</v>
      </c>
      <c r="AS166" s="1">
        <v>4</v>
      </c>
      <c r="AT166" s="1">
        <f t="shared" si="23"/>
        <v>18</v>
      </c>
    </row>
    <row r="167" spans="1:46" x14ac:dyDescent="0.25">
      <c r="A167" s="1">
        <f>COUNTIF('Value Matchup'!$D$356:$D$423,'Team History'!B167)</f>
        <v>0</v>
      </c>
      <c r="B167" t="s">
        <v>268</v>
      </c>
      <c r="C167" s="1">
        <f t="shared" si="16"/>
        <v>1</v>
      </c>
      <c r="D167" s="1">
        <f t="shared" si="17"/>
        <v>0</v>
      </c>
      <c r="E167" s="1">
        <f t="shared" si="18"/>
        <v>0</v>
      </c>
      <c r="F167" s="1">
        <f t="shared" si="19"/>
        <v>0</v>
      </c>
      <c r="G167" s="1">
        <f t="shared" si="20"/>
        <v>0</v>
      </c>
      <c r="H167" s="1">
        <f t="shared" si="21"/>
        <v>0</v>
      </c>
      <c r="I167" s="64">
        <f t="shared" si="22"/>
        <v>4</v>
      </c>
      <c r="K167" s="90" t="s">
        <v>480</v>
      </c>
      <c r="L167" s="1" t="s">
        <v>480</v>
      </c>
      <c r="M167" s="1" t="s">
        <v>480</v>
      </c>
      <c r="N167" s="1" t="s">
        <v>480</v>
      </c>
      <c r="O167" s="1" t="s">
        <v>480</v>
      </c>
      <c r="P167" s="1">
        <v>1</v>
      </c>
      <c r="Q167" s="1" t="s">
        <v>480</v>
      </c>
      <c r="R167" s="1" t="s">
        <v>480</v>
      </c>
      <c r="S167" s="1" t="s">
        <v>480</v>
      </c>
      <c r="T167" s="1" t="s">
        <v>480</v>
      </c>
      <c r="U167" s="1" t="s">
        <v>480</v>
      </c>
      <c r="V167" s="1" t="s">
        <v>480</v>
      </c>
      <c r="W167" s="1" t="s">
        <v>480</v>
      </c>
      <c r="X167" s="1" t="s">
        <v>480</v>
      </c>
      <c r="Y167" s="1" t="s">
        <v>480</v>
      </c>
      <c r="Z167" s="1" t="s">
        <v>480</v>
      </c>
      <c r="AA167" s="1" t="s">
        <v>480</v>
      </c>
      <c r="AB167" s="1" t="s">
        <v>480</v>
      </c>
      <c r="AC167" s="1" t="s">
        <v>480</v>
      </c>
      <c r="AD167" s="1" t="s">
        <v>480</v>
      </c>
      <c r="AE167" s="1" t="s">
        <v>480</v>
      </c>
      <c r="AF167" s="1" t="s">
        <v>480</v>
      </c>
      <c r="AG167" s="1" t="s">
        <v>480</v>
      </c>
      <c r="AH167" s="1" t="s">
        <v>480</v>
      </c>
      <c r="AI167" s="1" t="s">
        <v>480</v>
      </c>
      <c r="AJ167" s="1" t="s">
        <v>480</v>
      </c>
      <c r="AK167" s="1" t="s">
        <v>480</v>
      </c>
      <c r="AL167" s="1" t="s">
        <v>480</v>
      </c>
      <c r="AM167" s="1" t="s">
        <v>480</v>
      </c>
      <c r="AN167" s="1" t="s">
        <v>480</v>
      </c>
      <c r="AO167" s="1" t="s">
        <v>480</v>
      </c>
      <c r="AP167" s="1" t="s">
        <v>480</v>
      </c>
      <c r="AQ167" s="1" t="s">
        <v>480</v>
      </c>
      <c r="AR167" s="1" t="s">
        <v>480</v>
      </c>
      <c r="AS167" s="1">
        <v>0</v>
      </c>
      <c r="AT167" s="1">
        <f t="shared" si="23"/>
        <v>2</v>
      </c>
    </row>
    <row r="168" spans="1:46" x14ac:dyDescent="0.25">
      <c r="A168" s="1">
        <f>COUNTIF('Value Matchup'!$D$356:$D$423,'Team History'!B168)</f>
        <v>0</v>
      </c>
      <c r="B168" t="s">
        <v>269</v>
      </c>
      <c r="C168" s="1">
        <f t="shared" si="16"/>
        <v>5</v>
      </c>
      <c r="D168" s="1">
        <f t="shared" si="17"/>
        <v>3</v>
      </c>
      <c r="E168" s="1">
        <f t="shared" si="18"/>
        <v>0</v>
      </c>
      <c r="F168" s="1">
        <f t="shared" si="19"/>
        <v>0</v>
      </c>
      <c r="G168" s="1">
        <f t="shared" si="20"/>
        <v>0</v>
      </c>
      <c r="H168" s="1">
        <f t="shared" si="21"/>
        <v>0</v>
      </c>
      <c r="I168" s="64">
        <f t="shared" si="22"/>
        <v>21</v>
      </c>
      <c r="K168" s="90" t="s">
        <v>480</v>
      </c>
      <c r="L168" s="1">
        <v>0</v>
      </c>
      <c r="M168" s="1">
        <v>0</v>
      </c>
      <c r="N168" s="1">
        <v>2</v>
      </c>
      <c r="O168" s="1" t="s">
        <v>480</v>
      </c>
      <c r="P168" s="1" t="s">
        <v>480</v>
      </c>
      <c r="Q168" s="1">
        <v>2</v>
      </c>
      <c r="R168" s="1" t="s">
        <v>480</v>
      </c>
      <c r="S168" s="1" t="s">
        <v>480</v>
      </c>
      <c r="T168" s="1" t="s">
        <v>480</v>
      </c>
      <c r="U168" s="1" t="s">
        <v>480</v>
      </c>
      <c r="V168" s="1">
        <v>1</v>
      </c>
      <c r="W168" s="1" t="s">
        <v>480</v>
      </c>
      <c r="X168" s="1" t="s">
        <v>480</v>
      </c>
      <c r="Y168" s="1" t="s">
        <v>480</v>
      </c>
      <c r="Z168" s="1" t="s">
        <v>480</v>
      </c>
      <c r="AA168" s="1" t="s">
        <v>480</v>
      </c>
      <c r="AB168" s="1">
        <v>0</v>
      </c>
      <c r="AC168" s="1" t="s">
        <v>480</v>
      </c>
      <c r="AD168" s="1">
        <v>2</v>
      </c>
      <c r="AE168" s="1">
        <v>1</v>
      </c>
      <c r="AF168" s="1">
        <v>0</v>
      </c>
      <c r="AG168" s="1" t="s">
        <v>480</v>
      </c>
      <c r="AH168" s="1" t="s">
        <v>480</v>
      </c>
      <c r="AI168" s="1" t="s">
        <v>480</v>
      </c>
      <c r="AJ168" s="1" t="s">
        <v>480</v>
      </c>
      <c r="AK168" s="1" t="s">
        <v>480</v>
      </c>
      <c r="AL168" s="1" t="s">
        <v>480</v>
      </c>
      <c r="AM168" s="1" t="s">
        <v>480</v>
      </c>
      <c r="AN168" s="1" t="s">
        <v>480</v>
      </c>
      <c r="AO168" s="1" t="s">
        <v>480</v>
      </c>
      <c r="AP168" s="1" t="s">
        <v>480</v>
      </c>
      <c r="AQ168" s="1" t="s">
        <v>480</v>
      </c>
      <c r="AR168" s="1" t="s">
        <v>480</v>
      </c>
      <c r="AS168" s="1" t="s">
        <v>480</v>
      </c>
      <c r="AT168" s="1">
        <f t="shared" si="23"/>
        <v>9</v>
      </c>
    </row>
    <row r="169" spans="1:46" x14ac:dyDescent="0.25">
      <c r="A169" s="1">
        <f>COUNTIF('Value Matchup'!$D$356:$D$423,'Team History'!B169)</f>
        <v>0</v>
      </c>
      <c r="B169" t="s">
        <v>270</v>
      </c>
      <c r="C169" s="1">
        <f t="shared" si="16"/>
        <v>2</v>
      </c>
      <c r="D169" s="1">
        <f t="shared" si="17"/>
        <v>1</v>
      </c>
      <c r="E169" s="1">
        <f t="shared" si="18"/>
        <v>0</v>
      </c>
      <c r="F169" s="1">
        <f t="shared" si="19"/>
        <v>0</v>
      </c>
      <c r="G169" s="1">
        <f t="shared" si="20"/>
        <v>0</v>
      </c>
      <c r="H169" s="1">
        <f t="shared" si="21"/>
        <v>0</v>
      </c>
      <c r="I169" s="64">
        <f t="shared" si="22"/>
        <v>10</v>
      </c>
      <c r="K169" s="90" t="s">
        <v>480</v>
      </c>
      <c r="L169" s="1" t="s">
        <v>480</v>
      </c>
      <c r="M169" s="1" t="s">
        <v>480</v>
      </c>
      <c r="N169" s="1" t="s">
        <v>480</v>
      </c>
      <c r="O169" s="1" t="s">
        <v>480</v>
      </c>
      <c r="P169" s="1" t="s">
        <v>480</v>
      </c>
      <c r="Q169" s="1" t="s">
        <v>480</v>
      </c>
      <c r="R169" s="1" t="s">
        <v>480</v>
      </c>
      <c r="S169" s="1" t="s">
        <v>480</v>
      </c>
      <c r="T169" s="1" t="s">
        <v>480</v>
      </c>
      <c r="U169" s="1" t="s">
        <v>480</v>
      </c>
      <c r="V169" s="1" t="s">
        <v>480</v>
      </c>
      <c r="W169" s="1">
        <v>0</v>
      </c>
      <c r="X169" s="1" t="s">
        <v>480</v>
      </c>
      <c r="Y169" s="1" t="s">
        <v>480</v>
      </c>
      <c r="Z169" s="1" t="s">
        <v>480</v>
      </c>
      <c r="AA169" s="1" t="s">
        <v>480</v>
      </c>
      <c r="AB169" s="1" t="s">
        <v>480</v>
      </c>
      <c r="AC169" s="1" t="s">
        <v>480</v>
      </c>
      <c r="AD169" s="1" t="s">
        <v>480</v>
      </c>
      <c r="AE169" s="1">
        <v>2</v>
      </c>
      <c r="AF169" s="1" t="s">
        <v>480</v>
      </c>
      <c r="AG169" s="1">
        <v>0</v>
      </c>
      <c r="AH169" s="1" t="s">
        <v>480</v>
      </c>
      <c r="AI169" s="1">
        <v>1</v>
      </c>
      <c r="AJ169" s="1" t="s">
        <v>480</v>
      </c>
      <c r="AK169" s="1" t="s">
        <v>480</v>
      </c>
      <c r="AL169" s="1">
        <v>0</v>
      </c>
      <c r="AM169" s="1" t="s">
        <v>480</v>
      </c>
      <c r="AN169" s="1" t="s">
        <v>480</v>
      </c>
      <c r="AO169" s="1" t="s">
        <v>480</v>
      </c>
      <c r="AP169" s="1" t="s">
        <v>480</v>
      </c>
      <c r="AQ169" s="1" t="s">
        <v>480</v>
      </c>
      <c r="AR169" s="1">
        <v>0</v>
      </c>
      <c r="AS169" s="1">
        <v>0</v>
      </c>
      <c r="AT169" s="1">
        <f t="shared" si="23"/>
        <v>7</v>
      </c>
    </row>
    <row r="170" spans="1:46" x14ac:dyDescent="0.25">
      <c r="A170" s="1">
        <f>COUNTIF('Value Matchup'!$D$356:$D$423,'Team History'!B170)</f>
        <v>1</v>
      </c>
      <c r="B170" t="s">
        <v>82</v>
      </c>
      <c r="C170" s="1">
        <f t="shared" si="16"/>
        <v>16</v>
      </c>
      <c r="D170" s="1">
        <f t="shared" si="17"/>
        <v>9</v>
      </c>
      <c r="E170" s="1">
        <f t="shared" si="18"/>
        <v>6</v>
      </c>
      <c r="F170" s="1">
        <f t="shared" si="19"/>
        <v>4</v>
      </c>
      <c r="G170" s="1">
        <f t="shared" si="20"/>
        <v>4</v>
      </c>
      <c r="H170" s="1">
        <f t="shared" si="21"/>
        <v>0</v>
      </c>
      <c r="I170" s="64">
        <f t="shared" si="22"/>
        <v>77</v>
      </c>
      <c r="K170" s="90">
        <v>2</v>
      </c>
      <c r="L170" s="1">
        <v>5</v>
      </c>
      <c r="M170" s="1">
        <v>2</v>
      </c>
      <c r="N170" s="1">
        <v>0</v>
      </c>
      <c r="O170" s="1" t="s">
        <v>480</v>
      </c>
      <c r="P170" s="1">
        <v>3</v>
      </c>
      <c r="Q170" s="1">
        <v>5</v>
      </c>
      <c r="R170" s="1">
        <v>0</v>
      </c>
      <c r="S170" s="1">
        <v>1</v>
      </c>
      <c r="T170" s="1" t="s">
        <v>480</v>
      </c>
      <c r="U170" s="1">
        <v>1</v>
      </c>
      <c r="V170" s="1" t="s">
        <v>480</v>
      </c>
      <c r="W170" s="1" t="s">
        <v>480</v>
      </c>
      <c r="X170" s="1" t="s">
        <v>480</v>
      </c>
      <c r="Y170" s="1" t="s">
        <v>480</v>
      </c>
      <c r="Z170" s="1" t="s">
        <v>480</v>
      </c>
      <c r="AA170" s="1" t="s">
        <v>480</v>
      </c>
      <c r="AB170" s="1" t="s">
        <v>480</v>
      </c>
      <c r="AC170" s="1" t="s">
        <v>480</v>
      </c>
      <c r="AD170" s="1" t="s">
        <v>480</v>
      </c>
      <c r="AE170" s="1" t="s">
        <v>480</v>
      </c>
      <c r="AF170" s="1">
        <v>1</v>
      </c>
      <c r="AG170" s="1" t="s">
        <v>480</v>
      </c>
      <c r="AH170" s="1">
        <v>0</v>
      </c>
      <c r="AI170" s="1">
        <v>0</v>
      </c>
      <c r="AJ170" s="1">
        <v>3</v>
      </c>
      <c r="AK170" s="1">
        <v>5</v>
      </c>
      <c r="AL170" s="1">
        <v>5</v>
      </c>
      <c r="AM170" s="1" t="s">
        <v>480</v>
      </c>
      <c r="AN170" s="1">
        <v>1</v>
      </c>
      <c r="AO170" s="1" t="s">
        <v>480</v>
      </c>
      <c r="AP170" s="1">
        <v>2</v>
      </c>
      <c r="AQ170" s="1">
        <v>1</v>
      </c>
      <c r="AR170" s="1">
        <v>1</v>
      </c>
      <c r="AS170" s="1">
        <v>1</v>
      </c>
      <c r="AT170" s="1">
        <f t="shared" si="23"/>
        <v>20</v>
      </c>
    </row>
    <row r="171" spans="1:46" x14ac:dyDescent="0.25">
      <c r="A171" s="1">
        <f>COUNTIF('Value Matchup'!$D$356:$D$423,'Team History'!B171)</f>
        <v>1</v>
      </c>
      <c r="B171" t="s">
        <v>271</v>
      </c>
      <c r="C171" s="1">
        <f t="shared" si="16"/>
        <v>21</v>
      </c>
      <c r="D171" s="1">
        <f t="shared" si="17"/>
        <v>15</v>
      </c>
      <c r="E171" s="1">
        <f t="shared" si="18"/>
        <v>9</v>
      </c>
      <c r="F171" s="1">
        <f t="shared" si="19"/>
        <v>7</v>
      </c>
      <c r="G171" s="1">
        <f t="shared" si="20"/>
        <v>1</v>
      </c>
      <c r="H171" s="1">
        <f t="shared" si="21"/>
        <v>0</v>
      </c>
      <c r="I171" s="64">
        <f t="shared" si="22"/>
        <v>102</v>
      </c>
      <c r="K171" s="90">
        <v>4</v>
      </c>
      <c r="L171" s="1">
        <v>1</v>
      </c>
      <c r="M171" s="1">
        <v>1</v>
      </c>
      <c r="N171" s="1">
        <v>0</v>
      </c>
      <c r="O171" s="1">
        <v>4</v>
      </c>
      <c r="P171" s="1">
        <v>3</v>
      </c>
      <c r="Q171" s="1">
        <v>2</v>
      </c>
      <c r="R171" s="1">
        <v>2</v>
      </c>
      <c r="S171" s="1">
        <v>0</v>
      </c>
      <c r="T171" s="1">
        <v>4</v>
      </c>
      <c r="U171" s="1">
        <v>5</v>
      </c>
      <c r="V171" s="1">
        <v>2</v>
      </c>
      <c r="W171" s="1">
        <v>1</v>
      </c>
      <c r="X171" s="1">
        <v>0</v>
      </c>
      <c r="Y171" s="1">
        <v>4</v>
      </c>
      <c r="Z171" s="1">
        <v>0</v>
      </c>
      <c r="AA171" s="1">
        <v>3</v>
      </c>
      <c r="AB171" s="1">
        <v>0</v>
      </c>
      <c r="AC171" s="1">
        <v>4</v>
      </c>
      <c r="AD171" s="1" t="s">
        <v>480</v>
      </c>
      <c r="AE171" s="1">
        <v>4</v>
      </c>
      <c r="AF171" s="1">
        <v>2</v>
      </c>
      <c r="AG171" s="1" t="s">
        <v>480</v>
      </c>
      <c r="AH171" s="1" t="s">
        <v>480</v>
      </c>
      <c r="AI171" s="1">
        <v>0</v>
      </c>
      <c r="AJ171" s="1">
        <v>1</v>
      </c>
      <c r="AK171" s="1" t="s">
        <v>480</v>
      </c>
      <c r="AL171" s="1">
        <v>1</v>
      </c>
      <c r="AM171" s="1">
        <v>1</v>
      </c>
      <c r="AN171" s="1">
        <v>2</v>
      </c>
      <c r="AO171" s="1" t="s">
        <v>480</v>
      </c>
      <c r="AP171" s="1" t="s">
        <v>480</v>
      </c>
      <c r="AQ171" s="1" t="s">
        <v>480</v>
      </c>
      <c r="AR171" s="1">
        <v>2</v>
      </c>
      <c r="AS171" s="1">
        <v>0</v>
      </c>
      <c r="AT171" s="1">
        <f t="shared" si="23"/>
        <v>28</v>
      </c>
    </row>
    <row r="172" spans="1:46" x14ac:dyDescent="0.25">
      <c r="A172" s="1">
        <f>COUNTIF('Value Matchup'!$D$356:$D$423,'Team History'!B172)</f>
        <v>0</v>
      </c>
      <c r="B172" t="s">
        <v>272</v>
      </c>
      <c r="C172" s="1">
        <f t="shared" si="16"/>
        <v>3</v>
      </c>
      <c r="D172" s="1">
        <f t="shared" si="17"/>
        <v>0</v>
      </c>
      <c r="E172" s="1">
        <f t="shared" si="18"/>
        <v>0</v>
      </c>
      <c r="F172" s="1">
        <f t="shared" si="19"/>
        <v>0</v>
      </c>
      <c r="G172" s="1">
        <f t="shared" si="20"/>
        <v>0</v>
      </c>
      <c r="H172" s="1">
        <f t="shared" si="21"/>
        <v>0</v>
      </c>
      <c r="I172" s="64">
        <f t="shared" si="22"/>
        <v>11</v>
      </c>
      <c r="K172" s="90" t="s">
        <v>480</v>
      </c>
      <c r="L172" s="1" t="s">
        <v>480</v>
      </c>
      <c r="M172" s="1">
        <v>1</v>
      </c>
      <c r="N172" s="1">
        <v>1</v>
      </c>
      <c r="O172" s="1" t="s">
        <v>480</v>
      </c>
      <c r="P172" s="1" t="s">
        <v>480</v>
      </c>
      <c r="Q172" s="1">
        <v>0</v>
      </c>
      <c r="R172" s="1" t="s">
        <v>480</v>
      </c>
      <c r="S172" s="1" t="s">
        <v>480</v>
      </c>
      <c r="T172" s="1" t="s">
        <v>480</v>
      </c>
      <c r="U172" s="1" t="s">
        <v>480</v>
      </c>
      <c r="V172" s="1" t="s">
        <v>480</v>
      </c>
      <c r="W172" s="1" t="s">
        <v>480</v>
      </c>
      <c r="X172" s="1" t="s">
        <v>480</v>
      </c>
      <c r="Y172" s="1" t="s">
        <v>480</v>
      </c>
      <c r="Z172" s="1" t="s">
        <v>480</v>
      </c>
      <c r="AA172" s="1" t="s">
        <v>480</v>
      </c>
      <c r="AB172" s="1" t="s">
        <v>480</v>
      </c>
      <c r="AC172" s="1" t="s">
        <v>480</v>
      </c>
      <c r="AD172" s="1" t="s">
        <v>480</v>
      </c>
      <c r="AE172" s="1" t="s">
        <v>480</v>
      </c>
      <c r="AF172" s="1" t="s">
        <v>480</v>
      </c>
      <c r="AG172" s="1" t="s">
        <v>480</v>
      </c>
      <c r="AH172" s="1" t="s">
        <v>480</v>
      </c>
      <c r="AI172" s="1" t="s">
        <v>480</v>
      </c>
      <c r="AJ172" s="1" t="s">
        <v>480</v>
      </c>
      <c r="AK172" s="1" t="s">
        <v>480</v>
      </c>
      <c r="AL172" s="1" t="s">
        <v>480</v>
      </c>
      <c r="AM172" s="1" t="s">
        <v>480</v>
      </c>
      <c r="AN172" s="1" t="s">
        <v>480</v>
      </c>
      <c r="AO172" s="1">
        <v>1</v>
      </c>
      <c r="AP172" s="1" t="s">
        <v>480</v>
      </c>
      <c r="AQ172" s="1">
        <v>0</v>
      </c>
      <c r="AR172" s="1" t="s">
        <v>480</v>
      </c>
      <c r="AS172" s="1">
        <v>0</v>
      </c>
      <c r="AT172" s="1">
        <f t="shared" si="23"/>
        <v>6</v>
      </c>
    </row>
    <row r="173" spans="1:46" x14ac:dyDescent="0.25">
      <c r="A173" s="1">
        <f>COUNTIF('Value Matchup'!$D$356:$D$423,'Team History'!B173)</f>
        <v>0</v>
      </c>
      <c r="B173" t="s">
        <v>273</v>
      </c>
      <c r="C173" s="1">
        <f t="shared" si="16"/>
        <v>2</v>
      </c>
      <c r="D173" s="1">
        <f t="shared" si="17"/>
        <v>1</v>
      </c>
      <c r="E173" s="1">
        <f t="shared" si="18"/>
        <v>0</v>
      </c>
      <c r="F173" s="1">
        <f t="shared" si="19"/>
        <v>0</v>
      </c>
      <c r="G173" s="1">
        <f t="shared" si="20"/>
        <v>0</v>
      </c>
      <c r="H173" s="1">
        <f t="shared" si="21"/>
        <v>0</v>
      </c>
      <c r="I173" s="64">
        <f t="shared" si="22"/>
        <v>7</v>
      </c>
      <c r="K173" s="90" t="s">
        <v>480</v>
      </c>
      <c r="L173" s="1" t="s">
        <v>480</v>
      </c>
      <c r="M173" s="1" t="s">
        <v>480</v>
      </c>
      <c r="N173" s="1" t="s">
        <v>480</v>
      </c>
      <c r="O173" s="1" t="s">
        <v>480</v>
      </c>
      <c r="P173" s="1">
        <v>0</v>
      </c>
      <c r="Q173" s="1" t="s">
        <v>480</v>
      </c>
      <c r="R173" s="1" t="s">
        <v>480</v>
      </c>
      <c r="S173" s="1" t="s">
        <v>480</v>
      </c>
      <c r="T173" s="1" t="s">
        <v>480</v>
      </c>
      <c r="U173" s="1" t="s">
        <v>480</v>
      </c>
      <c r="V173" s="1" t="s">
        <v>480</v>
      </c>
      <c r="W173" s="1" t="s">
        <v>480</v>
      </c>
      <c r="X173" s="1">
        <v>1</v>
      </c>
      <c r="Y173" s="1">
        <v>2</v>
      </c>
      <c r="Z173" s="1" t="s">
        <v>480</v>
      </c>
      <c r="AA173" s="1">
        <v>0</v>
      </c>
      <c r="AB173" s="1" t="s">
        <v>480</v>
      </c>
      <c r="AC173" s="1" t="s">
        <v>480</v>
      </c>
      <c r="AD173" s="1" t="s">
        <v>480</v>
      </c>
      <c r="AE173" s="1" t="s">
        <v>480</v>
      </c>
      <c r="AF173" s="1" t="s">
        <v>480</v>
      </c>
      <c r="AG173" s="1" t="s">
        <v>480</v>
      </c>
      <c r="AH173" s="1" t="s">
        <v>480</v>
      </c>
      <c r="AI173" s="1" t="s">
        <v>480</v>
      </c>
      <c r="AJ173" s="1" t="s">
        <v>480</v>
      </c>
      <c r="AK173" s="1" t="s">
        <v>480</v>
      </c>
      <c r="AL173" s="1" t="s">
        <v>480</v>
      </c>
      <c r="AM173" s="1" t="s">
        <v>480</v>
      </c>
      <c r="AN173" s="1" t="s">
        <v>480</v>
      </c>
      <c r="AO173" s="1" t="s">
        <v>480</v>
      </c>
      <c r="AP173" s="1" t="s">
        <v>480</v>
      </c>
      <c r="AQ173" s="1" t="s">
        <v>480</v>
      </c>
      <c r="AR173" s="1" t="s">
        <v>480</v>
      </c>
      <c r="AS173" s="1" t="s">
        <v>480</v>
      </c>
      <c r="AT173" s="1">
        <f t="shared" si="23"/>
        <v>4</v>
      </c>
    </row>
    <row r="174" spans="1:46" x14ac:dyDescent="0.25">
      <c r="A174" s="1">
        <f>COUNTIF('Value Matchup'!$D$356:$D$423,'Team History'!B174)</f>
        <v>0</v>
      </c>
      <c r="B174" t="s">
        <v>274</v>
      </c>
      <c r="C174" s="1">
        <f t="shared" si="16"/>
        <v>6</v>
      </c>
      <c r="D174" s="1">
        <f t="shared" si="17"/>
        <v>3</v>
      </c>
      <c r="E174" s="1">
        <f t="shared" si="18"/>
        <v>2</v>
      </c>
      <c r="F174" s="1">
        <f t="shared" si="19"/>
        <v>1</v>
      </c>
      <c r="G174" s="1">
        <f t="shared" si="20"/>
        <v>0</v>
      </c>
      <c r="H174" s="1">
        <f t="shared" si="21"/>
        <v>0</v>
      </c>
      <c r="I174" s="64">
        <f t="shared" si="22"/>
        <v>26</v>
      </c>
      <c r="K174" s="90">
        <v>1</v>
      </c>
      <c r="L174" s="1" t="s">
        <v>480</v>
      </c>
      <c r="M174" s="1">
        <v>0</v>
      </c>
      <c r="N174" s="1" t="s">
        <v>480</v>
      </c>
      <c r="O174" s="1" t="s">
        <v>480</v>
      </c>
      <c r="P174" s="1" t="s">
        <v>480</v>
      </c>
      <c r="Q174" s="1">
        <v>1</v>
      </c>
      <c r="R174" s="1" t="s">
        <v>480</v>
      </c>
      <c r="S174" s="1" t="s">
        <v>480</v>
      </c>
      <c r="T174" s="1">
        <v>0</v>
      </c>
      <c r="U174" s="1">
        <v>0</v>
      </c>
      <c r="V174" s="1" t="s">
        <v>480</v>
      </c>
      <c r="W174" s="1" t="s">
        <v>480</v>
      </c>
      <c r="X174" s="1" t="s">
        <v>480</v>
      </c>
      <c r="Y174" s="1">
        <v>0</v>
      </c>
      <c r="Z174" s="1" t="s">
        <v>480</v>
      </c>
      <c r="AA174" s="1" t="s">
        <v>480</v>
      </c>
      <c r="AB174" s="1" t="s">
        <v>480</v>
      </c>
      <c r="AC174" s="1" t="s">
        <v>480</v>
      </c>
      <c r="AD174" s="1" t="s">
        <v>480</v>
      </c>
      <c r="AE174" s="1">
        <v>0</v>
      </c>
      <c r="AF174" s="1" t="s">
        <v>480</v>
      </c>
      <c r="AG174" s="1">
        <v>4</v>
      </c>
      <c r="AH174" s="1" t="s">
        <v>480</v>
      </c>
      <c r="AI174" s="1">
        <v>0</v>
      </c>
      <c r="AJ174" s="1">
        <v>1</v>
      </c>
      <c r="AK174" s="1" t="s">
        <v>480</v>
      </c>
      <c r="AL174" s="1" t="s">
        <v>480</v>
      </c>
      <c r="AM174" s="1" t="s">
        <v>480</v>
      </c>
      <c r="AN174" s="1">
        <v>3</v>
      </c>
      <c r="AO174" s="1">
        <v>2</v>
      </c>
      <c r="AP174" s="1" t="s">
        <v>480</v>
      </c>
      <c r="AQ174" s="1" t="s">
        <v>480</v>
      </c>
      <c r="AR174" s="1" t="s">
        <v>480</v>
      </c>
      <c r="AS174" s="1" t="s">
        <v>480</v>
      </c>
      <c r="AT174" s="1">
        <f t="shared" si="23"/>
        <v>12</v>
      </c>
    </row>
    <row r="175" spans="1:46" x14ac:dyDescent="0.25">
      <c r="A175" s="1">
        <f>COUNTIF('Value Matchup'!$D$356:$D$423,'Team History'!B175)</f>
        <v>0</v>
      </c>
      <c r="B175" t="s">
        <v>45</v>
      </c>
      <c r="C175" s="1">
        <f t="shared" si="16"/>
        <v>3</v>
      </c>
      <c r="D175" s="1">
        <f t="shared" si="17"/>
        <v>1</v>
      </c>
      <c r="E175" s="1">
        <f t="shared" si="18"/>
        <v>0</v>
      </c>
      <c r="F175" s="1">
        <f t="shared" si="19"/>
        <v>0</v>
      </c>
      <c r="G175" s="1">
        <f t="shared" si="20"/>
        <v>0</v>
      </c>
      <c r="H175" s="1">
        <f t="shared" si="21"/>
        <v>0</v>
      </c>
      <c r="I175" s="64">
        <f t="shared" si="22"/>
        <v>13</v>
      </c>
      <c r="K175" s="90">
        <v>0</v>
      </c>
      <c r="L175" s="1" t="s">
        <v>480</v>
      </c>
      <c r="M175" s="1" t="s">
        <v>480</v>
      </c>
      <c r="N175" s="1" t="s">
        <v>480</v>
      </c>
      <c r="O175" s="1">
        <v>0</v>
      </c>
      <c r="P175" s="1" t="s">
        <v>480</v>
      </c>
      <c r="Q175" s="1">
        <v>1</v>
      </c>
      <c r="R175" s="1" t="s">
        <v>480</v>
      </c>
      <c r="S175" s="1" t="s">
        <v>480</v>
      </c>
      <c r="T175" s="1" t="s">
        <v>480</v>
      </c>
      <c r="U175" s="1" t="s">
        <v>480</v>
      </c>
      <c r="V175" s="1" t="s">
        <v>480</v>
      </c>
      <c r="W175" s="1" t="s">
        <v>480</v>
      </c>
      <c r="X175" s="1" t="s">
        <v>480</v>
      </c>
      <c r="Y175" s="1" t="s">
        <v>480</v>
      </c>
      <c r="Z175" s="1" t="s">
        <v>480</v>
      </c>
      <c r="AA175" s="1" t="s">
        <v>480</v>
      </c>
      <c r="AB175" s="1">
        <v>0</v>
      </c>
      <c r="AC175" s="1">
        <v>2</v>
      </c>
      <c r="AD175" s="1" t="s">
        <v>480</v>
      </c>
      <c r="AE175" s="1">
        <v>1</v>
      </c>
      <c r="AF175" s="1">
        <v>0</v>
      </c>
      <c r="AG175" s="1">
        <v>0</v>
      </c>
      <c r="AH175" s="1" t="s">
        <v>480</v>
      </c>
      <c r="AI175" s="1" t="s">
        <v>480</v>
      </c>
      <c r="AJ175" s="1" t="s">
        <v>480</v>
      </c>
      <c r="AK175" s="1" t="s">
        <v>480</v>
      </c>
      <c r="AL175" s="1" t="s">
        <v>480</v>
      </c>
      <c r="AM175" s="1" t="s">
        <v>480</v>
      </c>
      <c r="AN175" s="1" t="s">
        <v>480</v>
      </c>
      <c r="AO175" s="1" t="s">
        <v>480</v>
      </c>
      <c r="AP175" s="1" t="s">
        <v>480</v>
      </c>
      <c r="AQ175" s="1" t="s">
        <v>480</v>
      </c>
      <c r="AR175" s="1" t="s">
        <v>480</v>
      </c>
      <c r="AS175" s="1" t="s">
        <v>480</v>
      </c>
      <c r="AT175" s="1">
        <f t="shared" si="23"/>
        <v>8</v>
      </c>
    </row>
    <row r="176" spans="1:46" x14ac:dyDescent="0.25">
      <c r="A176" s="1">
        <f>COUNTIF('Value Matchup'!$D$356:$D$423,'Team History'!B176)</f>
        <v>0</v>
      </c>
      <c r="B176" t="s">
        <v>275</v>
      </c>
      <c r="C176" s="1">
        <f t="shared" si="16"/>
        <v>6</v>
      </c>
      <c r="D176" s="1">
        <f t="shared" si="17"/>
        <v>2</v>
      </c>
      <c r="E176" s="1">
        <f t="shared" si="18"/>
        <v>1</v>
      </c>
      <c r="F176" s="1">
        <f t="shared" si="19"/>
        <v>1</v>
      </c>
      <c r="G176" s="1">
        <f t="shared" si="20"/>
        <v>0</v>
      </c>
      <c r="H176" s="1">
        <f t="shared" si="21"/>
        <v>0</v>
      </c>
      <c r="I176" s="64">
        <f t="shared" si="22"/>
        <v>20</v>
      </c>
      <c r="K176" s="90">
        <v>0</v>
      </c>
      <c r="L176" s="1" t="s">
        <v>480</v>
      </c>
      <c r="M176" s="1" t="s">
        <v>480</v>
      </c>
      <c r="N176" s="1" t="s">
        <v>480</v>
      </c>
      <c r="O176" s="1" t="s">
        <v>480</v>
      </c>
      <c r="P176" s="1" t="s">
        <v>480</v>
      </c>
      <c r="Q176" s="1" t="s">
        <v>480</v>
      </c>
      <c r="R176" s="1" t="s">
        <v>480</v>
      </c>
      <c r="S176" s="1" t="s">
        <v>480</v>
      </c>
      <c r="T176" s="1" t="s">
        <v>480</v>
      </c>
      <c r="U176" s="1">
        <v>0</v>
      </c>
      <c r="V176" s="1">
        <v>1</v>
      </c>
      <c r="W176" s="1" t="s">
        <v>480</v>
      </c>
      <c r="X176" s="1" t="s">
        <v>480</v>
      </c>
      <c r="Y176" s="1">
        <v>1</v>
      </c>
      <c r="Z176" s="1">
        <v>1</v>
      </c>
      <c r="AA176" s="1">
        <v>0</v>
      </c>
      <c r="AB176" s="1">
        <v>1</v>
      </c>
      <c r="AC176" s="1" t="s">
        <v>480</v>
      </c>
      <c r="AD176" s="1" t="s">
        <v>480</v>
      </c>
      <c r="AE176" s="1" t="s">
        <v>480</v>
      </c>
      <c r="AF176" s="1" t="s">
        <v>480</v>
      </c>
      <c r="AG176" s="1" t="s">
        <v>480</v>
      </c>
      <c r="AH176" s="1">
        <v>4</v>
      </c>
      <c r="AI176" s="1">
        <v>2</v>
      </c>
      <c r="AJ176" s="1" t="s">
        <v>480</v>
      </c>
      <c r="AK176" s="1" t="s">
        <v>480</v>
      </c>
      <c r="AL176" s="1" t="s">
        <v>480</v>
      </c>
      <c r="AM176" s="1">
        <v>0</v>
      </c>
      <c r="AN176" s="1" t="s">
        <v>480</v>
      </c>
      <c r="AO176" s="1" t="s">
        <v>480</v>
      </c>
      <c r="AP176" s="1" t="s">
        <v>480</v>
      </c>
      <c r="AQ176" s="1" t="s">
        <v>480</v>
      </c>
      <c r="AR176" s="1" t="s">
        <v>480</v>
      </c>
      <c r="AS176" s="1" t="s">
        <v>480</v>
      </c>
      <c r="AT176" s="1">
        <f t="shared" si="23"/>
        <v>10</v>
      </c>
    </row>
    <row r="177" spans="1:46" x14ac:dyDescent="0.25">
      <c r="A177" s="1">
        <f>COUNTIF('Value Matchup'!$D$356:$D$423,'Team History'!B177)</f>
        <v>0</v>
      </c>
      <c r="B177" t="s">
        <v>276</v>
      </c>
      <c r="C177" s="1">
        <f t="shared" si="16"/>
        <v>0</v>
      </c>
      <c r="D177" s="1">
        <f t="shared" si="17"/>
        <v>0</v>
      </c>
      <c r="E177" s="1">
        <f t="shared" si="18"/>
        <v>0</v>
      </c>
      <c r="F177" s="1">
        <f t="shared" si="19"/>
        <v>0</v>
      </c>
      <c r="G177" s="1">
        <f t="shared" si="20"/>
        <v>0</v>
      </c>
      <c r="H177" s="1">
        <f t="shared" si="21"/>
        <v>0</v>
      </c>
      <c r="I177" s="64">
        <f t="shared" si="22"/>
        <v>5</v>
      </c>
      <c r="K177" s="90" t="s">
        <v>480</v>
      </c>
      <c r="L177" s="1" t="s">
        <v>480</v>
      </c>
      <c r="M177" s="1" t="s">
        <v>480</v>
      </c>
      <c r="N177" s="1" t="s">
        <v>480</v>
      </c>
      <c r="O177" s="1" t="s">
        <v>480</v>
      </c>
      <c r="P177" s="1" t="s">
        <v>480</v>
      </c>
      <c r="Q177" s="1" t="s">
        <v>480</v>
      </c>
      <c r="R177" s="1">
        <v>0</v>
      </c>
      <c r="S177" s="1" t="s">
        <v>480</v>
      </c>
      <c r="T177" s="1" t="s">
        <v>480</v>
      </c>
      <c r="U177" s="1" t="s">
        <v>480</v>
      </c>
      <c r="V177" s="1">
        <v>0</v>
      </c>
      <c r="W177" s="1" t="s">
        <v>480</v>
      </c>
      <c r="X177" s="1" t="s">
        <v>480</v>
      </c>
      <c r="Y177" s="1" t="s">
        <v>480</v>
      </c>
      <c r="Z177" s="1" t="s">
        <v>480</v>
      </c>
      <c r="AA177" s="1" t="s">
        <v>480</v>
      </c>
      <c r="AB177" s="1" t="s">
        <v>480</v>
      </c>
      <c r="AC177" s="1" t="s">
        <v>480</v>
      </c>
      <c r="AD177" s="1" t="s">
        <v>480</v>
      </c>
      <c r="AE177" s="1" t="s">
        <v>480</v>
      </c>
      <c r="AF177" s="1" t="s">
        <v>480</v>
      </c>
      <c r="AG177" s="1" t="s">
        <v>480</v>
      </c>
      <c r="AH177" s="1">
        <v>0</v>
      </c>
      <c r="AI177" s="1" t="s">
        <v>480</v>
      </c>
      <c r="AJ177" s="1" t="s">
        <v>480</v>
      </c>
      <c r="AK177" s="1" t="s">
        <v>480</v>
      </c>
      <c r="AL177" s="1">
        <v>0</v>
      </c>
      <c r="AM177" s="1" t="s">
        <v>480</v>
      </c>
      <c r="AN177" s="1" t="s">
        <v>480</v>
      </c>
      <c r="AO177" s="1" t="s">
        <v>480</v>
      </c>
      <c r="AP177" s="1" t="s">
        <v>480</v>
      </c>
      <c r="AQ177" s="1" t="s">
        <v>480</v>
      </c>
      <c r="AR177" s="1">
        <v>0</v>
      </c>
      <c r="AS177" s="1" t="s">
        <v>480</v>
      </c>
      <c r="AT177" s="1">
        <f t="shared" si="23"/>
        <v>5</v>
      </c>
    </row>
    <row r="178" spans="1:46" x14ac:dyDescent="0.25">
      <c r="A178" s="1">
        <f>COUNTIF('Value Matchup'!$D$356:$D$423,'Team History'!B178)</f>
        <v>1</v>
      </c>
      <c r="B178" t="s">
        <v>277</v>
      </c>
      <c r="C178" s="1">
        <f t="shared" si="16"/>
        <v>9</v>
      </c>
      <c r="D178" s="1">
        <f t="shared" si="17"/>
        <v>4</v>
      </c>
      <c r="E178" s="1">
        <f t="shared" si="18"/>
        <v>3</v>
      </c>
      <c r="F178" s="1">
        <f t="shared" si="19"/>
        <v>0</v>
      </c>
      <c r="G178" s="1">
        <f t="shared" si="20"/>
        <v>0</v>
      </c>
      <c r="H178" s="1">
        <f t="shared" si="21"/>
        <v>0</v>
      </c>
      <c r="I178" s="64">
        <f t="shared" si="22"/>
        <v>37</v>
      </c>
      <c r="K178" s="90" t="s">
        <v>480</v>
      </c>
      <c r="L178" s="1">
        <v>0</v>
      </c>
      <c r="M178" s="1" t="s">
        <v>480</v>
      </c>
      <c r="N178" s="1" t="s">
        <v>480</v>
      </c>
      <c r="O178" s="1" t="s">
        <v>480</v>
      </c>
      <c r="P178" s="1" t="s">
        <v>480</v>
      </c>
      <c r="Q178" s="1">
        <v>0</v>
      </c>
      <c r="R178" s="1">
        <v>0</v>
      </c>
      <c r="S178" s="1">
        <v>0</v>
      </c>
      <c r="T178" s="1">
        <v>1</v>
      </c>
      <c r="U178" s="1">
        <v>3</v>
      </c>
      <c r="V178" s="1" t="s">
        <v>480</v>
      </c>
      <c r="W178" s="1" t="s">
        <v>480</v>
      </c>
      <c r="X178" s="1" t="s">
        <v>480</v>
      </c>
      <c r="Y178" s="1" t="s">
        <v>480</v>
      </c>
      <c r="Z178" s="1" t="s">
        <v>480</v>
      </c>
      <c r="AA178" s="1">
        <v>1</v>
      </c>
      <c r="AB178" s="1">
        <v>3</v>
      </c>
      <c r="AC178" s="1">
        <v>1</v>
      </c>
      <c r="AD178" s="1">
        <v>0</v>
      </c>
      <c r="AE178" s="1">
        <v>0</v>
      </c>
      <c r="AF178" s="1" t="s">
        <v>480</v>
      </c>
      <c r="AG178" s="1" t="s">
        <v>480</v>
      </c>
      <c r="AH178" s="1" t="s">
        <v>480</v>
      </c>
      <c r="AI178" s="1">
        <v>1</v>
      </c>
      <c r="AJ178" s="1">
        <v>3</v>
      </c>
      <c r="AK178" s="1">
        <v>0</v>
      </c>
      <c r="AL178" s="1">
        <v>1</v>
      </c>
      <c r="AM178" s="1" t="s">
        <v>480</v>
      </c>
      <c r="AN178" s="1">
        <v>0</v>
      </c>
      <c r="AO178" s="1">
        <v>2</v>
      </c>
      <c r="AP178" s="1">
        <v>0</v>
      </c>
      <c r="AQ178" s="1">
        <v>0</v>
      </c>
      <c r="AR178" s="1">
        <v>0</v>
      </c>
      <c r="AS178" s="1" t="s">
        <v>480</v>
      </c>
      <c r="AT178" s="1">
        <f t="shared" si="23"/>
        <v>20</v>
      </c>
    </row>
    <row r="179" spans="1:46" x14ac:dyDescent="0.25">
      <c r="A179" s="1">
        <f>COUNTIF('Value Matchup'!$D$356:$D$423,'Team History'!B179)</f>
        <v>0</v>
      </c>
      <c r="B179" t="s">
        <v>278</v>
      </c>
      <c r="C179" s="1">
        <f t="shared" si="16"/>
        <v>2</v>
      </c>
      <c r="D179" s="1">
        <f t="shared" si="17"/>
        <v>1</v>
      </c>
      <c r="E179" s="1">
        <f t="shared" si="18"/>
        <v>0</v>
      </c>
      <c r="F179" s="1">
        <f t="shared" si="19"/>
        <v>0</v>
      </c>
      <c r="G179" s="1">
        <f t="shared" si="20"/>
        <v>0</v>
      </c>
      <c r="H179" s="1">
        <f t="shared" si="21"/>
        <v>0</v>
      </c>
      <c r="I179" s="64">
        <f t="shared" si="22"/>
        <v>9</v>
      </c>
      <c r="K179" s="90" t="s">
        <v>480</v>
      </c>
      <c r="L179" s="1" t="s">
        <v>480</v>
      </c>
      <c r="M179" s="1" t="s">
        <v>480</v>
      </c>
      <c r="N179" s="1" t="s">
        <v>480</v>
      </c>
      <c r="O179" s="1" t="s">
        <v>480</v>
      </c>
      <c r="P179" s="1" t="s">
        <v>480</v>
      </c>
      <c r="Q179" s="1" t="s">
        <v>480</v>
      </c>
      <c r="R179" s="1" t="s">
        <v>480</v>
      </c>
      <c r="S179" s="1" t="s">
        <v>480</v>
      </c>
      <c r="T179" s="1" t="s">
        <v>480</v>
      </c>
      <c r="U179" s="1" t="s">
        <v>480</v>
      </c>
      <c r="V179" s="1" t="s">
        <v>480</v>
      </c>
      <c r="W179" s="1" t="s">
        <v>480</v>
      </c>
      <c r="X179" s="1" t="s">
        <v>480</v>
      </c>
      <c r="Y179" s="1" t="s">
        <v>480</v>
      </c>
      <c r="Z179" s="1" t="s">
        <v>480</v>
      </c>
      <c r="AA179" s="1" t="s">
        <v>480</v>
      </c>
      <c r="AB179" s="1" t="s">
        <v>480</v>
      </c>
      <c r="AC179" s="1" t="s">
        <v>480</v>
      </c>
      <c r="AD179" s="1" t="s">
        <v>480</v>
      </c>
      <c r="AE179" s="1">
        <v>2</v>
      </c>
      <c r="AF179" s="1" t="s">
        <v>480</v>
      </c>
      <c r="AG179" s="1" t="s">
        <v>480</v>
      </c>
      <c r="AH179" s="1" t="s">
        <v>480</v>
      </c>
      <c r="AI179" s="1" t="s">
        <v>480</v>
      </c>
      <c r="AJ179" s="1" t="s">
        <v>480</v>
      </c>
      <c r="AK179" s="1" t="s">
        <v>480</v>
      </c>
      <c r="AL179" s="1">
        <v>0</v>
      </c>
      <c r="AM179" s="1" t="s">
        <v>480</v>
      </c>
      <c r="AN179" s="1">
        <v>0</v>
      </c>
      <c r="AO179" s="1">
        <v>0</v>
      </c>
      <c r="AP179" s="1">
        <v>0</v>
      </c>
      <c r="AQ179" s="1">
        <v>1</v>
      </c>
      <c r="AR179" s="1" t="s">
        <v>480</v>
      </c>
      <c r="AS179" s="1" t="s">
        <v>480</v>
      </c>
      <c r="AT179" s="1">
        <f t="shared" si="23"/>
        <v>6</v>
      </c>
    </row>
    <row r="180" spans="1:46" x14ac:dyDescent="0.25">
      <c r="A180" s="1">
        <f>COUNTIF('Value Matchup'!$D$356:$D$423,'Team History'!B180)</f>
        <v>0</v>
      </c>
      <c r="B180" t="s">
        <v>279</v>
      </c>
      <c r="C180" s="1">
        <f t="shared" si="16"/>
        <v>0</v>
      </c>
      <c r="D180" s="1">
        <f t="shared" si="17"/>
        <v>0</v>
      </c>
      <c r="E180" s="1">
        <f t="shared" si="18"/>
        <v>0</v>
      </c>
      <c r="F180" s="1">
        <f t="shared" si="19"/>
        <v>0</v>
      </c>
      <c r="G180" s="1">
        <f t="shared" si="20"/>
        <v>0</v>
      </c>
      <c r="H180" s="1">
        <f t="shared" si="21"/>
        <v>0</v>
      </c>
      <c r="I180" s="64">
        <f t="shared" si="22"/>
        <v>4</v>
      </c>
      <c r="K180" s="90" t="s">
        <v>480</v>
      </c>
      <c r="L180" s="1" t="s">
        <v>480</v>
      </c>
      <c r="M180" s="1" t="s">
        <v>480</v>
      </c>
      <c r="N180" s="1" t="s">
        <v>480</v>
      </c>
      <c r="O180" s="1" t="s">
        <v>480</v>
      </c>
      <c r="P180" s="1" t="s">
        <v>480</v>
      </c>
      <c r="Q180" s="1" t="s">
        <v>480</v>
      </c>
      <c r="R180" s="1" t="s">
        <v>480</v>
      </c>
      <c r="S180" s="1" t="s">
        <v>480</v>
      </c>
      <c r="T180" s="1" t="s">
        <v>480</v>
      </c>
      <c r="U180" s="1" t="s">
        <v>480</v>
      </c>
      <c r="V180" s="1" t="s">
        <v>480</v>
      </c>
      <c r="W180" s="1" t="s">
        <v>480</v>
      </c>
      <c r="X180" s="1">
        <v>0</v>
      </c>
      <c r="Y180" s="1" t="s">
        <v>480</v>
      </c>
      <c r="Z180" s="1">
        <v>0</v>
      </c>
      <c r="AA180" s="1" t="s">
        <v>480</v>
      </c>
      <c r="AB180" s="1" t="s">
        <v>480</v>
      </c>
      <c r="AC180" s="1">
        <v>0</v>
      </c>
      <c r="AD180" s="1" t="s">
        <v>480</v>
      </c>
      <c r="AE180" s="1" t="s">
        <v>480</v>
      </c>
      <c r="AF180" s="1" t="s">
        <v>480</v>
      </c>
      <c r="AG180" s="1" t="s">
        <v>480</v>
      </c>
      <c r="AH180" s="1">
        <v>0</v>
      </c>
      <c r="AI180" s="1" t="s">
        <v>480</v>
      </c>
      <c r="AJ180" s="1" t="s">
        <v>480</v>
      </c>
      <c r="AK180" s="1" t="s">
        <v>480</v>
      </c>
      <c r="AL180" s="1" t="s">
        <v>480</v>
      </c>
      <c r="AM180" s="1" t="s">
        <v>480</v>
      </c>
      <c r="AN180" s="1" t="s">
        <v>480</v>
      </c>
      <c r="AO180" s="1" t="s">
        <v>480</v>
      </c>
      <c r="AP180" s="1" t="s">
        <v>480</v>
      </c>
      <c r="AQ180" s="1" t="s">
        <v>480</v>
      </c>
      <c r="AR180" s="1" t="s">
        <v>480</v>
      </c>
      <c r="AS180" s="1" t="s">
        <v>480</v>
      </c>
      <c r="AT180" s="1">
        <f t="shared" si="23"/>
        <v>4</v>
      </c>
    </row>
    <row r="181" spans="1:46" x14ac:dyDescent="0.25">
      <c r="A181" s="1">
        <f>COUNTIF('Value Matchup'!$D$356:$D$423,'Team History'!B181)</f>
        <v>0</v>
      </c>
      <c r="B181" t="s">
        <v>280</v>
      </c>
      <c r="C181" s="1">
        <f t="shared" si="16"/>
        <v>1</v>
      </c>
      <c r="D181" s="1">
        <f t="shared" si="17"/>
        <v>0</v>
      </c>
      <c r="E181" s="1">
        <f t="shared" si="18"/>
        <v>0</v>
      </c>
      <c r="F181" s="1">
        <f t="shared" si="19"/>
        <v>0</v>
      </c>
      <c r="G181" s="1">
        <f t="shared" si="20"/>
        <v>0</v>
      </c>
      <c r="H181" s="1">
        <f t="shared" si="21"/>
        <v>0</v>
      </c>
      <c r="I181" s="64">
        <f t="shared" si="22"/>
        <v>12</v>
      </c>
      <c r="K181" s="90">
        <v>0</v>
      </c>
      <c r="L181" s="1">
        <v>0</v>
      </c>
      <c r="M181" s="1" t="s">
        <v>480</v>
      </c>
      <c r="N181" s="1" t="s">
        <v>480</v>
      </c>
      <c r="O181" s="1" t="s">
        <v>480</v>
      </c>
      <c r="P181" s="1" t="s">
        <v>480</v>
      </c>
      <c r="Q181" s="1">
        <v>0</v>
      </c>
      <c r="R181" s="1">
        <v>0</v>
      </c>
      <c r="S181" s="1" t="s">
        <v>480</v>
      </c>
      <c r="T181" s="1">
        <v>0</v>
      </c>
      <c r="U181" s="1" t="s">
        <v>480</v>
      </c>
      <c r="V181" s="1" t="s">
        <v>480</v>
      </c>
      <c r="W181" s="1" t="s">
        <v>480</v>
      </c>
      <c r="X181" s="1">
        <v>1</v>
      </c>
      <c r="Y181" s="1">
        <v>0</v>
      </c>
      <c r="Z181" s="1" t="s">
        <v>480</v>
      </c>
      <c r="AA181" s="1" t="s">
        <v>480</v>
      </c>
      <c r="AB181" s="1">
        <v>0</v>
      </c>
      <c r="AC181" s="1" t="s">
        <v>480</v>
      </c>
      <c r="AD181" s="1" t="s">
        <v>480</v>
      </c>
      <c r="AE181" s="1" t="s">
        <v>480</v>
      </c>
      <c r="AF181" s="1" t="s">
        <v>480</v>
      </c>
      <c r="AG181" s="1">
        <v>0</v>
      </c>
      <c r="AH181" s="1" t="s">
        <v>480</v>
      </c>
      <c r="AI181" s="1" t="s">
        <v>480</v>
      </c>
      <c r="AJ181" s="1" t="s">
        <v>480</v>
      </c>
      <c r="AK181" s="1" t="s">
        <v>480</v>
      </c>
      <c r="AL181" s="1">
        <v>0</v>
      </c>
      <c r="AM181" s="1">
        <v>0</v>
      </c>
      <c r="AN181" s="1" t="s">
        <v>480</v>
      </c>
      <c r="AO181" s="1" t="s">
        <v>480</v>
      </c>
      <c r="AP181" s="1" t="s">
        <v>480</v>
      </c>
      <c r="AQ181" s="1" t="s">
        <v>480</v>
      </c>
      <c r="AR181" s="1" t="s">
        <v>480</v>
      </c>
      <c r="AS181" s="1" t="s">
        <v>480</v>
      </c>
      <c r="AT181" s="1">
        <f t="shared" si="23"/>
        <v>11</v>
      </c>
    </row>
    <row r="182" spans="1:46" x14ac:dyDescent="0.25">
      <c r="A182" s="1">
        <f>COUNTIF('Value Matchup'!$D$356:$D$423,'Team History'!B182)</f>
        <v>0</v>
      </c>
      <c r="B182" t="s">
        <v>281</v>
      </c>
      <c r="C182" s="1">
        <f t="shared" si="16"/>
        <v>0</v>
      </c>
      <c r="D182" s="1">
        <f t="shared" si="17"/>
        <v>0</v>
      </c>
      <c r="E182" s="1">
        <f t="shared" si="18"/>
        <v>0</v>
      </c>
      <c r="F182" s="1">
        <f t="shared" si="19"/>
        <v>0</v>
      </c>
      <c r="G182" s="1">
        <f t="shared" si="20"/>
        <v>0</v>
      </c>
      <c r="H182" s="1">
        <f t="shared" si="21"/>
        <v>0</v>
      </c>
      <c r="I182" s="64">
        <f t="shared" si="22"/>
        <v>2</v>
      </c>
      <c r="K182" s="90" t="s">
        <v>480</v>
      </c>
      <c r="L182" s="1" t="s">
        <v>480</v>
      </c>
      <c r="M182" s="1" t="s">
        <v>480</v>
      </c>
      <c r="N182" s="1" t="s">
        <v>480</v>
      </c>
      <c r="O182" s="1" t="s">
        <v>480</v>
      </c>
      <c r="P182" s="1" t="s">
        <v>480</v>
      </c>
      <c r="Q182" s="1" t="s">
        <v>480</v>
      </c>
      <c r="R182" s="1" t="s">
        <v>480</v>
      </c>
      <c r="S182" s="1" t="s">
        <v>480</v>
      </c>
      <c r="T182" s="1" t="s">
        <v>480</v>
      </c>
      <c r="U182" s="1" t="s">
        <v>480</v>
      </c>
      <c r="V182" s="1" t="s">
        <v>480</v>
      </c>
      <c r="W182" s="1" t="s">
        <v>480</v>
      </c>
      <c r="X182" s="1" t="s">
        <v>480</v>
      </c>
      <c r="Y182" s="1" t="s">
        <v>480</v>
      </c>
      <c r="Z182" s="1" t="s">
        <v>480</v>
      </c>
      <c r="AA182" s="1" t="s">
        <v>480</v>
      </c>
      <c r="AB182" s="1" t="s">
        <v>480</v>
      </c>
      <c r="AC182" s="1" t="s">
        <v>480</v>
      </c>
      <c r="AD182" s="1" t="s">
        <v>480</v>
      </c>
      <c r="AE182" s="1" t="s">
        <v>480</v>
      </c>
      <c r="AF182" s="1" t="s">
        <v>480</v>
      </c>
      <c r="AG182" s="1" t="s">
        <v>480</v>
      </c>
      <c r="AH182" s="1">
        <v>0</v>
      </c>
      <c r="AI182" s="1" t="s">
        <v>480</v>
      </c>
      <c r="AJ182" s="1" t="s">
        <v>480</v>
      </c>
      <c r="AK182" s="1" t="s">
        <v>480</v>
      </c>
      <c r="AL182" s="1" t="s">
        <v>480</v>
      </c>
      <c r="AM182" s="1" t="s">
        <v>480</v>
      </c>
      <c r="AN182" s="1" t="s">
        <v>480</v>
      </c>
      <c r="AO182" s="1" t="s">
        <v>480</v>
      </c>
      <c r="AP182" s="1" t="s">
        <v>480</v>
      </c>
      <c r="AQ182" s="1" t="s">
        <v>480</v>
      </c>
      <c r="AR182" s="1">
        <v>0</v>
      </c>
      <c r="AS182" s="1" t="s">
        <v>480</v>
      </c>
      <c r="AT182" s="1">
        <f t="shared" si="23"/>
        <v>2</v>
      </c>
    </row>
    <row r="183" spans="1:46" x14ac:dyDescent="0.25">
      <c r="A183" s="1">
        <f>COUNTIF('Value Matchup'!$D$356:$D$423,'Team History'!B183)</f>
        <v>1</v>
      </c>
      <c r="B183" t="s">
        <v>282</v>
      </c>
      <c r="C183" s="1">
        <f t="shared" si="16"/>
        <v>1</v>
      </c>
      <c r="D183" s="1">
        <f t="shared" si="17"/>
        <v>0</v>
      </c>
      <c r="E183" s="1">
        <f t="shared" si="18"/>
        <v>0</v>
      </c>
      <c r="F183" s="1">
        <f t="shared" si="19"/>
        <v>0</v>
      </c>
      <c r="G183" s="1">
        <f t="shared" si="20"/>
        <v>0</v>
      </c>
      <c r="H183" s="1">
        <f t="shared" si="21"/>
        <v>0</v>
      </c>
      <c r="I183" s="64">
        <f t="shared" si="22"/>
        <v>4</v>
      </c>
      <c r="K183" s="90" t="s">
        <v>480</v>
      </c>
      <c r="L183" s="1" t="s">
        <v>480</v>
      </c>
      <c r="M183" s="1" t="s">
        <v>480</v>
      </c>
      <c r="N183" s="1" t="s">
        <v>480</v>
      </c>
      <c r="O183" s="1" t="s">
        <v>480</v>
      </c>
      <c r="P183" s="1" t="s">
        <v>480</v>
      </c>
      <c r="Q183" s="1" t="s">
        <v>480</v>
      </c>
      <c r="R183" s="1" t="s">
        <v>480</v>
      </c>
      <c r="S183" s="1">
        <v>1</v>
      </c>
      <c r="T183" s="1" t="s">
        <v>480</v>
      </c>
      <c r="U183" s="1">
        <v>0</v>
      </c>
      <c r="V183" s="1" t="s">
        <v>480</v>
      </c>
      <c r="W183" s="1" t="s">
        <v>480</v>
      </c>
      <c r="X183" s="1" t="s">
        <v>480</v>
      </c>
      <c r="Y183" s="1" t="s">
        <v>480</v>
      </c>
      <c r="Z183" s="1" t="s">
        <v>480</v>
      </c>
      <c r="AA183" s="1" t="s">
        <v>480</v>
      </c>
      <c r="AB183" s="1" t="s">
        <v>480</v>
      </c>
      <c r="AC183" s="1" t="s">
        <v>480</v>
      </c>
      <c r="AD183" s="1" t="s">
        <v>480</v>
      </c>
      <c r="AE183" s="1" t="s">
        <v>480</v>
      </c>
      <c r="AF183" s="1" t="s">
        <v>480</v>
      </c>
      <c r="AG183" s="1" t="s">
        <v>480</v>
      </c>
      <c r="AH183" s="1" t="s">
        <v>480</v>
      </c>
      <c r="AI183" s="1" t="s">
        <v>480</v>
      </c>
      <c r="AJ183" s="1" t="s">
        <v>480</v>
      </c>
      <c r="AK183" s="1" t="s">
        <v>480</v>
      </c>
      <c r="AL183" s="1" t="s">
        <v>480</v>
      </c>
      <c r="AM183" s="1" t="s">
        <v>480</v>
      </c>
      <c r="AN183" s="1" t="s">
        <v>480</v>
      </c>
      <c r="AO183" s="1" t="s">
        <v>480</v>
      </c>
      <c r="AP183" s="1" t="s">
        <v>480</v>
      </c>
      <c r="AQ183" s="1" t="s">
        <v>480</v>
      </c>
      <c r="AR183" s="1" t="s">
        <v>480</v>
      </c>
      <c r="AS183" s="1" t="s">
        <v>480</v>
      </c>
      <c r="AT183" s="1">
        <f t="shared" si="23"/>
        <v>2</v>
      </c>
    </row>
    <row r="184" spans="1:46" x14ac:dyDescent="0.25">
      <c r="A184" s="1">
        <f>COUNTIF('Value Matchup'!$D$356:$D$423,'Team History'!B184)</f>
        <v>0</v>
      </c>
      <c r="B184" t="s">
        <v>283</v>
      </c>
      <c r="C184" s="1">
        <f t="shared" si="16"/>
        <v>0</v>
      </c>
      <c r="D184" s="1">
        <f t="shared" si="17"/>
        <v>0</v>
      </c>
      <c r="E184" s="1">
        <f t="shared" si="18"/>
        <v>0</v>
      </c>
      <c r="F184" s="1">
        <f t="shared" si="19"/>
        <v>0</v>
      </c>
      <c r="G184" s="1">
        <f t="shared" si="20"/>
        <v>0</v>
      </c>
      <c r="H184" s="1">
        <f t="shared" si="21"/>
        <v>0</v>
      </c>
      <c r="I184" s="64">
        <f t="shared" si="22"/>
        <v>2</v>
      </c>
      <c r="K184" s="90" t="s">
        <v>480</v>
      </c>
      <c r="L184" s="1" t="s">
        <v>480</v>
      </c>
      <c r="M184" s="1" t="s">
        <v>480</v>
      </c>
      <c r="N184" s="1" t="s">
        <v>480</v>
      </c>
      <c r="O184" s="1" t="s">
        <v>480</v>
      </c>
      <c r="P184" s="1" t="s">
        <v>480</v>
      </c>
      <c r="Q184" s="1" t="s">
        <v>480</v>
      </c>
      <c r="R184" s="1" t="s">
        <v>480</v>
      </c>
      <c r="S184" s="1" t="s">
        <v>480</v>
      </c>
      <c r="T184" s="1">
        <v>0</v>
      </c>
      <c r="U184" s="1">
        <v>0</v>
      </c>
      <c r="V184" s="1" t="s">
        <v>480</v>
      </c>
      <c r="W184" s="1" t="s">
        <v>480</v>
      </c>
      <c r="X184" s="1" t="s">
        <v>480</v>
      </c>
      <c r="Y184" s="1" t="s">
        <v>480</v>
      </c>
      <c r="Z184" s="1" t="s">
        <v>480</v>
      </c>
      <c r="AA184" s="1" t="s">
        <v>480</v>
      </c>
      <c r="AB184" s="1" t="s">
        <v>480</v>
      </c>
      <c r="AC184" s="1" t="s">
        <v>480</v>
      </c>
      <c r="AD184" s="1" t="s">
        <v>480</v>
      </c>
      <c r="AE184" s="1" t="s">
        <v>480</v>
      </c>
      <c r="AF184" s="1" t="s">
        <v>480</v>
      </c>
      <c r="AG184" s="1" t="s">
        <v>480</v>
      </c>
      <c r="AH184" s="1" t="s">
        <v>480</v>
      </c>
      <c r="AI184" s="1" t="s">
        <v>480</v>
      </c>
      <c r="AJ184" s="1" t="s">
        <v>480</v>
      </c>
      <c r="AK184" s="1" t="s">
        <v>480</v>
      </c>
      <c r="AL184" s="1" t="s">
        <v>480</v>
      </c>
      <c r="AM184" s="1" t="s">
        <v>480</v>
      </c>
      <c r="AN184" s="1" t="s">
        <v>480</v>
      </c>
      <c r="AO184" s="1" t="s">
        <v>480</v>
      </c>
      <c r="AP184" s="1" t="s">
        <v>480</v>
      </c>
      <c r="AQ184" s="1" t="s">
        <v>480</v>
      </c>
      <c r="AR184" s="1" t="s">
        <v>480</v>
      </c>
      <c r="AS184" s="1" t="s">
        <v>480</v>
      </c>
      <c r="AT184" s="1">
        <f t="shared" si="23"/>
        <v>2</v>
      </c>
    </row>
    <row r="185" spans="1:46" x14ac:dyDescent="0.25">
      <c r="A185" s="1">
        <f>COUNTIF('Value Matchup'!$D$356:$D$423,'Team History'!B185)</f>
        <v>1</v>
      </c>
      <c r="B185" t="s">
        <v>284</v>
      </c>
      <c r="C185" s="1">
        <f t="shared" si="16"/>
        <v>0</v>
      </c>
      <c r="D185" s="1">
        <f t="shared" si="17"/>
        <v>0</v>
      </c>
      <c r="E185" s="1">
        <f t="shared" si="18"/>
        <v>0</v>
      </c>
      <c r="F185" s="1">
        <f t="shared" si="19"/>
        <v>0</v>
      </c>
      <c r="G185" s="1">
        <f t="shared" si="20"/>
        <v>0</v>
      </c>
      <c r="H185" s="1">
        <f t="shared" si="21"/>
        <v>0</v>
      </c>
      <c r="I185" s="64">
        <f t="shared" si="22"/>
        <v>5</v>
      </c>
      <c r="K185" s="90" t="s">
        <v>480</v>
      </c>
      <c r="L185" s="1" t="s">
        <v>480</v>
      </c>
      <c r="M185" s="1">
        <v>0</v>
      </c>
      <c r="N185" s="1" t="s">
        <v>480</v>
      </c>
      <c r="O185" s="1" t="s">
        <v>480</v>
      </c>
      <c r="P185" s="1">
        <v>0</v>
      </c>
      <c r="Q185" s="1" t="s">
        <v>480</v>
      </c>
      <c r="R185" s="1" t="s">
        <v>480</v>
      </c>
      <c r="S185" s="1" t="s">
        <v>480</v>
      </c>
      <c r="T185" s="1" t="s">
        <v>480</v>
      </c>
      <c r="U185" s="1" t="s">
        <v>480</v>
      </c>
      <c r="V185" s="1">
        <v>0</v>
      </c>
      <c r="W185" s="1" t="s">
        <v>480</v>
      </c>
      <c r="X185" s="1" t="s">
        <v>480</v>
      </c>
      <c r="Y185" s="1" t="s">
        <v>480</v>
      </c>
      <c r="Z185" s="1" t="s">
        <v>480</v>
      </c>
      <c r="AA185" s="1" t="s">
        <v>480</v>
      </c>
      <c r="AB185" s="1" t="s">
        <v>480</v>
      </c>
      <c r="AC185" s="1" t="s">
        <v>480</v>
      </c>
      <c r="AD185" s="1" t="s">
        <v>480</v>
      </c>
      <c r="AE185" s="1">
        <v>0</v>
      </c>
      <c r="AF185" s="1" t="s">
        <v>480</v>
      </c>
      <c r="AG185" s="1" t="s">
        <v>480</v>
      </c>
      <c r="AH185" s="1" t="s">
        <v>480</v>
      </c>
      <c r="AI185" s="1">
        <v>0</v>
      </c>
      <c r="AJ185" s="1" t="s">
        <v>480</v>
      </c>
      <c r="AK185" s="1" t="s">
        <v>480</v>
      </c>
      <c r="AL185" s="1" t="s">
        <v>480</v>
      </c>
      <c r="AM185" s="1" t="s">
        <v>480</v>
      </c>
      <c r="AN185" s="1" t="s">
        <v>480</v>
      </c>
      <c r="AO185" s="1" t="s">
        <v>480</v>
      </c>
      <c r="AP185" s="1" t="s">
        <v>480</v>
      </c>
      <c r="AQ185" s="1" t="s">
        <v>480</v>
      </c>
      <c r="AR185" s="1" t="s">
        <v>480</v>
      </c>
      <c r="AS185" s="1" t="s">
        <v>480</v>
      </c>
      <c r="AT185" s="1">
        <f t="shared" si="23"/>
        <v>5</v>
      </c>
    </row>
    <row r="186" spans="1:46" x14ac:dyDescent="0.25">
      <c r="A186" s="1">
        <f>COUNTIF('Value Matchup'!$D$356:$D$423,'Team History'!B186)</f>
        <v>0</v>
      </c>
      <c r="B186" t="s">
        <v>285</v>
      </c>
      <c r="C186" s="1">
        <f t="shared" si="16"/>
        <v>4</v>
      </c>
      <c r="D186" s="1">
        <f t="shared" si="17"/>
        <v>0</v>
      </c>
      <c r="E186" s="1">
        <f t="shared" si="18"/>
        <v>0</v>
      </c>
      <c r="F186" s="1">
        <f t="shared" si="19"/>
        <v>0</v>
      </c>
      <c r="G186" s="1">
        <f t="shared" si="20"/>
        <v>0</v>
      </c>
      <c r="H186" s="1">
        <f t="shared" si="21"/>
        <v>0</v>
      </c>
      <c r="I186" s="64">
        <f t="shared" si="22"/>
        <v>22</v>
      </c>
      <c r="K186" s="90">
        <v>1</v>
      </c>
      <c r="L186" s="1">
        <v>0</v>
      </c>
      <c r="M186" s="1" t="s">
        <v>480</v>
      </c>
      <c r="N186" s="1" t="s">
        <v>480</v>
      </c>
      <c r="O186" s="1" t="s">
        <v>480</v>
      </c>
      <c r="P186" s="1" t="s">
        <v>480</v>
      </c>
      <c r="Q186" s="1" t="s">
        <v>480</v>
      </c>
      <c r="R186" s="1">
        <v>1</v>
      </c>
      <c r="S186" s="1" t="s">
        <v>480</v>
      </c>
      <c r="T186" s="1">
        <v>1</v>
      </c>
      <c r="U186" s="1" t="s">
        <v>480</v>
      </c>
      <c r="V186" s="1" t="s">
        <v>480</v>
      </c>
      <c r="W186" s="1" t="s">
        <v>480</v>
      </c>
      <c r="X186" s="1">
        <v>0</v>
      </c>
      <c r="Y186" s="1" t="s">
        <v>480</v>
      </c>
      <c r="Z186" s="1">
        <v>0</v>
      </c>
      <c r="AA186" s="1" t="s">
        <v>480</v>
      </c>
      <c r="AB186" s="1">
        <v>0</v>
      </c>
      <c r="AC186" s="1" t="s">
        <v>480</v>
      </c>
      <c r="AD186" s="1" t="s">
        <v>480</v>
      </c>
      <c r="AE186" s="1">
        <v>0</v>
      </c>
      <c r="AF186" s="1">
        <v>0</v>
      </c>
      <c r="AG186" s="1">
        <v>0</v>
      </c>
      <c r="AH186" s="1" t="s">
        <v>480</v>
      </c>
      <c r="AI186" s="1">
        <v>0</v>
      </c>
      <c r="AJ186" s="1" t="s">
        <v>480</v>
      </c>
      <c r="AK186" s="1" t="s">
        <v>480</v>
      </c>
      <c r="AL186" s="1">
        <v>0</v>
      </c>
      <c r="AM186" s="1">
        <v>0</v>
      </c>
      <c r="AN186" s="1">
        <v>0</v>
      </c>
      <c r="AO186" s="1" t="s">
        <v>480</v>
      </c>
      <c r="AP186" s="1">
        <v>1</v>
      </c>
      <c r="AQ186" s="1" t="s">
        <v>480</v>
      </c>
      <c r="AR186" s="1" t="s">
        <v>480</v>
      </c>
      <c r="AS186" s="1" t="s">
        <v>480</v>
      </c>
      <c r="AT186" s="1">
        <f t="shared" si="23"/>
        <v>15</v>
      </c>
    </row>
    <row r="187" spans="1:46" x14ac:dyDescent="0.25">
      <c r="A187" s="1">
        <f>COUNTIF('Value Matchup'!$D$356:$D$423,'Team History'!B187)</f>
        <v>0</v>
      </c>
      <c r="B187" t="s">
        <v>286</v>
      </c>
      <c r="C187" s="1">
        <f t="shared" si="16"/>
        <v>2</v>
      </c>
      <c r="D187" s="1">
        <f t="shared" si="17"/>
        <v>1</v>
      </c>
      <c r="E187" s="1">
        <f t="shared" si="18"/>
        <v>1</v>
      </c>
      <c r="F187" s="1">
        <f t="shared" si="19"/>
        <v>0</v>
      </c>
      <c r="G187" s="1">
        <f t="shared" si="20"/>
        <v>0</v>
      </c>
      <c r="H187" s="1">
        <f t="shared" si="21"/>
        <v>0</v>
      </c>
      <c r="I187" s="64">
        <f t="shared" si="22"/>
        <v>10</v>
      </c>
      <c r="K187" s="90" t="s">
        <v>480</v>
      </c>
      <c r="L187" s="1" t="s">
        <v>480</v>
      </c>
      <c r="M187" s="1" t="s">
        <v>480</v>
      </c>
      <c r="N187" s="1" t="s">
        <v>480</v>
      </c>
      <c r="O187" s="1" t="s">
        <v>480</v>
      </c>
      <c r="P187" s="1" t="s">
        <v>480</v>
      </c>
      <c r="Q187" s="1" t="s">
        <v>480</v>
      </c>
      <c r="R187" s="1" t="s">
        <v>480</v>
      </c>
      <c r="S187" s="1" t="s">
        <v>480</v>
      </c>
      <c r="T187" s="1" t="s">
        <v>480</v>
      </c>
      <c r="U187" s="1" t="s">
        <v>480</v>
      </c>
      <c r="V187" s="1" t="s">
        <v>480</v>
      </c>
      <c r="W187" s="1" t="s">
        <v>480</v>
      </c>
      <c r="X187" s="1" t="s">
        <v>480</v>
      </c>
      <c r="Y187" s="1" t="s">
        <v>480</v>
      </c>
      <c r="Z187" s="1" t="s">
        <v>480</v>
      </c>
      <c r="AA187" s="1" t="s">
        <v>480</v>
      </c>
      <c r="AB187" s="1" t="s">
        <v>480</v>
      </c>
      <c r="AC187" s="1" t="s">
        <v>480</v>
      </c>
      <c r="AD187" s="1" t="s">
        <v>480</v>
      </c>
      <c r="AE187" s="1" t="s">
        <v>480</v>
      </c>
      <c r="AF187" s="1">
        <v>0</v>
      </c>
      <c r="AG187" s="1">
        <v>0</v>
      </c>
      <c r="AH187" s="1" t="s">
        <v>480</v>
      </c>
      <c r="AI187" s="1" t="s">
        <v>480</v>
      </c>
      <c r="AJ187" s="1">
        <v>0</v>
      </c>
      <c r="AK187" s="1" t="s">
        <v>480</v>
      </c>
      <c r="AL187" s="1" t="s">
        <v>480</v>
      </c>
      <c r="AM187" s="1" t="s">
        <v>480</v>
      </c>
      <c r="AN187" s="1" t="s">
        <v>480</v>
      </c>
      <c r="AO187" s="1" t="s">
        <v>480</v>
      </c>
      <c r="AP187" s="1" t="s">
        <v>480</v>
      </c>
      <c r="AQ187" s="1">
        <v>0</v>
      </c>
      <c r="AR187" s="1">
        <v>3</v>
      </c>
      <c r="AS187" s="1">
        <v>1</v>
      </c>
      <c r="AT187" s="1">
        <f t="shared" si="23"/>
        <v>6</v>
      </c>
    </row>
    <row r="188" spans="1:46" x14ac:dyDescent="0.25">
      <c r="A188" s="1">
        <f>COUNTIF('Value Matchup'!$D$356:$D$423,'Team History'!B188)</f>
        <v>0</v>
      </c>
      <c r="B188" t="s">
        <v>287</v>
      </c>
      <c r="C188" s="1">
        <f t="shared" si="16"/>
        <v>0</v>
      </c>
      <c r="D188" s="1">
        <f t="shared" si="17"/>
        <v>0</v>
      </c>
      <c r="E188" s="1">
        <f t="shared" si="18"/>
        <v>0</v>
      </c>
      <c r="F188" s="1">
        <f t="shared" si="19"/>
        <v>0</v>
      </c>
      <c r="G188" s="1">
        <f t="shared" si="20"/>
        <v>0</v>
      </c>
      <c r="H188" s="1">
        <f t="shared" si="21"/>
        <v>0</v>
      </c>
      <c r="I188" s="64">
        <f t="shared" si="22"/>
        <v>7</v>
      </c>
      <c r="K188" s="90" t="s">
        <v>480</v>
      </c>
      <c r="L188" s="1" t="s">
        <v>480</v>
      </c>
      <c r="M188" s="1" t="s">
        <v>480</v>
      </c>
      <c r="N188" s="1" t="s">
        <v>480</v>
      </c>
      <c r="O188" s="1" t="s">
        <v>480</v>
      </c>
      <c r="P188" s="1">
        <v>0</v>
      </c>
      <c r="Q188" s="1" t="s">
        <v>480</v>
      </c>
      <c r="R188" s="1" t="s">
        <v>480</v>
      </c>
      <c r="S188" s="1" t="s">
        <v>480</v>
      </c>
      <c r="T188" s="1" t="s">
        <v>480</v>
      </c>
      <c r="U188" s="1" t="s">
        <v>480</v>
      </c>
      <c r="V188" s="1" t="s">
        <v>480</v>
      </c>
      <c r="W188" s="1" t="s">
        <v>480</v>
      </c>
      <c r="X188" s="1" t="s">
        <v>480</v>
      </c>
      <c r="Y188" s="1" t="s">
        <v>480</v>
      </c>
      <c r="Z188" s="1" t="s">
        <v>480</v>
      </c>
      <c r="AA188" s="1" t="s">
        <v>480</v>
      </c>
      <c r="AB188" s="1" t="s">
        <v>480</v>
      </c>
      <c r="AC188" s="1" t="s">
        <v>480</v>
      </c>
      <c r="AD188" s="1" t="s">
        <v>480</v>
      </c>
      <c r="AE188" s="1" t="s">
        <v>480</v>
      </c>
      <c r="AF188" s="1">
        <v>0</v>
      </c>
      <c r="AG188" s="1" t="s">
        <v>480</v>
      </c>
      <c r="AH188" s="1" t="s">
        <v>480</v>
      </c>
      <c r="AI188" s="1" t="s">
        <v>480</v>
      </c>
      <c r="AJ188" s="1">
        <v>0</v>
      </c>
      <c r="AK188" s="1">
        <v>0</v>
      </c>
      <c r="AL188" s="1">
        <v>0</v>
      </c>
      <c r="AM188" s="1">
        <v>0</v>
      </c>
      <c r="AN188" s="1" t="s">
        <v>480</v>
      </c>
      <c r="AO188" s="1" t="s">
        <v>480</v>
      </c>
      <c r="AP188" s="1" t="s">
        <v>480</v>
      </c>
      <c r="AQ188" s="1" t="s">
        <v>480</v>
      </c>
      <c r="AR188" s="1">
        <v>0</v>
      </c>
      <c r="AS188" s="1" t="s">
        <v>480</v>
      </c>
      <c r="AT188" s="1">
        <f t="shared" si="23"/>
        <v>7</v>
      </c>
    </row>
    <row r="189" spans="1:46" x14ac:dyDescent="0.25">
      <c r="A189" s="1">
        <f>COUNTIF('Value Matchup'!$D$356:$D$423,'Team History'!B189)</f>
        <v>0</v>
      </c>
      <c r="B189" t="s">
        <v>288</v>
      </c>
      <c r="C189" s="1">
        <f t="shared" si="16"/>
        <v>0</v>
      </c>
      <c r="D189" s="1">
        <f t="shared" si="17"/>
        <v>0</v>
      </c>
      <c r="E189" s="1">
        <f t="shared" si="18"/>
        <v>0</v>
      </c>
      <c r="F189" s="1">
        <f t="shared" si="19"/>
        <v>0</v>
      </c>
      <c r="G189" s="1">
        <f t="shared" si="20"/>
        <v>0</v>
      </c>
      <c r="H189" s="1">
        <f t="shared" si="21"/>
        <v>0</v>
      </c>
      <c r="I189" s="64">
        <f t="shared" si="22"/>
        <v>0</v>
      </c>
      <c r="K189" s="90" t="s">
        <v>480</v>
      </c>
      <c r="L189" s="1" t="s">
        <v>480</v>
      </c>
      <c r="M189" s="1" t="s">
        <v>480</v>
      </c>
      <c r="N189" s="1" t="s">
        <v>480</v>
      </c>
      <c r="O189" s="1" t="s">
        <v>480</v>
      </c>
      <c r="P189" s="1" t="s">
        <v>480</v>
      </c>
      <c r="Q189" s="1" t="s">
        <v>480</v>
      </c>
      <c r="R189" s="1" t="s">
        <v>480</v>
      </c>
      <c r="S189" s="1" t="s">
        <v>480</v>
      </c>
      <c r="T189" s="1" t="s">
        <v>480</v>
      </c>
      <c r="U189" s="1" t="s">
        <v>480</v>
      </c>
      <c r="V189" s="1" t="s">
        <v>480</v>
      </c>
      <c r="W189" s="1" t="s">
        <v>480</v>
      </c>
      <c r="X189" s="1" t="s">
        <v>480</v>
      </c>
      <c r="Y189" s="1" t="s">
        <v>480</v>
      </c>
      <c r="Z189" s="1" t="s">
        <v>480</v>
      </c>
      <c r="AA189" s="1" t="s">
        <v>480</v>
      </c>
      <c r="AB189" s="1" t="s">
        <v>480</v>
      </c>
      <c r="AC189" s="1" t="s">
        <v>480</v>
      </c>
      <c r="AD189" s="1" t="s">
        <v>480</v>
      </c>
      <c r="AE189" s="1" t="s">
        <v>480</v>
      </c>
      <c r="AF189" s="1" t="s">
        <v>480</v>
      </c>
      <c r="AG189" s="1" t="s">
        <v>480</v>
      </c>
      <c r="AH189" s="1" t="s">
        <v>480</v>
      </c>
      <c r="AI189" s="1" t="s">
        <v>480</v>
      </c>
      <c r="AJ189" s="1" t="s">
        <v>480</v>
      </c>
      <c r="AK189" s="1" t="s">
        <v>480</v>
      </c>
      <c r="AL189" s="1" t="s">
        <v>480</v>
      </c>
      <c r="AM189" s="1" t="s">
        <v>480</v>
      </c>
      <c r="AN189" s="1" t="s">
        <v>480</v>
      </c>
      <c r="AO189" s="1" t="s">
        <v>480</v>
      </c>
      <c r="AP189" s="1" t="s">
        <v>480</v>
      </c>
      <c r="AQ189" s="1" t="s">
        <v>480</v>
      </c>
      <c r="AR189" s="1" t="s">
        <v>480</v>
      </c>
      <c r="AS189" s="1" t="s">
        <v>480</v>
      </c>
      <c r="AT189" s="1">
        <f t="shared" si="23"/>
        <v>0</v>
      </c>
    </row>
    <row r="190" spans="1:46" x14ac:dyDescent="0.25">
      <c r="A190" s="1">
        <f>COUNTIF('Value Matchup'!$D$356:$D$423,'Team History'!B190)</f>
        <v>0</v>
      </c>
      <c r="B190" t="s">
        <v>289</v>
      </c>
      <c r="C190" s="1">
        <f t="shared" si="16"/>
        <v>4</v>
      </c>
      <c r="D190" s="1">
        <f t="shared" si="17"/>
        <v>2</v>
      </c>
      <c r="E190" s="1">
        <f t="shared" si="18"/>
        <v>0</v>
      </c>
      <c r="F190" s="1">
        <f t="shared" si="19"/>
        <v>0</v>
      </c>
      <c r="G190" s="1">
        <f t="shared" si="20"/>
        <v>0</v>
      </c>
      <c r="H190" s="1">
        <f t="shared" si="21"/>
        <v>0</v>
      </c>
      <c r="I190" s="64">
        <f t="shared" si="22"/>
        <v>16</v>
      </c>
      <c r="K190" s="90">
        <v>0</v>
      </c>
      <c r="L190" s="1">
        <v>2</v>
      </c>
      <c r="M190" s="1">
        <v>0</v>
      </c>
      <c r="N190" s="1" t="s">
        <v>480</v>
      </c>
      <c r="O190" s="1" t="s">
        <v>480</v>
      </c>
      <c r="P190" s="1" t="s">
        <v>480</v>
      </c>
      <c r="Q190" s="1" t="s">
        <v>480</v>
      </c>
      <c r="R190" s="1" t="s">
        <v>480</v>
      </c>
      <c r="S190" s="1" t="s">
        <v>480</v>
      </c>
      <c r="T190" s="1" t="s">
        <v>480</v>
      </c>
      <c r="U190" s="1" t="s">
        <v>480</v>
      </c>
      <c r="V190" s="1" t="s">
        <v>480</v>
      </c>
      <c r="W190" s="1">
        <v>1</v>
      </c>
      <c r="X190" s="1">
        <v>0</v>
      </c>
      <c r="Y190" s="1">
        <v>1</v>
      </c>
      <c r="Z190" s="1">
        <v>2</v>
      </c>
      <c r="AA190" s="1" t="s">
        <v>480</v>
      </c>
      <c r="AB190" s="1" t="s">
        <v>480</v>
      </c>
      <c r="AC190" s="1" t="s">
        <v>480</v>
      </c>
      <c r="AD190" s="1" t="s">
        <v>480</v>
      </c>
      <c r="AE190" s="1" t="s">
        <v>480</v>
      </c>
      <c r="AF190" s="1" t="s">
        <v>480</v>
      </c>
      <c r="AG190" s="1" t="s">
        <v>480</v>
      </c>
      <c r="AH190" s="1" t="s">
        <v>480</v>
      </c>
      <c r="AI190" s="1" t="s">
        <v>480</v>
      </c>
      <c r="AJ190" s="1" t="s">
        <v>480</v>
      </c>
      <c r="AK190" s="1" t="s">
        <v>480</v>
      </c>
      <c r="AL190" s="1" t="s">
        <v>480</v>
      </c>
      <c r="AM190" s="1" t="s">
        <v>480</v>
      </c>
      <c r="AN190" s="1" t="s">
        <v>480</v>
      </c>
      <c r="AO190" s="1" t="s">
        <v>480</v>
      </c>
      <c r="AP190" s="1" t="s">
        <v>480</v>
      </c>
      <c r="AQ190" s="1" t="s">
        <v>480</v>
      </c>
      <c r="AR190" s="1" t="s">
        <v>480</v>
      </c>
      <c r="AS190" s="1">
        <v>0</v>
      </c>
      <c r="AT190" s="1">
        <f t="shared" si="23"/>
        <v>8</v>
      </c>
    </row>
    <row r="191" spans="1:46" x14ac:dyDescent="0.25">
      <c r="A191" s="1">
        <f>COUNTIF('Value Matchup'!$D$356:$D$423,'Team History'!B191)</f>
        <v>0</v>
      </c>
      <c r="B191" t="s">
        <v>290</v>
      </c>
      <c r="C191" s="1">
        <f t="shared" si="16"/>
        <v>0</v>
      </c>
      <c r="D191" s="1">
        <f t="shared" si="17"/>
        <v>0</v>
      </c>
      <c r="E191" s="1">
        <f t="shared" si="18"/>
        <v>0</v>
      </c>
      <c r="F191" s="1">
        <f t="shared" si="19"/>
        <v>0</v>
      </c>
      <c r="G191" s="1">
        <f t="shared" si="20"/>
        <v>0</v>
      </c>
      <c r="H191" s="1">
        <f t="shared" si="21"/>
        <v>0</v>
      </c>
      <c r="I191" s="64">
        <f t="shared" si="22"/>
        <v>0</v>
      </c>
      <c r="K191" s="90" t="s">
        <v>480</v>
      </c>
      <c r="L191" s="1" t="s">
        <v>480</v>
      </c>
      <c r="M191" s="1" t="s">
        <v>480</v>
      </c>
      <c r="N191" s="1" t="s">
        <v>480</v>
      </c>
      <c r="O191" s="1" t="s">
        <v>480</v>
      </c>
      <c r="P191" s="1" t="s">
        <v>480</v>
      </c>
      <c r="Q191" s="1" t="s">
        <v>480</v>
      </c>
      <c r="R191" s="1" t="s">
        <v>480</v>
      </c>
      <c r="S191" s="1" t="s">
        <v>480</v>
      </c>
      <c r="T191" s="1" t="s">
        <v>480</v>
      </c>
      <c r="U191" s="1" t="s">
        <v>480</v>
      </c>
      <c r="V191" s="1" t="s">
        <v>480</v>
      </c>
      <c r="W191" s="1" t="s">
        <v>480</v>
      </c>
      <c r="X191" s="1" t="s">
        <v>480</v>
      </c>
      <c r="Y191" s="1" t="s">
        <v>480</v>
      </c>
      <c r="Z191" s="1" t="s">
        <v>480</v>
      </c>
      <c r="AA191" s="1" t="s">
        <v>480</v>
      </c>
      <c r="AB191" s="1" t="s">
        <v>480</v>
      </c>
      <c r="AC191" s="1" t="s">
        <v>480</v>
      </c>
      <c r="AD191" s="1" t="s">
        <v>480</v>
      </c>
      <c r="AE191" s="1" t="s">
        <v>480</v>
      </c>
      <c r="AF191" s="1" t="s">
        <v>480</v>
      </c>
      <c r="AG191" s="1" t="s">
        <v>480</v>
      </c>
      <c r="AH191" s="1" t="s">
        <v>480</v>
      </c>
      <c r="AI191" s="1" t="s">
        <v>480</v>
      </c>
      <c r="AJ191" s="1" t="s">
        <v>480</v>
      </c>
      <c r="AK191" s="1" t="s">
        <v>480</v>
      </c>
      <c r="AL191" s="1" t="s">
        <v>480</v>
      </c>
      <c r="AM191" s="1" t="s">
        <v>480</v>
      </c>
      <c r="AN191" s="1" t="s">
        <v>480</v>
      </c>
      <c r="AO191" s="1" t="s">
        <v>480</v>
      </c>
      <c r="AP191" s="1" t="s">
        <v>480</v>
      </c>
      <c r="AQ191" s="1" t="s">
        <v>480</v>
      </c>
      <c r="AR191" s="1" t="s">
        <v>480</v>
      </c>
      <c r="AS191" s="1" t="s">
        <v>480</v>
      </c>
      <c r="AT191" s="1">
        <f t="shared" si="23"/>
        <v>0</v>
      </c>
    </row>
    <row r="192" spans="1:46" x14ac:dyDescent="0.25">
      <c r="A192" s="1">
        <f>COUNTIF('Value Matchup'!$D$356:$D$423,'Team History'!B192)</f>
        <v>0</v>
      </c>
      <c r="B192" t="s">
        <v>291</v>
      </c>
      <c r="C192" s="1">
        <f t="shared" si="16"/>
        <v>6</v>
      </c>
      <c r="D192" s="1">
        <f t="shared" si="17"/>
        <v>0</v>
      </c>
      <c r="E192" s="1">
        <f t="shared" si="18"/>
        <v>0</v>
      </c>
      <c r="F192" s="1">
        <f t="shared" si="19"/>
        <v>0</v>
      </c>
      <c r="G192" s="1">
        <f t="shared" si="20"/>
        <v>0</v>
      </c>
      <c r="H192" s="1">
        <f t="shared" si="21"/>
        <v>0</v>
      </c>
      <c r="I192" s="64">
        <f t="shared" si="22"/>
        <v>20</v>
      </c>
      <c r="K192" s="90" t="s">
        <v>480</v>
      </c>
      <c r="L192" s="1" t="s">
        <v>480</v>
      </c>
      <c r="M192" s="1" t="s">
        <v>480</v>
      </c>
      <c r="N192" s="1" t="s">
        <v>480</v>
      </c>
      <c r="O192" s="1" t="s">
        <v>480</v>
      </c>
      <c r="P192" s="1">
        <v>0</v>
      </c>
      <c r="Q192" s="1">
        <v>0</v>
      </c>
      <c r="R192" s="1">
        <v>1</v>
      </c>
      <c r="S192" s="1" t="s">
        <v>480</v>
      </c>
      <c r="T192" s="1">
        <v>1</v>
      </c>
      <c r="U192" s="1" t="s">
        <v>480</v>
      </c>
      <c r="V192" s="1" t="s">
        <v>480</v>
      </c>
      <c r="W192" s="1" t="s">
        <v>480</v>
      </c>
      <c r="X192" s="1" t="s">
        <v>480</v>
      </c>
      <c r="Y192" s="1">
        <v>0</v>
      </c>
      <c r="Z192" s="1" t="s">
        <v>480</v>
      </c>
      <c r="AA192" s="1" t="s">
        <v>480</v>
      </c>
      <c r="AB192" s="1" t="s">
        <v>480</v>
      </c>
      <c r="AC192" s="1" t="s">
        <v>480</v>
      </c>
      <c r="AD192" s="1" t="s">
        <v>480</v>
      </c>
      <c r="AE192" s="1">
        <v>1</v>
      </c>
      <c r="AF192" s="1">
        <v>1</v>
      </c>
      <c r="AG192" s="1">
        <v>1</v>
      </c>
      <c r="AH192" s="1">
        <v>1</v>
      </c>
      <c r="AI192" s="1" t="s">
        <v>480</v>
      </c>
      <c r="AJ192" s="1">
        <v>0</v>
      </c>
      <c r="AK192" s="1">
        <v>0</v>
      </c>
      <c r="AL192" s="1" t="s">
        <v>480</v>
      </c>
      <c r="AM192" s="1">
        <v>0</v>
      </c>
      <c r="AN192" s="1" t="s">
        <v>480</v>
      </c>
      <c r="AO192" s="1" t="s">
        <v>480</v>
      </c>
      <c r="AP192" s="1" t="s">
        <v>480</v>
      </c>
      <c r="AQ192" s="1" t="s">
        <v>480</v>
      </c>
      <c r="AR192" s="1" t="s">
        <v>480</v>
      </c>
      <c r="AS192" s="1" t="s">
        <v>480</v>
      </c>
      <c r="AT192" s="1">
        <f t="shared" si="23"/>
        <v>12</v>
      </c>
    </row>
    <row r="193" spans="1:46" x14ac:dyDescent="0.25">
      <c r="A193" s="1">
        <f>COUNTIF('Value Matchup'!$D$356:$D$423,'Team History'!B193)</f>
        <v>0</v>
      </c>
      <c r="B193" t="s">
        <v>292</v>
      </c>
      <c r="C193" s="1">
        <f t="shared" si="16"/>
        <v>2</v>
      </c>
      <c r="D193" s="1">
        <f t="shared" si="17"/>
        <v>1</v>
      </c>
      <c r="E193" s="1">
        <f t="shared" si="18"/>
        <v>0</v>
      </c>
      <c r="F193" s="1">
        <f t="shared" si="19"/>
        <v>0</v>
      </c>
      <c r="G193" s="1">
        <f t="shared" si="20"/>
        <v>0</v>
      </c>
      <c r="H193" s="1">
        <f t="shared" si="21"/>
        <v>0</v>
      </c>
      <c r="I193" s="64">
        <f t="shared" si="22"/>
        <v>18</v>
      </c>
      <c r="K193" s="90">
        <v>0</v>
      </c>
      <c r="L193" s="1">
        <v>0</v>
      </c>
      <c r="M193" s="1">
        <v>0</v>
      </c>
      <c r="N193" s="1" t="s">
        <v>480</v>
      </c>
      <c r="O193" s="1">
        <v>0</v>
      </c>
      <c r="P193" s="1">
        <v>0</v>
      </c>
      <c r="Q193" s="1">
        <v>0</v>
      </c>
      <c r="R193" s="1">
        <v>0</v>
      </c>
      <c r="S193" s="1" t="s">
        <v>480</v>
      </c>
      <c r="T193" s="1">
        <v>0</v>
      </c>
      <c r="U193" s="1" t="s">
        <v>480</v>
      </c>
      <c r="V193" s="1" t="s">
        <v>480</v>
      </c>
      <c r="W193" s="1">
        <v>0</v>
      </c>
      <c r="X193" s="1" t="s">
        <v>480</v>
      </c>
      <c r="Y193" s="1" t="s">
        <v>480</v>
      </c>
      <c r="Z193" s="1" t="s">
        <v>480</v>
      </c>
      <c r="AA193" s="1" t="s">
        <v>480</v>
      </c>
      <c r="AB193" s="1" t="s">
        <v>480</v>
      </c>
      <c r="AC193" s="1" t="s">
        <v>480</v>
      </c>
      <c r="AD193" s="1" t="s">
        <v>480</v>
      </c>
      <c r="AE193" s="1">
        <v>0</v>
      </c>
      <c r="AF193" s="1" t="s">
        <v>480</v>
      </c>
      <c r="AG193" s="1" t="s">
        <v>480</v>
      </c>
      <c r="AH193" s="1" t="s">
        <v>480</v>
      </c>
      <c r="AI193" s="1" t="s">
        <v>480</v>
      </c>
      <c r="AJ193" s="1">
        <v>0</v>
      </c>
      <c r="AK193" s="1">
        <v>1</v>
      </c>
      <c r="AL193" s="1">
        <v>2</v>
      </c>
      <c r="AM193" s="1">
        <v>0</v>
      </c>
      <c r="AN193" s="1">
        <v>0</v>
      </c>
      <c r="AO193" s="1" t="s">
        <v>480</v>
      </c>
      <c r="AP193" s="1" t="s">
        <v>480</v>
      </c>
      <c r="AQ193" s="1" t="s">
        <v>480</v>
      </c>
      <c r="AR193" s="1" t="s">
        <v>480</v>
      </c>
      <c r="AS193" s="1" t="s">
        <v>480</v>
      </c>
      <c r="AT193" s="1">
        <f t="shared" si="23"/>
        <v>15</v>
      </c>
    </row>
    <row r="194" spans="1:46" x14ac:dyDescent="0.25">
      <c r="A194" s="1">
        <f>COUNTIF('Value Matchup'!$D$356:$D$423,'Team History'!B194)</f>
        <v>0</v>
      </c>
      <c r="B194" t="s">
        <v>293</v>
      </c>
      <c r="C194" s="1">
        <f t="shared" si="16"/>
        <v>1</v>
      </c>
      <c r="D194" s="1">
        <f t="shared" si="17"/>
        <v>0</v>
      </c>
      <c r="E194" s="1">
        <f t="shared" si="18"/>
        <v>0</v>
      </c>
      <c r="F194" s="1">
        <f t="shared" si="19"/>
        <v>0</v>
      </c>
      <c r="G194" s="1">
        <f t="shared" si="20"/>
        <v>0</v>
      </c>
      <c r="H194" s="1">
        <f t="shared" si="21"/>
        <v>0</v>
      </c>
      <c r="I194" s="64">
        <f t="shared" si="22"/>
        <v>6</v>
      </c>
      <c r="K194" s="90" t="s">
        <v>480</v>
      </c>
      <c r="L194" s="1" t="s">
        <v>480</v>
      </c>
      <c r="M194" s="1">
        <v>0</v>
      </c>
      <c r="N194" s="1" t="s">
        <v>480</v>
      </c>
      <c r="O194" s="1" t="s">
        <v>480</v>
      </c>
      <c r="P194" s="1" t="s">
        <v>480</v>
      </c>
      <c r="Q194" s="1" t="s">
        <v>480</v>
      </c>
      <c r="R194" s="1" t="s">
        <v>480</v>
      </c>
      <c r="S194" s="1" t="s">
        <v>480</v>
      </c>
      <c r="T194" s="1" t="s">
        <v>480</v>
      </c>
      <c r="U194" s="1" t="s">
        <v>480</v>
      </c>
      <c r="V194" s="1" t="s">
        <v>480</v>
      </c>
      <c r="W194" s="1" t="s">
        <v>480</v>
      </c>
      <c r="X194" s="1" t="s">
        <v>480</v>
      </c>
      <c r="Y194" s="1" t="s">
        <v>480</v>
      </c>
      <c r="Z194" s="1" t="s">
        <v>480</v>
      </c>
      <c r="AA194" s="1" t="s">
        <v>480</v>
      </c>
      <c r="AB194" s="1" t="s">
        <v>480</v>
      </c>
      <c r="AC194" s="1" t="s">
        <v>480</v>
      </c>
      <c r="AD194" s="1" t="s">
        <v>480</v>
      </c>
      <c r="AE194" s="1" t="s">
        <v>480</v>
      </c>
      <c r="AF194" s="1" t="s">
        <v>480</v>
      </c>
      <c r="AG194" s="1" t="s">
        <v>480</v>
      </c>
      <c r="AH194" s="1">
        <v>0</v>
      </c>
      <c r="AI194" s="1" t="s">
        <v>480</v>
      </c>
      <c r="AJ194" s="1" t="s">
        <v>480</v>
      </c>
      <c r="AK194" s="1">
        <v>0</v>
      </c>
      <c r="AL194" s="1" t="s">
        <v>480</v>
      </c>
      <c r="AM194" s="1">
        <v>0</v>
      </c>
      <c r="AN194" s="1" t="s">
        <v>480</v>
      </c>
      <c r="AO194" s="1" t="s">
        <v>480</v>
      </c>
      <c r="AP194" s="1" t="s">
        <v>480</v>
      </c>
      <c r="AQ194" s="1">
        <v>1</v>
      </c>
      <c r="AR194" s="1" t="s">
        <v>480</v>
      </c>
      <c r="AS194" s="1" t="s">
        <v>480</v>
      </c>
      <c r="AT194" s="1">
        <f t="shared" si="23"/>
        <v>5</v>
      </c>
    </row>
    <row r="195" spans="1:46" x14ac:dyDescent="0.25">
      <c r="A195" s="1">
        <f>COUNTIF('Value Matchup'!$D$356:$D$423,'Team History'!B195)</f>
        <v>0</v>
      </c>
      <c r="B195" t="s">
        <v>294</v>
      </c>
      <c r="C195" s="1">
        <f t="shared" si="16"/>
        <v>0</v>
      </c>
      <c r="D195" s="1">
        <f t="shared" si="17"/>
        <v>0</v>
      </c>
      <c r="E195" s="1">
        <f t="shared" si="18"/>
        <v>0</v>
      </c>
      <c r="F195" s="1">
        <f t="shared" si="19"/>
        <v>0</v>
      </c>
      <c r="G195" s="1">
        <f t="shared" si="20"/>
        <v>0</v>
      </c>
      <c r="H195" s="1">
        <f t="shared" si="21"/>
        <v>0</v>
      </c>
      <c r="I195" s="64">
        <f t="shared" si="22"/>
        <v>2</v>
      </c>
      <c r="K195" s="90" t="s">
        <v>480</v>
      </c>
      <c r="L195" s="1" t="s">
        <v>480</v>
      </c>
      <c r="M195" s="1" t="s">
        <v>480</v>
      </c>
      <c r="N195" s="1" t="s">
        <v>480</v>
      </c>
      <c r="O195" s="1" t="s">
        <v>480</v>
      </c>
      <c r="P195" s="1" t="s">
        <v>480</v>
      </c>
      <c r="Q195" s="1" t="s">
        <v>480</v>
      </c>
      <c r="R195" s="1" t="s">
        <v>480</v>
      </c>
      <c r="S195" s="1" t="s">
        <v>480</v>
      </c>
      <c r="T195" s="1" t="s">
        <v>480</v>
      </c>
      <c r="U195" s="1" t="s">
        <v>480</v>
      </c>
      <c r="V195" s="1" t="s">
        <v>480</v>
      </c>
      <c r="W195" s="1">
        <v>0</v>
      </c>
      <c r="X195" s="1" t="s">
        <v>480</v>
      </c>
      <c r="Y195" s="1">
        <v>0</v>
      </c>
      <c r="Z195" s="1" t="s">
        <v>480</v>
      </c>
      <c r="AA195" s="1" t="s">
        <v>480</v>
      </c>
      <c r="AB195" s="1" t="s">
        <v>480</v>
      </c>
      <c r="AC195" s="1" t="s">
        <v>480</v>
      </c>
      <c r="AD195" s="1" t="s">
        <v>480</v>
      </c>
      <c r="AE195" s="1" t="s">
        <v>480</v>
      </c>
      <c r="AF195" s="1" t="s">
        <v>480</v>
      </c>
      <c r="AG195" s="1" t="s">
        <v>480</v>
      </c>
      <c r="AH195" s="1" t="s">
        <v>480</v>
      </c>
      <c r="AI195" s="1" t="s">
        <v>480</v>
      </c>
      <c r="AJ195" s="1" t="s">
        <v>480</v>
      </c>
      <c r="AK195" s="1" t="s">
        <v>480</v>
      </c>
      <c r="AL195" s="1" t="s">
        <v>480</v>
      </c>
      <c r="AM195" s="1" t="s">
        <v>480</v>
      </c>
      <c r="AN195" s="1" t="s">
        <v>480</v>
      </c>
      <c r="AO195" s="1" t="s">
        <v>480</v>
      </c>
      <c r="AP195" s="1" t="s">
        <v>480</v>
      </c>
      <c r="AQ195" s="1" t="s">
        <v>480</v>
      </c>
      <c r="AR195" s="1" t="s">
        <v>480</v>
      </c>
      <c r="AS195" s="1" t="s">
        <v>480</v>
      </c>
      <c r="AT195" s="1">
        <f t="shared" si="23"/>
        <v>2</v>
      </c>
    </row>
    <row r="196" spans="1:46" x14ac:dyDescent="0.25">
      <c r="A196" s="1">
        <f>COUNTIF('Value Matchup'!$D$356:$D$423,'Team History'!B196)</f>
        <v>0</v>
      </c>
      <c r="B196" t="s">
        <v>295</v>
      </c>
      <c r="C196" s="1">
        <f t="shared" ref="C196:C259" si="24">COUNTIF($K196:$AS196,"&gt;0")</f>
        <v>0</v>
      </c>
      <c r="D196" s="1">
        <f t="shared" ref="D196:D259" si="25">COUNTIF($K196:$AS196,"&gt;1")</f>
        <v>0</v>
      </c>
      <c r="E196" s="1">
        <f t="shared" ref="E196:E259" si="26">COUNTIF($K196:$AS196,"&gt;2")</f>
        <v>0</v>
      </c>
      <c r="F196" s="1">
        <f t="shared" ref="F196:F259" si="27">COUNTIF($K196:$AS196,"&gt;3")</f>
        <v>0</v>
      </c>
      <c r="G196" s="1">
        <f t="shared" ref="G196:G259" si="28">COUNTIF($K196:$AS196,"&gt;4")</f>
        <v>0</v>
      </c>
      <c r="H196" s="1">
        <f t="shared" ref="H196:H259" si="29">COUNTIF($K196:$AS196,"&gt;5")</f>
        <v>0</v>
      </c>
      <c r="I196" s="64">
        <f t="shared" ref="I196:I259" si="30">SUM(K196:AT196)+SUM(K196:T196)</f>
        <v>2</v>
      </c>
      <c r="K196" s="90" t="s">
        <v>480</v>
      </c>
      <c r="L196" s="1" t="s">
        <v>480</v>
      </c>
      <c r="M196" s="1" t="s">
        <v>480</v>
      </c>
      <c r="N196" s="1" t="s">
        <v>480</v>
      </c>
      <c r="O196" s="1" t="s">
        <v>480</v>
      </c>
      <c r="P196" s="1" t="s">
        <v>480</v>
      </c>
      <c r="Q196" s="1" t="s">
        <v>480</v>
      </c>
      <c r="R196" s="1" t="s">
        <v>480</v>
      </c>
      <c r="S196" s="1" t="s">
        <v>480</v>
      </c>
      <c r="T196" s="1" t="s">
        <v>480</v>
      </c>
      <c r="U196" s="1" t="s">
        <v>480</v>
      </c>
      <c r="V196" s="1" t="s">
        <v>480</v>
      </c>
      <c r="W196" s="1" t="s">
        <v>480</v>
      </c>
      <c r="X196" s="1" t="s">
        <v>480</v>
      </c>
      <c r="Y196" s="1" t="s">
        <v>480</v>
      </c>
      <c r="Z196" s="1" t="s">
        <v>480</v>
      </c>
      <c r="AA196" s="1" t="s">
        <v>480</v>
      </c>
      <c r="AB196" s="1" t="s">
        <v>480</v>
      </c>
      <c r="AC196" s="1" t="s">
        <v>480</v>
      </c>
      <c r="AD196" s="1" t="s">
        <v>480</v>
      </c>
      <c r="AE196" s="1" t="s">
        <v>480</v>
      </c>
      <c r="AF196" s="1">
        <v>0</v>
      </c>
      <c r="AG196" s="1" t="s">
        <v>480</v>
      </c>
      <c r="AH196" s="1" t="s">
        <v>480</v>
      </c>
      <c r="AI196" s="1">
        <v>0</v>
      </c>
      <c r="AJ196" s="1" t="s">
        <v>480</v>
      </c>
      <c r="AK196" s="1" t="s">
        <v>480</v>
      </c>
      <c r="AL196" s="1" t="s">
        <v>480</v>
      </c>
      <c r="AM196" s="1" t="s">
        <v>480</v>
      </c>
      <c r="AN196" s="1" t="s">
        <v>480</v>
      </c>
      <c r="AO196" s="1" t="s">
        <v>480</v>
      </c>
      <c r="AP196" s="1" t="s">
        <v>480</v>
      </c>
      <c r="AQ196" s="1" t="s">
        <v>480</v>
      </c>
      <c r="AR196" s="1" t="s">
        <v>480</v>
      </c>
      <c r="AS196" s="1" t="s">
        <v>480</v>
      </c>
      <c r="AT196" s="1">
        <f t="shared" ref="AT196:AT259" si="31">COUNT(K196:AS196)</f>
        <v>2</v>
      </c>
    </row>
    <row r="197" spans="1:46" x14ac:dyDescent="0.25">
      <c r="A197" s="1">
        <f>COUNTIF('Value Matchup'!$D$356:$D$423,'Team History'!B197)</f>
        <v>0</v>
      </c>
      <c r="B197" t="s">
        <v>296</v>
      </c>
      <c r="C197" s="1">
        <f t="shared" si="24"/>
        <v>0</v>
      </c>
      <c r="D197" s="1">
        <f t="shared" si="25"/>
        <v>0</v>
      </c>
      <c r="E197" s="1">
        <f t="shared" si="26"/>
        <v>0</v>
      </c>
      <c r="F197" s="1">
        <f t="shared" si="27"/>
        <v>0</v>
      </c>
      <c r="G197" s="1">
        <f t="shared" si="28"/>
        <v>0</v>
      </c>
      <c r="H197" s="1">
        <f t="shared" si="29"/>
        <v>0</v>
      </c>
      <c r="I197" s="64">
        <f t="shared" si="30"/>
        <v>0</v>
      </c>
      <c r="K197" s="90" t="s">
        <v>480</v>
      </c>
      <c r="L197" s="1" t="s">
        <v>480</v>
      </c>
      <c r="M197" s="1" t="s">
        <v>480</v>
      </c>
      <c r="N197" s="1" t="s">
        <v>480</v>
      </c>
      <c r="O197" s="1" t="s">
        <v>480</v>
      </c>
      <c r="P197" s="1" t="s">
        <v>480</v>
      </c>
      <c r="Q197" s="1" t="s">
        <v>480</v>
      </c>
      <c r="R197" s="1" t="s">
        <v>480</v>
      </c>
      <c r="S197" s="1" t="s">
        <v>480</v>
      </c>
      <c r="T197" s="1" t="s">
        <v>480</v>
      </c>
      <c r="U197" s="1" t="s">
        <v>480</v>
      </c>
      <c r="V197" s="1" t="s">
        <v>480</v>
      </c>
      <c r="W197" s="1" t="s">
        <v>480</v>
      </c>
      <c r="X197" s="1" t="s">
        <v>480</v>
      </c>
      <c r="Y197" s="1" t="s">
        <v>480</v>
      </c>
      <c r="Z197" s="1" t="s">
        <v>480</v>
      </c>
      <c r="AA197" s="1" t="s">
        <v>480</v>
      </c>
      <c r="AB197" s="1" t="s">
        <v>480</v>
      </c>
      <c r="AC197" s="1" t="s">
        <v>480</v>
      </c>
      <c r="AD197" s="1" t="s">
        <v>480</v>
      </c>
      <c r="AE197" s="1" t="s">
        <v>480</v>
      </c>
      <c r="AF197" s="1" t="s">
        <v>480</v>
      </c>
      <c r="AG197" s="1" t="s">
        <v>480</v>
      </c>
      <c r="AH197" s="1" t="s">
        <v>480</v>
      </c>
      <c r="AI197" s="1" t="s">
        <v>480</v>
      </c>
      <c r="AJ197" s="1" t="s">
        <v>480</v>
      </c>
      <c r="AK197" s="1" t="s">
        <v>480</v>
      </c>
      <c r="AL197" s="1" t="s">
        <v>480</v>
      </c>
      <c r="AM197" s="1" t="s">
        <v>480</v>
      </c>
      <c r="AN197" s="1" t="s">
        <v>480</v>
      </c>
      <c r="AO197" s="1" t="s">
        <v>480</v>
      </c>
      <c r="AP197" s="1" t="s">
        <v>480</v>
      </c>
      <c r="AQ197" s="1" t="s">
        <v>480</v>
      </c>
      <c r="AR197" s="1" t="s">
        <v>480</v>
      </c>
      <c r="AS197" s="1" t="s">
        <v>480</v>
      </c>
      <c r="AT197" s="1">
        <f t="shared" si="31"/>
        <v>0</v>
      </c>
    </row>
    <row r="198" spans="1:46" x14ac:dyDescent="0.25">
      <c r="A198" s="1">
        <f>COUNTIF('Value Matchup'!$D$356:$D$423,'Team History'!B198)</f>
        <v>1</v>
      </c>
      <c r="B198" t="s">
        <v>297</v>
      </c>
      <c r="C198" s="1">
        <f t="shared" si="24"/>
        <v>1</v>
      </c>
      <c r="D198" s="1">
        <f t="shared" si="25"/>
        <v>0</v>
      </c>
      <c r="E198" s="1">
        <f t="shared" si="26"/>
        <v>0</v>
      </c>
      <c r="F198" s="1">
        <f t="shared" si="27"/>
        <v>0</v>
      </c>
      <c r="G198" s="1">
        <f t="shared" si="28"/>
        <v>0</v>
      </c>
      <c r="H198" s="1">
        <f t="shared" si="29"/>
        <v>0</v>
      </c>
      <c r="I198" s="64">
        <f t="shared" si="30"/>
        <v>3</v>
      </c>
      <c r="K198" s="90" t="s">
        <v>480</v>
      </c>
      <c r="L198" s="1" t="s">
        <v>480</v>
      </c>
      <c r="M198" s="1" t="s">
        <v>480</v>
      </c>
      <c r="N198" s="1" t="s">
        <v>480</v>
      </c>
      <c r="O198" s="1" t="s">
        <v>480</v>
      </c>
      <c r="P198" s="1" t="s">
        <v>480</v>
      </c>
      <c r="Q198" s="1" t="s">
        <v>480</v>
      </c>
      <c r="R198" s="1">
        <v>1</v>
      </c>
      <c r="S198" s="1" t="s">
        <v>480</v>
      </c>
      <c r="T198" s="1" t="s">
        <v>480</v>
      </c>
      <c r="U198" s="1" t="s">
        <v>480</v>
      </c>
      <c r="V198" s="1" t="s">
        <v>480</v>
      </c>
      <c r="W198" s="1" t="s">
        <v>480</v>
      </c>
      <c r="X198" s="1" t="s">
        <v>480</v>
      </c>
      <c r="Y198" s="1" t="s">
        <v>480</v>
      </c>
      <c r="Z198" s="1" t="s">
        <v>480</v>
      </c>
      <c r="AA198" s="1" t="s">
        <v>480</v>
      </c>
      <c r="AB198" s="1" t="s">
        <v>480</v>
      </c>
      <c r="AC198" s="1" t="s">
        <v>480</v>
      </c>
      <c r="AD198" s="1" t="s">
        <v>480</v>
      </c>
      <c r="AE198" s="1" t="s">
        <v>480</v>
      </c>
      <c r="AF198" s="1" t="s">
        <v>480</v>
      </c>
      <c r="AG198" s="1" t="s">
        <v>480</v>
      </c>
      <c r="AH198" s="1" t="s">
        <v>480</v>
      </c>
      <c r="AI198" s="1" t="s">
        <v>480</v>
      </c>
      <c r="AJ198" s="1" t="s">
        <v>480</v>
      </c>
      <c r="AK198" s="1" t="s">
        <v>480</v>
      </c>
      <c r="AL198" s="1" t="s">
        <v>480</v>
      </c>
      <c r="AM198" s="1" t="s">
        <v>480</v>
      </c>
      <c r="AN198" s="1" t="s">
        <v>480</v>
      </c>
      <c r="AO198" s="1" t="s">
        <v>480</v>
      </c>
      <c r="AP198" s="1" t="s">
        <v>480</v>
      </c>
      <c r="AQ198" s="1" t="s">
        <v>480</v>
      </c>
      <c r="AR198" s="1" t="s">
        <v>480</v>
      </c>
      <c r="AS198" s="1" t="s">
        <v>480</v>
      </c>
      <c r="AT198" s="1">
        <f t="shared" si="31"/>
        <v>1</v>
      </c>
    </row>
    <row r="199" spans="1:46" x14ac:dyDescent="0.25">
      <c r="A199" s="1">
        <f>COUNTIF('Value Matchup'!$D$356:$D$423,'Team History'!B199)</f>
        <v>0</v>
      </c>
      <c r="B199" t="s">
        <v>490</v>
      </c>
      <c r="C199" s="1">
        <f t="shared" si="24"/>
        <v>0</v>
      </c>
      <c r="D199" s="1">
        <f t="shared" si="25"/>
        <v>0</v>
      </c>
      <c r="E199" s="1">
        <f t="shared" si="26"/>
        <v>0</v>
      </c>
      <c r="F199" s="1">
        <f t="shared" si="27"/>
        <v>0</v>
      </c>
      <c r="G199" s="1">
        <f t="shared" si="28"/>
        <v>0</v>
      </c>
      <c r="H199" s="1">
        <f t="shared" si="29"/>
        <v>0</v>
      </c>
      <c r="I199" s="64">
        <f t="shared" si="30"/>
        <v>0</v>
      </c>
      <c r="K199" s="90" t="s">
        <v>480</v>
      </c>
      <c r="L199" s="1" t="s">
        <v>480</v>
      </c>
      <c r="M199" s="1" t="s">
        <v>480</v>
      </c>
      <c r="N199" s="1" t="s">
        <v>480</v>
      </c>
      <c r="O199" s="1" t="s">
        <v>480</v>
      </c>
      <c r="P199" s="1" t="s">
        <v>480</v>
      </c>
      <c r="Q199" s="1" t="s">
        <v>480</v>
      </c>
      <c r="R199" s="1" t="s">
        <v>480</v>
      </c>
      <c r="S199" s="1" t="s">
        <v>480</v>
      </c>
      <c r="T199" s="1" t="s">
        <v>480</v>
      </c>
      <c r="U199" s="1" t="s">
        <v>480</v>
      </c>
      <c r="V199" s="1" t="s">
        <v>480</v>
      </c>
      <c r="W199" s="1" t="s">
        <v>480</v>
      </c>
      <c r="X199" s="1" t="s">
        <v>480</v>
      </c>
      <c r="Y199" s="1" t="s">
        <v>480</v>
      </c>
      <c r="Z199" s="1" t="s">
        <v>480</v>
      </c>
      <c r="AA199" s="1" t="s">
        <v>480</v>
      </c>
      <c r="AB199" s="1" t="s">
        <v>480</v>
      </c>
      <c r="AC199" s="1" t="s">
        <v>480</v>
      </c>
      <c r="AD199" s="1" t="s">
        <v>480</v>
      </c>
      <c r="AE199" s="1" t="s">
        <v>480</v>
      </c>
      <c r="AF199" s="1" t="s">
        <v>480</v>
      </c>
      <c r="AG199" s="1" t="s">
        <v>480</v>
      </c>
      <c r="AH199" s="1" t="s">
        <v>480</v>
      </c>
      <c r="AI199" s="1" t="s">
        <v>480</v>
      </c>
      <c r="AJ199" s="1" t="s">
        <v>480</v>
      </c>
      <c r="AK199" s="1" t="s">
        <v>480</v>
      </c>
      <c r="AL199" s="1" t="s">
        <v>480</v>
      </c>
      <c r="AM199" s="1" t="s">
        <v>480</v>
      </c>
      <c r="AN199" s="1" t="s">
        <v>480</v>
      </c>
      <c r="AO199" s="1" t="s">
        <v>480</v>
      </c>
      <c r="AP199" s="1" t="s">
        <v>480</v>
      </c>
      <c r="AQ199" s="1" t="s">
        <v>480</v>
      </c>
      <c r="AR199" s="1" t="s">
        <v>480</v>
      </c>
      <c r="AS199" s="1" t="s">
        <v>480</v>
      </c>
      <c r="AT199" s="1">
        <f t="shared" si="31"/>
        <v>0</v>
      </c>
    </row>
    <row r="200" spans="1:46" x14ac:dyDescent="0.25">
      <c r="A200" s="1">
        <f>COUNTIF('Value Matchup'!$D$356:$D$423,'Team History'!B200)</f>
        <v>1</v>
      </c>
      <c r="B200" t="s">
        <v>298</v>
      </c>
      <c r="C200" s="1">
        <f t="shared" si="24"/>
        <v>27</v>
      </c>
      <c r="D200" s="1">
        <f t="shared" si="25"/>
        <v>19</v>
      </c>
      <c r="E200" s="1">
        <f t="shared" si="26"/>
        <v>13</v>
      </c>
      <c r="F200" s="1">
        <f t="shared" si="27"/>
        <v>7</v>
      </c>
      <c r="G200" s="1">
        <f t="shared" si="28"/>
        <v>1</v>
      </c>
      <c r="H200" s="1">
        <f t="shared" si="29"/>
        <v>0</v>
      </c>
      <c r="I200" s="64">
        <f t="shared" si="30"/>
        <v>113</v>
      </c>
      <c r="K200" s="90">
        <v>2</v>
      </c>
      <c r="L200" s="1">
        <v>1</v>
      </c>
      <c r="M200" s="1" t="s">
        <v>480</v>
      </c>
      <c r="N200" s="1">
        <v>5</v>
      </c>
      <c r="O200" s="1">
        <v>2</v>
      </c>
      <c r="P200" s="1">
        <v>1</v>
      </c>
      <c r="Q200" s="1">
        <v>1</v>
      </c>
      <c r="R200" s="1">
        <v>3</v>
      </c>
      <c r="S200" s="1">
        <v>3</v>
      </c>
      <c r="T200" s="1" t="s">
        <v>480</v>
      </c>
      <c r="U200" s="1" t="s">
        <v>480</v>
      </c>
      <c r="V200" s="1">
        <v>4</v>
      </c>
      <c r="W200" s="1">
        <v>3</v>
      </c>
      <c r="X200" s="1">
        <v>1</v>
      </c>
      <c r="Y200" s="1" t="s">
        <v>480</v>
      </c>
      <c r="Z200" s="1">
        <v>1</v>
      </c>
      <c r="AA200" s="1" t="s">
        <v>480</v>
      </c>
      <c r="AB200" s="1" t="s">
        <v>480</v>
      </c>
      <c r="AC200" s="1">
        <v>1</v>
      </c>
      <c r="AD200" s="1">
        <v>4</v>
      </c>
      <c r="AE200" s="1">
        <v>0</v>
      </c>
      <c r="AF200" s="1">
        <v>4</v>
      </c>
      <c r="AG200" s="1">
        <v>4</v>
      </c>
      <c r="AH200" s="1">
        <v>1</v>
      </c>
      <c r="AI200" s="1">
        <v>4</v>
      </c>
      <c r="AJ200" s="1">
        <v>1</v>
      </c>
      <c r="AK200" s="1" t="s">
        <v>480</v>
      </c>
      <c r="AL200" s="1">
        <v>2</v>
      </c>
      <c r="AM200" s="1">
        <v>4</v>
      </c>
      <c r="AN200" s="1">
        <v>2</v>
      </c>
      <c r="AO200" s="1">
        <v>2</v>
      </c>
      <c r="AP200" s="1">
        <v>3</v>
      </c>
      <c r="AQ200" s="1">
        <v>3</v>
      </c>
      <c r="AR200" s="1">
        <v>2</v>
      </c>
      <c r="AS200" s="1">
        <v>3</v>
      </c>
      <c r="AT200" s="1">
        <f t="shared" si="31"/>
        <v>28</v>
      </c>
    </row>
    <row r="201" spans="1:46" x14ac:dyDescent="0.25">
      <c r="A201" s="1">
        <f>COUNTIF('Value Matchup'!$D$356:$D$423,'Team History'!B201)</f>
        <v>0</v>
      </c>
      <c r="B201" t="s">
        <v>299</v>
      </c>
      <c r="C201" s="1">
        <f t="shared" si="24"/>
        <v>0</v>
      </c>
      <c r="D201" s="1">
        <f t="shared" si="25"/>
        <v>0</v>
      </c>
      <c r="E201" s="1">
        <f t="shared" si="26"/>
        <v>0</v>
      </c>
      <c r="F201" s="1">
        <f t="shared" si="27"/>
        <v>0</v>
      </c>
      <c r="G201" s="1">
        <f t="shared" si="28"/>
        <v>0</v>
      </c>
      <c r="H201" s="1">
        <f t="shared" si="29"/>
        <v>0</v>
      </c>
      <c r="I201" s="64">
        <f t="shared" si="30"/>
        <v>7</v>
      </c>
      <c r="K201" s="90" t="s">
        <v>480</v>
      </c>
      <c r="L201" s="1" t="s">
        <v>480</v>
      </c>
      <c r="M201" s="1" t="s">
        <v>480</v>
      </c>
      <c r="N201" s="1" t="s">
        <v>480</v>
      </c>
      <c r="O201" s="1" t="s">
        <v>480</v>
      </c>
      <c r="P201" s="1" t="s">
        <v>480</v>
      </c>
      <c r="Q201" s="1">
        <v>0</v>
      </c>
      <c r="R201" s="1" t="s">
        <v>480</v>
      </c>
      <c r="S201" s="1" t="s">
        <v>480</v>
      </c>
      <c r="T201" s="1" t="s">
        <v>480</v>
      </c>
      <c r="U201" s="1" t="s">
        <v>480</v>
      </c>
      <c r="V201" s="1" t="s">
        <v>480</v>
      </c>
      <c r="W201" s="1" t="s">
        <v>480</v>
      </c>
      <c r="X201" s="1" t="s">
        <v>480</v>
      </c>
      <c r="Y201" s="1" t="s">
        <v>480</v>
      </c>
      <c r="Z201" s="1" t="s">
        <v>480</v>
      </c>
      <c r="AA201" s="1" t="s">
        <v>480</v>
      </c>
      <c r="AB201" s="1" t="s">
        <v>480</v>
      </c>
      <c r="AC201" s="1" t="s">
        <v>480</v>
      </c>
      <c r="AD201" s="1" t="s">
        <v>480</v>
      </c>
      <c r="AE201" s="1" t="s">
        <v>480</v>
      </c>
      <c r="AF201" s="1" t="s">
        <v>480</v>
      </c>
      <c r="AG201" s="1" t="s">
        <v>480</v>
      </c>
      <c r="AH201" s="1" t="s">
        <v>480</v>
      </c>
      <c r="AI201" s="1">
        <v>0</v>
      </c>
      <c r="AJ201" s="1">
        <v>0</v>
      </c>
      <c r="AK201" s="1" t="s">
        <v>480</v>
      </c>
      <c r="AL201" s="1" t="s">
        <v>480</v>
      </c>
      <c r="AM201" s="1" t="s">
        <v>480</v>
      </c>
      <c r="AN201" s="1" t="s">
        <v>480</v>
      </c>
      <c r="AO201" s="1" t="s">
        <v>480</v>
      </c>
      <c r="AP201" s="1">
        <v>0</v>
      </c>
      <c r="AQ201" s="1">
        <v>0</v>
      </c>
      <c r="AR201" s="1">
        <v>0</v>
      </c>
      <c r="AS201" s="1">
        <v>0</v>
      </c>
      <c r="AT201" s="1">
        <f t="shared" si="31"/>
        <v>7</v>
      </c>
    </row>
    <row r="202" spans="1:46" x14ac:dyDescent="0.25">
      <c r="A202" s="1">
        <f>COUNTIF('Value Matchup'!$D$356:$D$423,'Team History'!B202)</f>
        <v>0</v>
      </c>
      <c r="B202" t="s">
        <v>300</v>
      </c>
      <c r="C202" s="1">
        <f t="shared" si="24"/>
        <v>0</v>
      </c>
      <c r="D202" s="1">
        <f t="shared" si="25"/>
        <v>0</v>
      </c>
      <c r="E202" s="1">
        <f t="shared" si="26"/>
        <v>0</v>
      </c>
      <c r="F202" s="1">
        <f t="shared" si="27"/>
        <v>0</v>
      </c>
      <c r="G202" s="1">
        <f t="shared" si="28"/>
        <v>0</v>
      </c>
      <c r="H202" s="1">
        <f t="shared" si="29"/>
        <v>0</v>
      </c>
      <c r="I202" s="64">
        <f t="shared" si="30"/>
        <v>3</v>
      </c>
      <c r="K202" s="90" t="s">
        <v>480</v>
      </c>
      <c r="L202" s="1">
        <v>0</v>
      </c>
      <c r="M202" s="1">
        <v>0</v>
      </c>
      <c r="N202" s="1" t="s">
        <v>480</v>
      </c>
      <c r="O202" s="1" t="s">
        <v>480</v>
      </c>
      <c r="P202" s="1">
        <v>0</v>
      </c>
      <c r="Q202" s="1" t="s">
        <v>480</v>
      </c>
      <c r="R202" s="1" t="s">
        <v>480</v>
      </c>
      <c r="S202" s="1" t="s">
        <v>480</v>
      </c>
      <c r="T202" s="1" t="s">
        <v>480</v>
      </c>
      <c r="U202" s="1" t="s">
        <v>480</v>
      </c>
      <c r="V202" s="1" t="s">
        <v>480</v>
      </c>
      <c r="W202" s="1" t="s">
        <v>480</v>
      </c>
      <c r="X202" s="1" t="s">
        <v>480</v>
      </c>
      <c r="Y202" s="1" t="s">
        <v>480</v>
      </c>
      <c r="Z202" s="1" t="s">
        <v>480</v>
      </c>
      <c r="AA202" s="1" t="s">
        <v>480</v>
      </c>
      <c r="AB202" s="1" t="s">
        <v>480</v>
      </c>
      <c r="AC202" s="1" t="s">
        <v>480</v>
      </c>
      <c r="AD202" s="1" t="s">
        <v>480</v>
      </c>
      <c r="AE202" s="1" t="s">
        <v>480</v>
      </c>
      <c r="AF202" s="1" t="s">
        <v>480</v>
      </c>
      <c r="AG202" s="1" t="s">
        <v>480</v>
      </c>
      <c r="AH202" s="1" t="s">
        <v>480</v>
      </c>
      <c r="AI202" s="1" t="s">
        <v>480</v>
      </c>
      <c r="AJ202" s="1" t="s">
        <v>480</v>
      </c>
      <c r="AK202" s="1" t="s">
        <v>480</v>
      </c>
      <c r="AL202" s="1" t="s">
        <v>480</v>
      </c>
      <c r="AM202" s="1" t="s">
        <v>480</v>
      </c>
      <c r="AN202" s="1" t="s">
        <v>480</v>
      </c>
      <c r="AO202" s="1" t="s">
        <v>480</v>
      </c>
      <c r="AP202" s="1" t="s">
        <v>480</v>
      </c>
      <c r="AQ202" s="1" t="s">
        <v>480</v>
      </c>
      <c r="AR202" s="1" t="s">
        <v>480</v>
      </c>
      <c r="AS202" s="1" t="s">
        <v>480</v>
      </c>
      <c r="AT202" s="1">
        <f t="shared" si="31"/>
        <v>3</v>
      </c>
    </row>
    <row r="203" spans="1:46" x14ac:dyDescent="0.25">
      <c r="A203" s="1">
        <f>COUNTIF('Value Matchup'!$D$356:$D$423,'Team History'!B203)</f>
        <v>0</v>
      </c>
      <c r="B203" t="s">
        <v>301</v>
      </c>
      <c r="C203" s="1">
        <f t="shared" si="24"/>
        <v>10</v>
      </c>
      <c r="D203" s="1">
        <f t="shared" si="25"/>
        <v>6</v>
      </c>
      <c r="E203" s="1">
        <f t="shared" si="26"/>
        <v>2</v>
      </c>
      <c r="F203" s="1">
        <f t="shared" si="27"/>
        <v>0</v>
      </c>
      <c r="G203" s="1">
        <f t="shared" si="28"/>
        <v>0</v>
      </c>
      <c r="H203" s="1">
        <f t="shared" si="29"/>
        <v>0</v>
      </c>
      <c r="I203" s="64">
        <f t="shared" si="30"/>
        <v>38</v>
      </c>
      <c r="K203" s="90" t="s">
        <v>480</v>
      </c>
      <c r="L203" s="1">
        <v>0</v>
      </c>
      <c r="M203" s="1" t="s">
        <v>480</v>
      </c>
      <c r="N203" s="1" t="s">
        <v>480</v>
      </c>
      <c r="O203" s="1">
        <v>2</v>
      </c>
      <c r="P203" s="1">
        <v>0</v>
      </c>
      <c r="Q203" s="1">
        <v>0</v>
      </c>
      <c r="R203" s="1">
        <v>2</v>
      </c>
      <c r="S203" s="1" t="s">
        <v>480</v>
      </c>
      <c r="T203" s="1" t="s">
        <v>480</v>
      </c>
      <c r="U203" s="1" t="s">
        <v>480</v>
      </c>
      <c r="V203" s="1" t="s">
        <v>480</v>
      </c>
      <c r="W203" s="1" t="s">
        <v>480</v>
      </c>
      <c r="X203" s="1">
        <v>1</v>
      </c>
      <c r="Y203" s="1">
        <v>2</v>
      </c>
      <c r="Z203" s="1">
        <v>1</v>
      </c>
      <c r="AA203" s="1">
        <v>0</v>
      </c>
      <c r="AB203" s="1">
        <v>1</v>
      </c>
      <c r="AC203" s="1" t="s">
        <v>480</v>
      </c>
      <c r="AD203" s="1" t="s">
        <v>480</v>
      </c>
      <c r="AE203" s="1" t="s">
        <v>480</v>
      </c>
      <c r="AF203" s="1" t="s">
        <v>480</v>
      </c>
      <c r="AG203" s="1" t="s">
        <v>480</v>
      </c>
      <c r="AH203" s="1" t="s">
        <v>480</v>
      </c>
      <c r="AI203" s="1" t="s">
        <v>480</v>
      </c>
      <c r="AJ203" s="1" t="s">
        <v>480</v>
      </c>
      <c r="AK203" s="1" t="s">
        <v>480</v>
      </c>
      <c r="AL203" s="1" t="s">
        <v>480</v>
      </c>
      <c r="AM203" s="1">
        <v>1</v>
      </c>
      <c r="AN203" s="1" t="s">
        <v>480</v>
      </c>
      <c r="AO203" s="1">
        <v>2</v>
      </c>
      <c r="AP203" s="1">
        <v>0</v>
      </c>
      <c r="AQ203" s="1">
        <v>0</v>
      </c>
      <c r="AR203" s="1">
        <v>3</v>
      </c>
      <c r="AS203" s="1">
        <v>3</v>
      </c>
      <c r="AT203" s="1">
        <f t="shared" si="31"/>
        <v>16</v>
      </c>
    </row>
    <row r="204" spans="1:46" x14ac:dyDescent="0.25">
      <c r="A204" s="1">
        <f>COUNTIF('Value Matchup'!$D$356:$D$423,'Team History'!B204)</f>
        <v>0</v>
      </c>
      <c r="B204" t="s">
        <v>302</v>
      </c>
      <c r="C204" s="1">
        <f t="shared" si="24"/>
        <v>0</v>
      </c>
      <c r="D204" s="1">
        <f t="shared" si="25"/>
        <v>0</v>
      </c>
      <c r="E204" s="1">
        <f t="shared" si="26"/>
        <v>0</v>
      </c>
      <c r="F204" s="1">
        <f t="shared" si="27"/>
        <v>0</v>
      </c>
      <c r="G204" s="1">
        <f t="shared" si="28"/>
        <v>0</v>
      </c>
      <c r="H204" s="1">
        <f t="shared" si="29"/>
        <v>0</v>
      </c>
      <c r="I204" s="64">
        <f t="shared" si="30"/>
        <v>1</v>
      </c>
      <c r="K204" s="90" t="s">
        <v>480</v>
      </c>
      <c r="L204" s="1" t="s">
        <v>480</v>
      </c>
      <c r="M204" s="1">
        <v>0</v>
      </c>
      <c r="N204" s="1" t="s">
        <v>480</v>
      </c>
      <c r="O204" s="1" t="s">
        <v>480</v>
      </c>
      <c r="P204" s="1" t="s">
        <v>480</v>
      </c>
      <c r="Q204" s="1" t="s">
        <v>480</v>
      </c>
      <c r="R204" s="1" t="s">
        <v>480</v>
      </c>
      <c r="S204" s="1" t="s">
        <v>480</v>
      </c>
      <c r="T204" s="1" t="s">
        <v>480</v>
      </c>
      <c r="U204" s="1" t="s">
        <v>480</v>
      </c>
      <c r="V204" s="1" t="s">
        <v>480</v>
      </c>
      <c r="W204" s="1" t="s">
        <v>480</v>
      </c>
      <c r="X204" s="1" t="s">
        <v>480</v>
      </c>
      <c r="Y204" s="1" t="s">
        <v>480</v>
      </c>
      <c r="Z204" s="1" t="s">
        <v>480</v>
      </c>
      <c r="AA204" s="1" t="s">
        <v>480</v>
      </c>
      <c r="AB204" s="1" t="s">
        <v>480</v>
      </c>
      <c r="AC204" s="1" t="s">
        <v>480</v>
      </c>
      <c r="AD204" s="1" t="s">
        <v>480</v>
      </c>
      <c r="AE204" s="1" t="s">
        <v>480</v>
      </c>
      <c r="AF204" s="1" t="s">
        <v>480</v>
      </c>
      <c r="AG204" s="1" t="s">
        <v>480</v>
      </c>
      <c r="AH204" s="1" t="s">
        <v>480</v>
      </c>
      <c r="AI204" s="1" t="s">
        <v>480</v>
      </c>
      <c r="AJ204" s="1" t="s">
        <v>480</v>
      </c>
      <c r="AK204" s="1" t="s">
        <v>480</v>
      </c>
      <c r="AL204" s="1" t="s">
        <v>480</v>
      </c>
      <c r="AM204" s="1" t="s">
        <v>480</v>
      </c>
      <c r="AN204" s="1" t="s">
        <v>480</v>
      </c>
      <c r="AO204" s="1" t="s">
        <v>480</v>
      </c>
      <c r="AP204" s="1" t="s">
        <v>480</v>
      </c>
      <c r="AQ204" s="1" t="s">
        <v>480</v>
      </c>
      <c r="AR204" s="1" t="s">
        <v>480</v>
      </c>
      <c r="AS204" s="1" t="s">
        <v>480</v>
      </c>
      <c r="AT204" s="1">
        <f t="shared" si="31"/>
        <v>1</v>
      </c>
    </row>
    <row r="205" spans="1:46" x14ac:dyDescent="0.25">
      <c r="A205" s="1">
        <f>COUNTIF('Value Matchup'!$D$356:$D$423,'Team History'!B205)</f>
        <v>0</v>
      </c>
      <c r="B205" t="s">
        <v>303</v>
      </c>
      <c r="C205" s="1">
        <f t="shared" si="24"/>
        <v>1</v>
      </c>
      <c r="D205" s="1">
        <f t="shared" si="25"/>
        <v>0</v>
      </c>
      <c r="E205" s="1">
        <f t="shared" si="26"/>
        <v>0</v>
      </c>
      <c r="F205" s="1">
        <f t="shared" si="27"/>
        <v>0</v>
      </c>
      <c r="G205" s="1">
        <f t="shared" si="28"/>
        <v>0</v>
      </c>
      <c r="H205" s="1">
        <f t="shared" si="29"/>
        <v>0</v>
      </c>
      <c r="I205" s="64">
        <f t="shared" si="30"/>
        <v>6</v>
      </c>
      <c r="K205" s="90">
        <v>0</v>
      </c>
      <c r="L205" s="1" t="s">
        <v>480</v>
      </c>
      <c r="M205" s="1" t="s">
        <v>480</v>
      </c>
      <c r="N205" s="1" t="s">
        <v>480</v>
      </c>
      <c r="O205" s="1">
        <v>0</v>
      </c>
      <c r="P205" s="1">
        <v>1</v>
      </c>
      <c r="Q205" s="1" t="s">
        <v>480</v>
      </c>
      <c r="R205" s="1" t="s">
        <v>480</v>
      </c>
      <c r="S205" s="1" t="s">
        <v>480</v>
      </c>
      <c r="T205" s="1" t="s">
        <v>480</v>
      </c>
      <c r="U205" s="1">
        <v>0</v>
      </c>
      <c r="V205" s="1" t="s">
        <v>480</v>
      </c>
      <c r="W205" s="1" t="s">
        <v>480</v>
      </c>
      <c r="X205" s="1" t="s">
        <v>480</v>
      </c>
      <c r="Y205" s="1" t="s">
        <v>480</v>
      </c>
      <c r="Z205" s="1" t="s">
        <v>480</v>
      </c>
      <c r="AA205" s="1" t="s">
        <v>480</v>
      </c>
      <c r="AB205" s="1" t="s">
        <v>480</v>
      </c>
      <c r="AC205" s="1" t="s">
        <v>480</v>
      </c>
      <c r="AD205" s="1" t="s">
        <v>480</v>
      </c>
      <c r="AE205" s="1" t="s">
        <v>480</v>
      </c>
      <c r="AF205" s="1" t="s">
        <v>480</v>
      </c>
      <c r="AG205" s="1" t="s">
        <v>480</v>
      </c>
      <c r="AH205" s="1" t="s">
        <v>480</v>
      </c>
      <c r="AI205" s="1" t="s">
        <v>480</v>
      </c>
      <c r="AJ205" s="1" t="s">
        <v>480</v>
      </c>
      <c r="AK205" s="1" t="s">
        <v>480</v>
      </c>
      <c r="AL205" s="1" t="s">
        <v>480</v>
      </c>
      <c r="AM205" s="1" t="s">
        <v>480</v>
      </c>
      <c r="AN205" s="1" t="s">
        <v>480</v>
      </c>
      <c r="AO205" s="1" t="s">
        <v>480</v>
      </c>
      <c r="AP205" s="1" t="s">
        <v>480</v>
      </c>
      <c r="AQ205" s="1" t="s">
        <v>480</v>
      </c>
      <c r="AR205" s="1" t="s">
        <v>480</v>
      </c>
      <c r="AS205" s="1" t="s">
        <v>480</v>
      </c>
      <c r="AT205" s="1">
        <f t="shared" si="31"/>
        <v>4</v>
      </c>
    </row>
    <row r="206" spans="1:46" x14ac:dyDescent="0.25">
      <c r="A206" s="1">
        <f>COUNTIF('Value Matchup'!$D$356:$D$423,'Team History'!B206)</f>
        <v>0</v>
      </c>
      <c r="B206" t="s">
        <v>304</v>
      </c>
      <c r="C206" s="1">
        <f t="shared" si="24"/>
        <v>0</v>
      </c>
      <c r="D206" s="1">
        <f t="shared" si="25"/>
        <v>0</v>
      </c>
      <c r="E206" s="1">
        <f t="shared" si="26"/>
        <v>0</v>
      </c>
      <c r="F206" s="1">
        <f t="shared" si="27"/>
        <v>0</v>
      </c>
      <c r="G206" s="1">
        <f t="shared" si="28"/>
        <v>0</v>
      </c>
      <c r="H206" s="1">
        <f t="shared" si="29"/>
        <v>0</v>
      </c>
      <c r="I206" s="64">
        <f t="shared" si="30"/>
        <v>1</v>
      </c>
      <c r="K206" s="90" t="s">
        <v>480</v>
      </c>
      <c r="L206" s="1" t="s">
        <v>480</v>
      </c>
      <c r="M206" s="1" t="s">
        <v>480</v>
      </c>
      <c r="N206" s="1" t="s">
        <v>480</v>
      </c>
      <c r="O206" s="1">
        <v>0</v>
      </c>
      <c r="P206" s="1" t="s">
        <v>480</v>
      </c>
      <c r="Q206" s="1" t="s">
        <v>480</v>
      </c>
      <c r="R206" s="1" t="s">
        <v>480</v>
      </c>
      <c r="S206" s="1" t="s">
        <v>480</v>
      </c>
      <c r="T206" s="1" t="s">
        <v>480</v>
      </c>
      <c r="U206" s="1" t="s">
        <v>480</v>
      </c>
      <c r="V206" s="1" t="s">
        <v>480</v>
      </c>
      <c r="W206" s="1" t="s">
        <v>480</v>
      </c>
      <c r="X206" s="1" t="s">
        <v>480</v>
      </c>
      <c r="Y206" s="1" t="s">
        <v>480</v>
      </c>
      <c r="Z206" s="1" t="s">
        <v>480</v>
      </c>
      <c r="AA206" s="1" t="s">
        <v>480</v>
      </c>
      <c r="AB206" s="1" t="s">
        <v>480</v>
      </c>
      <c r="AC206" s="1" t="s">
        <v>480</v>
      </c>
      <c r="AD206" s="1" t="s">
        <v>480</v>
      </c>
      <c r="AE206" s="1" t="s">
        <v>480</v>
      </c>
      <c r="AF206" s="1" t="s">
        <v>480</v>
      </c>
      <c r="AG206" s="1" t="s">
        <v>480</v>
      </c>
      <c r="AH206" s="1" t="s">
        <v>480</v>
      </c>
      <c r="AI206" s="1" t="s">
        <v>480</v>
      </c>
      <c r="AJ206" s="1" t="s">
        <v>480</v>
      </c>
      <c r="AK206" s="1" t="s">
        <v>480</v>
      </c>
      <c r="AL206" s="1" t="s">
        <v>480</v>
      </c>
      <c r="AM206" s="1" t="s">
        <v>480</v>
      </c>
      <c r="AN206" s="1" t="s">
        <v>480</v>
      </c>
      <c r="AO206" s="1" t="s">
        <v>480</v>
      </c>
      <c r="AP206" s="1" t="s">
        <v>480</v>
      </c>
      <c r="AQ206" s="1" t="s">
        <v>480</v>
      </c>
      <c r="AR206" s="1" t="s">
        <v>480</v>
      </c>
      <c r="AS206" s="1" t="s">
        <v>480</v>
      </c>
      <c r="AT206" s="1">
        <f t="shared" si="31"/>
        <v>1</v>
      </c>
    </row>
    <row r="207" spans="1:46" x14ac:dyDescent="0.25">
      <c r="A207" s="1">
        <f>COUNTIF('Value Matchup'!$D$356:$D$423,'Team History'!B207)</f>
        <v>1</v>
      </c>
      <c r="B207" t="s">
        <v>305</v>
      </c>
      <c r="C207" s="1">
        <f t="shared" si="24"/>
        <v>0</v>
      </c>
      <c r="D207" s="1">
        <f t="shared" si="25"/>
        <v>0</v>
      </c>
      <c r="E207" s="1">
        <f t="shared" si="26"/>
        <v>0</v>
      </c>
      <c r="F207" s="1">
        <f t="shared" si="27"/>
        <v>0</v>
      </c>
      <c r="G207" s="1">
        <f t="shared" si="28"/>
        <v>0</v>
      </c>
      <c r="H207" s="1">
        <f t="shared" si="29"/>
        <v>0</v>
      </c>
      <c r="I207" s="64">
        <f t="shared" si="30"/>
        <v>3</v>
      </c>
      <c r="K207" s="90" t="s">
        <v>480</v>
      </c>
      <c r="L207" s="1" t="s">
        <v>480</v>
      </c>
      <c r="M207" s="1" t="s">
        <v>480</v>
      </c>
      <c r="N207" s="1" t="s">
        <v>480</v>
      </c>
      <c r="O207" s="1" t="s">
        <v>480</v>
      </c>
      <c r="P207" s="1" t="s">
        <v>480</v>
      </c>
      <c r="Q207" s="1" t="s">
        <v>480</v>
      </c>
      <c r="R207" s="1" t="s">
        <v>480</v>
      </c>
      <c r="S207" s="1" t="s">
        <v>480</v>
      </c>
      <c r="T207" s="1">
        <v>0</v>
      </c>
      <c r="U207" s="1" t="s">
        <v>480</v>
      </c>
      <c r="V207" s="1" t="s">
        <v>480</v>
      </c>
      <c r="W207" s="1">
        <v>0</v>
      </c>
      <c r="X207" s="1" t="s">
        <v>480</v>
      </c>
      <c r="Y207" s="1" t="s">
        <v>480</v>
      </c>
      <c r="Z207" s="1" t="s">
        <v>480</v>
      </c>
      <c r="AA207" s="1" t="s">
        <v>480</v>
      </c>
      <c r="AB207" s="1" t="s">
        <v>480</v>
      </c>
      <c r="AC207" s="1" t="s">
        <v>480</v>
      </c>
      <c r="AD207" s="1" t="s">
        <v>480</v>
      </c>
      <c r="AE207" s="1" t="s">
        <v>480</v>
      </c>
      <c r="AF207" s="1" t="s">
        <v>480</v>
      </c>
      <c r="AG207" s="1" t="s">
        <v>480</v>
      </c>
      <c r="AH207" s="1" t="s">
        <v>480</v>
      </c>
      <c r="AI207" s="1" t="s">
        <v>480</v>
      </c>
      <c r="AJ207" s="1" t="s">
        <v>480</v>
      </c>
      <c r="AK207" s="1" t="s">
        <v>480</v>
      </c>
      <c r="AL207" s="1" t="s">
        <v>480</v>
      </c>
      <c r="AM207" s="1" t="s">
        <v>480</v>
      </c>
      <c r="AN207" s="1" t="s">
        <v>480</v>
      </c>
      <c r="AO207" s="1" t="s">
        <v>480</v>
      </c>
      <c r="AP207" s="1">
        <v>0</v>
      </c>
      <c r="AQ207" s="1" t="s">
        <v>480</v>
      </c>
      <c r="AR207" s="1" t="s">
        <v>480</v>
      </c>
      <c r="AS207" s="1" t="s">
        <v>480</v>
      </c>
      <c r="AT207" s="1">
        <f t="shared" si="31"/>
        <v>3</v>
      </c>
    </row>
    <row r="208" spans="1:46" x14ac:dyDescent="0.25">
      <c r="A208" s="1">
        <f>COUNTIF('Value Matchup'!$D$356:$D$423,'Team History'!B208)</f>
        <v>0</v>
      </c>
      <c r="B208" t="s">
        <v>306</v>
      </c>
      <c r="C208" s="1">
        <f t="shared" si="24"/>
        <v>0</v>
      </c>
      <c r="D208" s="1">
        <f t="shared" si="25"/>
        <v>0</v>
      </c>
      <c r="E208" s="1">
        <f t="shared" si="26"/>
        <v>0</v>
      </c>
      <c r="F208" s="1">
        <f t="shared" si="27"/>
        <v>0</v>
      </c>
      <c r="G208" s="1">
        <f t="shared" si="28"/>
        <v>0</v>
      </c>
      <c r="H208" s="1">
        <f t="shared" si="29"/>
        <v>0</v>
      </c>
      <c r="I208" s="64">
        <f t="shared" si="30"/>
        <v>6</v>
      </c>
      <c r="K208" s="90">
        <v>0</v>
      </c>
      <c r="L208" s="1" t="s">
        <v>480</v>
      </c>
      <c r="M208" s="1" t="s">
        <v>480</v>
      </c>
      <c r="N208" s="1" t="s">
        <v>480</v>
      </c>
      <c r="O208" s="1">
        <v>0</v>
      </c>
      <c r="P208" s="1" t="s">
        <v>480</v>
      </c>
      <c r="Q208" s="1" t="s">
        <v>480</v>
      </c>
      <c r="R208" s="1" t="s">
        <v>480</v>
      </c>
      <c r="S208" s="1" t="s">
        <v>480</v>
      </c>
      <c r="T208" s="1" t="s">
        <v>480</v>
      </c>
      <c r="U208" s="1" t="s">
        <v>480</v>
      </c>
      <c r="V208" s="1" t="s">
        <v>480</v>
      </c>
      <c r="W208" s="1" t="s">
        <v>480</v>
      </c>
      <c r="X208" s="1" t="s">
        <v>480</v>
      </c>
      <c r="Y208" s="1" t="s">
        <v>480</v>
      </c>
      <c r="Z208" s="1" t="s">
        <v>480</v>
      </c>
      <c r="AA208" s="1" t="s">
        <v>480</v>
      </c>
      <c r="AB208" s="1" t="s">
        <v>480</v>
      </c>
      <c r="AC208" s="1" t="s">
        <v>480</v>
      </c>
      <c r="AD208" s="1" t="s">
        <v>480</v>
      </c>
      <c r="AE208" s="1" t="s">
        <v>480</v>
      </c>
      <c r="AF208" s="1" t="s">
        <v>480</v>
      </c>
      <c r="AG208" s="1" t="s">
        <v>480</v>
      </c>
      <c r="AH208" s="1" t="s">
        <v>480</v>
      </c>
      <c r="AI208" s="1" t="s">
        <v>480</v>
      </c>
      <c r="AJ208" s="1" t="s">
        <v>480</v>
      </c>
      <c r="AK208" s="1" t="s">
        <v>480</v>
      </c>
      <c r="AL208" s="1" t="s">
        <v>480</v>
      </c>
      <c r="AM208" s="1">
        <v>0</v>
      </c>
      <c r="AN208" s="1" t="s">
        <v>480</v>
      </c>
      <c r="AO208" s="1" t="s">
        <v>480</v>
      </c>
      <c r="AP208" s="1" t="s">
        <v>480</v>
      </c>
      <c r="AQ208" s="1">
        <v>0</v>
      </c>
      <c r="AR208" s="1">
        <v>0</v>
      </c>
      <c r="AS208" s="1">
        <v>0</v>
      </c>
      <c r="AT208" s="1">
        <f t="shared" si="31"/>
        <v>6</v>
      </c>
    </row>
    <row r="209" spans="1:46" x14ac:dyDescent="0.25">
      <c r="A209" s="1">
        <f>COUNTIF('Value Matchup'!$D$356:$D$423,'Team History'!B209)</f>
        <v>0</v>
      </c>
      <c r="B209" t="s">
        <v>307</v>
      </c>
      <c r="C209" s="1">
        <f t="shared" si="24"/>
        <v>0</v>
      </c>
      <c r="D209" s="1">
        <f t="shared" si="25"/>
        <v>0</v>
      </c>
      <c r="E209" s="1">
        <f t="shared" si="26"/>
        <v>0</v>
      </c>
      <c r="F209" s="1">
        <f t="shared" si="27"/>
        <v>0</v>
      </c>
      <c r="G209" s="1">
        <f t="shared" si="28"/>
        <v>0</v>
      </c>
      <c r="H209" s="1">
        <f t="shared" si="29"/>
        <v>0</v>
      </c>
      <c r="I209" s="64">
        <f t="shared" si="30"/>
        <v>2</v>
      </c>
      <c r="K209" s="90" t="s">
        <v>480</v>
      </c>
      <c r="L209" s="1" t="s">
        <v>480</v>
      </c>
      <c r="M209" s="1" t="s">
        <v>480</v>
      </c>
      <c r="N209" s="1" t="s">
        <v>480</v>
      </c>
      <c r="O209" s="1" t="s">
        <v>480</v>
      </c>
      <c r="P209" s="1" t="s">
        <v>480</v>
      </c>
      <c r="Q209" s="1" t="s">
        <v>480</v>
      </c>
      <c r="R209" s="1" t="s">
        <v>480</v>
      </c>
      <c r="S209" s="1" t="s">
        <v>480</v>
      </c>
      <c r="T209" s="1" t="s">
        <v>480</v>
      </c>
      <c r="U209" s="1" t="s">
        <v>480</v>
      </c>
      <c r="V209" s="1" t="s">
        <v>480</v>
      </c>
      <c r="W209" s="1" t="s">
        <v>480</v>
      </c>
      <c r="X209" s="1" t="s">
        <v>480</v>
      </c>
      <c r="Y209" s="1" t="s">
        <v>480</v>
      </c>
      <c r="Z209" s="1" t="s">
        <v>480</v>
      </c>
      <c r="AA209" s="1" t="s">
        <v>480</v>
      </c>
      <c r="AB209" s="1" t="s">
        <v>480</v>
      </c>
      <c r="AC209" s="1" t="s">
        <v>480</v>
      </c>
      <c r="AD209" s="1">
        <v>0</v>
      </c>
      <c r="AE209" s="1" t="s">
        <v>480</v>
      </c>
      <c r="AF209" s="1">
        <v>0</v>
      </c>
      <c r="AG209" s="1" t="s">
        <v>480</v>
      </c>
      <c r="AH209" s="1" t="s">
        <v>480</v>
      </c>
      <c r="AI209" s="1" t="s">
        <v>480</v>
      </c>
      <c r="AJ209" s="1" t="s">
        <v>480</v>
      </c>
      <c r="AK209" s="1" t="s">
        <v>480</v>
      </c>
      <c r="AL209" s="1" t="s">
        <v>480</v>
      </c>
      <c r="AM209" s="1" t="s">
        <v>480</v>
      </c>
      <c r="AN209" s="1" t="s">
        <v>480</v>
      </c>
      <c r="AO209" s="1" t="s">
        <v>480</v>
      </c>
      <c r="AP209" s="1" t="s">
        <v>480</v>
      </c>
      <c r="AQ209" s="1" t="s">
        <v>480</v>
      </c>
      <c r="AR209" s="1" t="s">
        <v>480</v>
      </c>
      <c r="AS209" s="1" t="s">
        <v>480</v>
      </c>
      <c r="AT209" s="1">
        <f t="shared" si="31"/>
        <v>2</v>
      </c>
    </row>
    <row r="210" spans="1:46" x14ac:dyDescent="0.25">
      <c r="A210" s="1">
        <f>COUNTIF('Value Matchup'!$D$356:$D$423,'Team History'!B210)</f>
        <v>0</v>
      </c>
      <c r="B210" t="s">
        <v>308</v>
      </c>
      <c r="C210" s="1">
        <f t="shared" si="24"/>
        <v>0</v>
      </c>
      <c r="D210" s="1">
        <f t="shared" si="25"/>
        <v>0</v>
      </c>
      <c r="E210" s="1">
        <f t="shared" si="26"/>
        <v>0</v>
      </c>
      <c r="F210" s="1">
        <f t="shared" si="27"/>
        <v>0</v>
      </c>
      <c r="G210" s="1">
        <f t="shared" si="28"/>
        <v>0</v>
      </c>
      <c r="H210" s="1">
        <f t="shared" si="29"/>
        <v>0</v>
      </c>
      <c r="I210" s="64">
        <f t="shared" si="30"/>
        <v>1</v>
      </c>
      <c r="K210" s="90" t="s">
        <v>480</v>
      </c>
      <c r="L210" s="1" t="s">
        <v>480</v>
      </c>
      <c r="M210" s="1" t="s">
        <v>480</v>
      </c>
      <c r="N210" s="1" t="s">
        <v>480</v>
      </c>
      <c r="O210" s="1" t="s">
        <v>480</v>
      </c>
      <c r="P210" s="1" t="s">
        <v>480</v>
      </c>
      <c r="Q210" s="1" t="s">
        <v>480</v>
      </c>
      <c r="R210" s="1" t="s">
        <v>480</v>
      </c>
      <c r="S210" s="1">
        <v>0</v>
      </c>
      <c r="T210" s="1" t="s">
        <v>480</v>
      </c>
      <c r="U210" s="1" t="s">
        <v>480</v>
      </c>
      <c r="V210" s="1" t="s">
        <v>480</v>
      </c>
      <c r="W210" s="1" t="s">
        <v>480</v>
      </c>
      <c r="X210" s="1" t="s">
        <v>480</v>
      </c>
      <c r="Y210" s="1" t="s">
        <v>480</v>
      </c>
      <c r="Z210" s="1" t="s">
        <v>480</v>
      </c>
      <c r="AA210" s="1" t="s">
        <v>480</v>
      </c>
      <c r="AB210" s="1" t="s">
        <v>480</v>
      </c>
      <c r="AC210" s="1" t="s">
        <v>480</v>
      </c>
      <c r="AD210" s="1" t="s">
        <v>480</v>
      </c>
      <c r="AE210" s="1" t="s">
        <v>480</v>
      </c>
      <c r="AF210" s="1" t="s">
        <v>480</v>
      </c>
      <c r="AG210" s="1" t="s">
        <v>480</v>
      </c>
      <c r="AH210" s="1" t="s">
        <v>480</v>
      </c>
      <c r="AI210" s="1" t="s">
        <v>480</v>
      </c>
      <c r="AJ210" s="1" t="s">
        <v>480</v>
      </c>
      <c r="AK210" s="1" t="s">
        <v>480</v>
      </c>
      <c r="AL210" s="1" t="s">
        <v>480</v>
      </c>
      <c r="AM210" s="1" t="s">
        <v>480</v>
      </c>
      <c r="AN210" s="1" t="s">
        <v>480</v>
      </c>
      <c r="AO210" s="1" t="s">
        <v>480</v>
      </c>
      <c r="AP210" s="1" t="s">
        <v>480</v>
      </c>
      <c r="AQ210" s="1" t="s">
        <v>480</v>
      </c>
      <c r="AR210" s="1" t="s">
        <v>480</v>
      </c>
      <c r="AS210" s="1" t="s">
        <v>480</v>
      </c>
      <c r="AT210" s="1">
        <f t="shared" si="31"/>
        <v>1</v>
      </c>
    </row>
    <row r="211" spans="1:46" x14ac:dyDescent="0.25">
      <c r="A211" s="1">
        <f>COUNTIF('Value Matchup'!$D$356:$D$423,'Team History'!B211)</f>
        <v>0</v>
      </c>
      <c r="B211" t="s">
        <v>309</v>
      </c>
      <c r="C211" s="1">
        <f t="shared" si="24"/>
        <v>0</v>
      </c>
      <c r="D211" s="1">
        <f t="shared" si="25"/>
        <v>0</v>
      </c>
      <c r="E211" s="1">
        <f t="shared" si="26"/>
        <v>0</v>
      </c>
      <c r="F211" s="1">
        <f t="shared" si="27"/>
        <v>0</v>
      </c>
      <c r="G211" s="1">
        <f t="shared" si="28"/>
        <v>0</v>
      </c>
      <c r="H211" s="1">
        <f t="shared" si="29"/>
        <v>0</v>
      </c>
      <c r="I211" s="64">
        <f t="shared" si="30"/>
        <v>2</v>
      </c>
      <c r="K211" s="90" t="s">
        <v>480</v>
      </c>
      <c r="L211" s="1" t="s">
        <v>480</v>
      </c>
      <c r="M211" s="1" t="s">
        <v>480</v>
      </c>
      <c r="N211" s="1" t="s">
        <v>480</v>
      </c>
      <c r="O211" s="1" t="s">
        <v>480</v>
      </c>
      <c r="P211" s="1" t="s">
        <v>480</v>
      </c>
      <c r="Q211" s="1" t="s">
        <v>480</v>
      </c>
      <c r="R211" s="1" t="s">
        <v>480</v>
      </c>
      <c r="S211" s="1" t="s">
        <v>480</v>
      </c>
      <c r="T211" s="1" t="s">
        <v>480</v>
      </c>
      <c r="U211" s="1" t="s">
        <v>480</v>
      </c>
      <c r="V211" s="1" t="s">
        <v>480</v>
      </c>
      <c r="W211" s="1" t="s">
        <v>480</v>
      </c>
      <c r="X211" s="1" t="s">
        <v>480</v>
      </c>
      <c r="Y211" s="1" t="s">
        <v>480</v>
      </c>
      <c r="Z211" s="1" t="s">
        <v>480</v>
      </c>
      <c r="AA211" s="1" t="s">
        <v>480</v>
      </c>
      <c r="AB211" s="1" t="s">
        <v>480</v>
      </c>
      <c r="AC211" s="1" t="s">
        <v>480</v>
      </c>
      <c r="AD211" s="1" t="s">
        <v>480</v>
      </c>
      <c r="AE211" s="1" t="s">
        <v>480</v>
      </c>
      <c r="AF211" s="1" t="s">
        <v>480</v>
      </c>
      <c r="AG211" s="1" t="s">
        <v>480</v>
      </c>
      <c r="AH211" s="1">
        <v>0</v>
      </c>
      <c r="AI211" s="1" t="s">
        <v>480</v>
      </c>
      <c r="AJ211" s="1" t="s">
        <v>480</v>
      </c>
      <c r="AK211" s="1" t="s">
        <v>480</v>
      </c>
      <c r="AL211" s="1" t="s">
        <v>480</v>
      </c>
      <c r="AM211" s="1">
        <v>0</v>
      </c>
      <c r="AN211" s="1" t="s">
        <v>480</v>
      </c>
      <c r="AO211" s="1" t="s">
        <v>480</v>
      </c>
      <c r="AP211" s="1" t="s">
        <v>480</v>
      </c>
      <c r="AQ211" s="1" t="s">
        <v>480</v>
      </c>
      <c r="AR211" s="1" t="s">
        <v>480</v>
      </c>
      <c r="AS211" s="1" t="s">
        <v>480</v>
      </c>
      <c r="AT211" s="1">
        <f t="shared" si="31"/>
        <v>2</v>
      </c>
    </row>
    <row r="212" spans="1:46" x14ac:dyDescent="0.25">
      <c r="A212" s="1">
        <f>COUNTIF('Value Matchup'!$D$356:$D$423,'Team History'!B212)</f>
        <v>0</v>
      </c>
      <c r="B212" t="s">
        <v>310</v>
      </c>
      <c r="C212" s="1">
        <f t="shared" si="24"/>
        <v>4</v>
      </c>
      <c r="D212" s="1">
        <f t="shared" si="25"/>
        <v>1</v>
      </c>
      <c r="E212" s="1">
        <f t="shared" si="26"/>
        <v>0</v>
      </c>
      <c r="F212" s="1">
        <f t="shared" si="27"/>
        <v>0</v>
      </c>
      <c r="G212" s="1">
        <f t="shared" si="28"/>
        <v>0</v>
      </c>
      <c r="H212" s="1">
        <f t="shared" si="29"/>
        <v>0</v>
      </c>
      <c r="I212" s="64">
        <f t="shared" si="30"/>
        <v>17</v>
      </c>
      <c r="K212" s="90" t="s">
        <v>480</v>
      </c>
      <c r="L212" s="1" t="s">
        <v>480</v>
      </c>
      <c r="M212" s="1" t="s">
        <v>480</v>
      </c>
      <c r="N212" s="1">
        <v>1</v>
      </c>
      <c r="O212" s="1">
        <v>1</v>
      </c>
      <c r="P212" s="1" t="s">
        <v>480</v>
      </c>
      <c r="Q212" s="1" t="s">
        <v>480</v>
      </c>
      <c r="R212" s="1" t="s">
        <v>480</v>
      </c>
      <c r="S212" s="1" t="s">
        <v>480</v>
      </c>
      <c r="T212" s="1">
        <v>2</v>
      </c>
      <c r="U212" s="1">
        <v>0</v>
      </c>
      <c r="V212" s="1" t="s">
        <v>480</v>
      </c>
      <c r="W212" s="1" t="s">
        <v>480</v>
      </c>
      <c r="X212" s="1">
        <v>0</v>
      </c>
      <c r="Y212" s="1">
        <v>0</v>
      </c>
      <c r="Z212" s="1">
        <v>0</v>
      </c>
      <c r="AA212" s="1" t="s">
        <v>480</v>
      </c>
      <c r="AB212" s="1" t="s">
        <v>480</v>
      </c>
      <c r="AC212" s="1" t="s">
        <v>480</v>
      </c>
      <c r="AD212" s="1" t="s">
        <v>480</v>
      </c>
      <c r="AE212" s="1" t="s">
        <v>480</v>
      </c>
      <c r="AF212" s="1" t="s">
        <v>480</v>
      </c>
      <c r="AG212" s="1" t="s">
        <v>480</v>
      </c>
      <c r="AH212" s="1" t="s">
        <v>480</v>
      </c>
      <c r="AI212" s="1" t="s">
        <v>480</v>
      </c>
      <c r="AJ212" s="1" t="s">
        <v>480</v>
      </c>
      <c r="AK212" s="1" t="s">
        <v>480</v>
      </c>
      <c r="AL212" s="1" t="s">
        <v>480</v>
      </c>
      <c r="AM212" s="1" t="s">
        <v>480</v>
      </c>
      <c r="AN212" s="1">
        <v>1</v>
      </c>
      <c r="AO212" s="1" t="s">
        <v>480</v>
      </c>
      <c r="AP212" s="1" t="s">
        <v>480</v>
      </c>
      <c r="AQ212" s="1" t="s">
        <v>480</v>
      </c>
      <c r="AR212" s="1" t="s">
        <v>480</v>
      </c>
      <c r="AS212" s="1" t="s">
        <v>480</v>
      </c>
      <c r="AT212" s="1">
        <f t="shared" si="31"/>
        <v>8</v>
      </c>
    </row>
    <row r="213" spans="1:46" x14ac:dyDescent="0.25">
      <c r="A213" s="1">
        <f>COUNTIF('Value Matchup'!$D$356:$D$423,'Team History'!B213)</f>
        <v>0</v>
      </c>
      <c r="B213" t="s">
        <v>311</v>
      </c>
      <c r="C213" s="1">
        <f t="shared" si="24"/>
        <v>0</v>
      </c>
      <c r="D213" s="1">
        <f t="shared" si="25"/>
        <v>0</v>
      </c>
      <c r="E213" s="1">
        <f t="shared" si="26"/>
        <v>0</v>
      </c>
      <c r="F213" s="1">
        <f t="shared" si="27"/>
        <v>0</v>
      </c>
      <c r="G213" s="1">
        <f t="shared" si="28"/>
        <v>0</v>
      </c>
      <c r="H213" s="1">
        <f t="shared" si="29"/>
        <v>0</v>
      </c>
      <c r="I213" s="64">
        <f t="shared" si="30"/>
        <v>2</v>
      </c>
      <c r="K213" s="90">
        <v>0</v>
      </c>
      <c r="L213" s="1" t="s">
        <v>480</v>
      </c>
      <c r="M213" s="1">
        <v>0</v>
      </c>
      <c r="N213" s="1" t="s">
        <v>480</v>
      </c>
      <c r="O213" s="1" t="s">
        <v>480</v>
      </c>
      <c r="P213" s="1" t="s">
        <v>480</v>
      </c>
      <c r="Q213" s="1" t="s">
        <v>480</v>
      </c>
      <c r="R213" s="1" t="s">
        <v>480</v>
      </c>
      <c r="S213" s="1" t="s">
        <v>480</v>
      </c>
      <c r="T213" s="1" t="s">
        <v>480</v>
      </c>
      <c r="U213" s="1" t="s">
        <v>480</v>
      </c>
      <c r="V213" s="1" t="s">
        <v>480</v>
      </c>
      <c r="W213" s="1" t="s">
        <v>480</v>
      </c>
      <c r="X213" s="1" t="s">
        <v>480</v>
      </c>
      <c r="Y213" s="1" t="s">
        <v>480</v>
      </c>
      <c r="Z213" s="1" t="s">
        <v>480</v>
      </c>
      <c r="AA213" s="1" t="s">
        <v>480</v>
      </c>
      <c r="AB213" s="1" t="s">
        <v>480</v>
      </c>
      <c r="AC213" s="1" t="s">
        <v>480</v>
      </c>
      <c r="AD213" s="1" t="s">
        <v>480</v>
      </c>
      <c r="AE213" s="1" t="s">
        <v>480</v>
      </c>
      <c r="AF213" s="1" t="s">
        <v>480</v>
      </c>
      <c r="AG213" s="1" t="s">
        <v>480</v>
      </c>
      <c r="AH213" s="1" t="s">
        <v>480</v>
      </c>
      <c r="AI213" s="1" t="s">
        <v>480</v>
      </c>
      <c r="AJ213" s="1" t="s">
        <v>480</v>
      </c>
      <c r="AK213" s="1" t="s">
        <v>480</v>
      </c>
      <c r="AL213" s="1" t="s">
        <v>480</v>
      </c>
      <c r="AM213" s="1" t="s">
        <v>480</v>
      </c>
      <c r="AN213" s="1" t="s">
        <v>480</v>
      </c>
      <c r="AO213" s="1" t="s">
        <v>480</v>
      </c>
      <c r="AP213" s="1" t="s">
        <v>480</v>
      </c>
      <c r="AQ213" s="1" t="s">
        <v>480</v>
      </c>
      <c r="AR213" s="1" t="s">
        <v>480</v>
      </c>
      <c r="AS213" s="1" t="s">
        <v>480</v>
      </c>
      <c r="AT213" s="1">
        <f t="shared" si="31"/>
        <v>2</v>
      </c>
    </row>
    <row r="214" spans="1:46" x14ac:dyDescent="0.25">
      <c r="A214" s="1">
        <f>COUNTIF('Value Matchup'!$D$356:$D$423,'Team History'!B214)</f>
        <v>0</v>
      </c>
      <c r="B214" t="s">
        <v>97</v>
      </c>
      <c r="C214" s="1">
        <f t="shared" si="24"/>
        <v>1</v>
      </c>
      <c r="D214" s="1">
        <f t="shared" si="25"/>
        <v>0</v>
      </c>
      <c r="E214" s="1">
        <f t="shared" si="26"/>
        <v>0</v>
      </c>
      <c r="F214" s="1">
        <f t="shared" si="27"/>
        <v>0</v>
      </c>
      <c r="G214" s="1">
        <f t="shared" si="28"/>
        <v>0</v>
      </c>
      <c r="H214" s="1">
        <f t="shared" si="29"/>
        <v>0</v>
      </c>
      <c r="I214" s="64">
        <f t="shared" si="30"/>
        <v>3</v>
      </c>
      <c r="K214" s="90" t="s">
        <v>480</v>
      </c>
      <c r="L214" s="1" t="s">
        <v>480</v>
      </c>
      <c r="M214" s="1">
        <v>1</v>
      </c>
      <c r="N214" s="1" t="s">
        <v>480</v>
      </c>
      <c r="O214" s="1" t="s">
        <v>480</v>
      </c>
      <c r="P214" s="1" t="s">
        <v>480</v>
      </c>
      <c r="Q214" s="1" t="s">
        <v>480</v>
      </c>
      <c r="R214" s="1" t="s">
        <v>480</v>
      </c>
      <c r="S214" s="1" t="s">
        <v>480</v>
      </c>
      <c r="T214" s="1" t="s">
        <v>480</v>
      </c>
      <c r="U214" s="1" t="s">
        <v>480</v>
      </c>
      <c r="V214" s="1" t="s">
        <v>480</v>
      </c>
      <c r="W214" s="1" t="s">
        <v>480</v>
      </c>
      <c r="X214" s="1" t="s">
        <v>480</v>
      </c>
      <c r="Y214" s="1" t="s">
        <v>480</v>
      </c>
      <c r="Z214" s="1" t="s">
        <v>480</v>
      </c>
      <c r="AA214" s="1" t="s">
        <v>480</v>
      </c>
      <c r="AB214" s="1" t="s">
        <v>480</v>
      </c>
      <c r="AC214" s="1" t="s">
        <v>480</v>
      </c>
      <c r="AD214" s="1" t="s">
        <v>480</v>
      </c>
      <c r="AE214" s="1" t="s">
        <v>480</v>
      </c>
      <c r="AF214" s="1" t="s">
        <v>480</v>
      </c>
      <c r="AG214" s="1" t="s">
        <v>480</v>
      </c>
      <c r="AH214" s="1" t="s">
        <v>480</v>
      </c>
      <c r="AI214" s="1" t="s">
        <v>480</v>
      </c>
      <c r="AJ214" s="1" t="s">
        <v>480</v>
      </c>
      <c r="AK214" s="1" t="s">
        <v>480</v>
      </c>
      <c r="AL214" s="1" t="s">
        <v>480</v>
      </c>
      <c r="AM214" s="1" t="s">
        <v>480</v>
      </c>
      <c r="AN214" s="1" t="s">
        <v>480</v>
      </c>
      <c r="AO214" s="1" t="s">
        <v>480</v>
      </c>
      <c r="AP214" s="1" t="s">
        <v>480</v>
      </c>
      <c r="AQ214" s="1" t="s">
        <v>480</v>
      </c>
      <c r="AR214" s="1" t="s">
        <v>480</v>
      </c>
      <c r="AS214" s="1" t="s">
        <v>480</v>
      </c>
      <c r="AT214" s="1">
        <f t="shared" si="31"/>
        <v>1</v>
      </c>
    </row>
    <row r="215" spans="1:46" x14ac:dyDescent="0.25">
      <c r="A215" s="1">
        <f>COUNTIF('Value Matchup'!$D$356:$D$423,'Team History'!B215)</f>
        <v>0</v>
      </c>
      <c r="B215" t="s">
        <v>312</v>
      </c>
      <c r="C215" s="1">
        <f t="shared" si="24"/>
        <v>1</v>
      </c>
      <c r="D215" s="1">
        <f t="shared" si="25"/>
        <v>0</v>
      </c>
      <c r="E215" s="1">
        <f t="shared" si="26"/>
        <v>0</v>
      </c>
      <c r="F215" s="1">
        <f t="shared" si="27"/>
        <v>0</v>
      </c>
      <c r="G215" s="1">
        <f t="shared" si="28"/>
        <v>0</v>
      </c>
      <c r="H215" s="1">
        <f t="shared" si="29"/>
        <v>0</v>
      </c>
      <c r="I215" s="64">
        <f t="shared" si="30"/>
        <v>4</v>
      </c>
      <c r="K215" s="90" t="s">
        <v>480</v>
      </c>
      <c r="L215" s="1" t="s">
        <v>480</v>
      </c>
      <c r="M215" s="1" t="s">
        <v>480</v>
      </c>
      <c r="N215" s="1" t="s">
        <v>480</v>
      </c>
      <c r="O215" s="1" t="s">
        <v>480</v>
      </c>
      <c r="P215" s="1" t="s">
        <v>480</v>
      </c>
      <c r="Q215" s="1">
        <v>0</v>
      </c>
      <c r="R215" s="1" t="s">
        <v>480</v>
      </c>
      <c r="S215" s="1" t="s">
        <v>480</v>
      </c>
      <c r="T215" s="1" t="s">
        <v>480</v>
      </c>
      <c r="U215" s="1" t="s">
        <v>480</v>
      </c>
      <c r="V215" s="1" t="s">
        <v>480</v>
      </c>
      <c r="W215" s="1" t="s">
        <v>480</v>
      </c>
      <c r="X215" s="1">
        <v>1</v>
      </c>
      <c r="Y215" s="1" t="s">
        <v>480</v>
      </c>
      <c r="Z215" s="1" t="s">
        <v>480</v>
      </c>
      <c r="AA215" s="1" t="s">
        <v>480</v>
      </c>
      <c r="AB215" s="1" t="s">
        <v>480</v>
      </c>
      <c r="AC215" s="1">
        <v>0</v>
      </c>
      <c r="AD215" s="1" t="s">
        <v>480</v>
      </c>
      <c r="AE215" s="1" t="s">
        <v>480</v>
      </c>
      <c r="AF215" s="1" t="s">
        <v>480</v>
      </c>
      <c r="AG215" s="1" t="s">
        <v>480</v>
      </c>
      <c r="AH215" s="1" t="s">
        <v>480</v>
      </c>
      <c r="AI215" s="1" t="s">
        <v>480</v>
      </c>
      <c r="AJ215" s="1" t="s">
        <v>480</v>
      </c>
      <c r="AK215" s="1" t="s">
        <v>480</v>
      </c>
      <c r="AL215" s="1" t="s">
        <v>480</v>
      </c>
      <c r="AM215" s="1" t="s">
        <v>480</v>
      </c>
      <c r="AN215" s="1" t="s">
        <v>480</v>
      </c>
      <c r="AO215" s="1" t="s">
        <v>480</v>
      </c>
      <c r="AP215" s="1" t="s">
        <v>480</v>
      </c>
      <c r="AQ215" s="1" t="s">
        <v>480</v>
      </c>
      <c r="AR215" s="1" t="s">
        <v>480</v>
      </c>
      <c r="AS215" s="1" t="s">
        <v>480</v>
      </c>
      <c r="AT215" s="1">
        <f t="shared" si="31"/>
        <v>3</v>
      </c>
    </row>
    <row r="216" spans="1:46" x14ac:dyDescent="0.25">
      <c r="A216" s="1">
        <f>COUNTIF('Value Matchup'!$D$356:$D$423,'Team History'!B216)</f>
        <v>0</v>
      </c>
      <c r="B216" t="s">
        <v>35</v>
      </c>
      <c r="C216" s="1">
        <f t="shared" si="24"/>
        <v>11</v>
      </c>
      <c r="D216" s="1">
        <f t="shared" si="25"/>
        <v>4</v>
      </c>
      <c r="E216" s="1">
        <f t="shared" si="26"/>
        <v>2</v>
      </c>
      <c r="F216" s="1">
        <f t="shared" si="27"/>
        <v>0</v>
      </c>
      <c r="G216" s="1">
        <f t="shared" si="28"/>
        <v>0</v>
      </c>
      <c r="H216" s="1">
        <f t="shared" si="29"/>
        <v>0</v>
      </c>
      <c r="I216" s="64">
        <f t="shared" si="30"/>
        <v>43</v>
      </c>
      <c r="K216" s="90" t="s">
        <v>480</v>
      </c>
      <c r="L216" s="1" t="s">
        <v>480</v>
      </c>
      <c r="M216" s="1">
        <v>1</v>
      </c>
      <c r="N216" s="1">
        <v>3</v>
      </c>
      <c r="O216" s="1">
        <v>3</v>
      </c>
      <c r="P216" s="1" t="s">
        <v>480</v>
      </c>
      <c r="Q216" s="1">
        <v>0</v>
      </c>
      <c r="R216" s="1">
        <v>0</v>
      </c>
      <c r="S216" s="1">
        <v>1</v>
      </c>
      <c r="T216" s="1">
        <v>0</v>
      </c>
      <c r="U216" s="1" t="s">
        <v>480</v>
      </c>
      <c r="V216" s="1">
        <v>1</v>
      </c>
      <c r="W216" s="1">
        <v>0</v>
      </c>
      <c r="X216" s="1" t="s">
        <v>480</v>
      </c>
      <c r="Y216" s="1" t="s">
        <v>480</v>
      </c>
      <c r="Z216" s="1" t="s">
        <v>480</v>
      </c>
      <c r="AA216" s="1">
        <v>2</v>
      </c>
      <c r="AB216" s="1">
        <v>1</v>
      </c>
      <c r="AC216" s="1">
        <v>1</v>
      </c>
      <c r="AD216" s="1" t="s">
        <v>480</v>
      </c>
      <c r="AE216" s="1" t="s">
        <v>480</v>
      </c>
      <c r="AF216" s="1" t="s">
        <v>480</v>
      </c>
      <c r="AG216" s="1" t="s">
        <v>480</v>
      </c>
      <c r="AH216" s="1" t="s">
        <v>480</v>
      </c>
      <c r="AI216" s="1" t="s">
        <v>480</v>
      </c>
      <c r="AJ216" s="1" t="s">
        <v>480</v>
      </c>
      <c r="AK216" s="1" t="s">
        <v>480</v>
      </c>
      <c r="AL216" s="1" t="s">
        <v>480</v>
      </c>
      <c r="AM216" s="1" t="s">
        <v>480</v>
      </c>
      <c r="AN216" s="1">
        <v>0</v>
      </c>
      <c r="AO216" s="1">
        <v>1</v>
      </c>
      <c r="AP216" s="1">
        <v>0</v>
      </c>
      <c r="AQ216" s="1">
        <v>2</v>
      </c>
      <c r="AR216" s="1">
        <v>0</v>
      </c>
      <c r="AS216" s="1">
        <v>1</v>
      </c>
      <c r="AT216" s="1">
        <f t="shared" si="31"/>
        <v>18</v>
      </c>
    </row>
    <row r="217" spans="1:46" x14ac:dyDescent="0.25">
      <c r="A217" s="1">
        <f>COUNTIF('Value Matchup'!$D$356:$D$423,'Team History'!B217)</f>
        <v>0</v>
      </c>
      <c r="B217" t="s">
        <v>313</v>
      </c>
      <c r="C217" s="1">
        <f t="shared" si="24"/>
        <v>0</v>
      </c>
      <c r="D217" s="1">
        <f t="shared" si="25"/>
        <v>0</v>
      </c>
      <c r="E217" s="1">
        <f t="shared" si="26"/>
        <v>0</v>
      </c>
      <c r="F217" s="1">
        <f t="shared" si="27"/>
        <v>0</v>
      </c>
      <c r="G217" s="1">
        <f t="shared" si="28"/>
        <v>0</v>
      </c>
      <c r="H217" s="1">
        <f t="shared" si="29"/>
        <v>0</v>
      </c>
      <c r="I217" s="64">
        <f t="shared" si="30"/>
        <v>3</v>
      </c>
      <c r="K217" s="90" t="s">
        <v>480</v>
      </c>
      <c r="L217" s="1" t="s">
        <v>480</v>
      </c>
      <c r="M217" s="1" t="s">
        <v>480</v>
      </c>
      <c r="N217" s="1" t="s">
        <v>480</v>
      </c>
      <c r="O217" s="1" t="s">
        <v>480</v>
      </c>
      <c r="P217" s="1" t="s">
        <v>480</v>
      </c>
      <c r="Q217" s="1" t="s">
        <v>480</v>
      </c>
      <c r="R217" s="1" t="s">
        <v>480</v>
      </c>
      <c r="S217" s="1">
        <v>0</v>
      </c>
      <c r="T217" s="1">
        <v>0</v>
      </c>
      <c r="U217" s="1" t="s">
        <v>480</v>
      </c>
      <c r="V217" s="1" t="s">
        <v>480</v>
      </c>
      <c r="W217" s="1" t="s">
        <v>480</v>
      </c>
      <c r="X217" s="1" t="s">
        <v>480</v>
      </c>
      <c r="Y217" s="1">
        <v>0</v>
      </c>
      <c r="Z217" s="1" t="s">
        <v>480</v>
      </c>
      <c r="AA217" s="1" t="s">
        <v>480</v>
      </c>
      <c r="AB217" s="1" t="s">
        <v>480</v>
      </c>
      <c r="AC217" s="1" t="s">
        <v>480</v>
      </c>
      <c r="AD217" s="1" t="s">
        <v>480</v>
      </c>
      <c r="AE217" s="1" t="s">
        <v>480</v>
      </c>
      <c r="AF217" s="1" t="s">
        <v>480</v>
      </c>
      <c r="AG217" s="1" t="s">
        <v>480</v>
      </c>
      <c r="AH217" s="1" t="s">
        <v>480</v>
      </c>
      <c r="AI217" s="1" t="s">
        <v>480</v>
      </c>
      <c r="AJ217" s="1" t="s">
        <v>480</v>
      </c>
      <c r="AK217" s="1" t="s">
        <v>480</v>
      </c>
      <c r="AL217" s="1" t="s">
        <v>480</v>
      </c>
      <c r="AM217" s="1" t="s">
        <v>480</v>
      </c>
      <c r="AN217" s="1" t="s">
        <v>480</v>
      </c>
      <c r="AO217" s="1" t="s">
        <v>480</v>
      </c>
      <c r="AP217" s="1" t="s">
        <v>480</v>
      </c>
      <c r="AQ217" s="1" t="s">
        <v>480</v>
      </c>
      <c r="AR217" s="1" t="s">
        <v>480</v>
      </c>
      <c r="AS217" s="1" t="s">
        <v>480</v>
      </c>
      <c r="AT217" s="1">
        <f t="shared" si="31"/>
        <v>3</v>
      </c>
    </row>
    <row r="218" spans="1:46" x14ac:dyDescent="0.25">
      <c r="A218" s="1">
        <f>COUNTIF('Value Matchup'!$D$356:$D$423,'Team History'!B218)</f>
        <v>1</v>
      </c>
      <c r="B218" t="s">
        <v>314</v>
      </c>
      <c r="C218" s="1">
        <f t="shared" si="24"/>
        <v>2</v>
      </c>
      <c r="D218" s="1">
        <f t="shared" si="25"/>
        <v>1</v>
      </c>
      <c r="E218" s="1">
        <f t="shared" si="26"/>
        <v>0</v>
      </c>
      <c r="F218" s="1">
        <f t="shared" si="27"/>
        <v>0</v>
      </c>
      <c r="G218" s="1">
        <f t="shared" si="28"/>
        <v>0</v>
      </c>
      <c r="H218" s="1">
        <f t="shared" si="29"/>
        <v>0</v>
      </c>
      <c r="I218" s="64">
        <f t="shared" si="30"/>
        <v>11</v>
      </c>
      <c r="K218" s="90" t="s">
        <v>480</v>
      </c>
      <c r="L218" s="1" t="s">
        <v>480</v>
      </c>
      <c r="M218" s="1" t="s">
        <v>480</v>
      </c>
      <c r="N218" s="1" t="s">
        <v>480</v>
      </c>
      <c r="O218" s="1" t="s">
        <v>480</v>
      </c>
      <c r="P218" s="1" t="s">
        <v>480</v>
      </c>
      <c r="Q218" s="1" t="s">
        <v>480</v>
      </c>
      <c r="R218" s="1">
        <v>2</v>
      </c>
      <c r="S218" s="1" t="s">
        <v>480</v>
      </c>
      <c r="T218" s="1">
        <v>1</v>
      </c>
      <c r="U218" s="1" t="s">
        <v>480</v>
      </c>
      <c r="V218" s="1" t="s">
        <v>480</v>
      </c>
      <c r="W218" s="1" t="s">
        <v>480</v>
      </c>
      <c r="X218" s="1" t="s">
        <v>480</v>
      </c>
      <c r="Y218" s="1">
        <v>0</v>
      </c>
      <c r="Z218" s="1" t="s">
        <v>480</v>
      </c>
      <c r="AA218" s="1" t="s">
        <v>480</v>
      </c>
      <c r="AB218" s="1" t="s">
        <v>480</v>
      </c>
      <c r="AC218" s="1" t="s">
        <v>480</v>
      </c>
      <c r="AD218" s="1" t="s">
        <v>480</v>
      </c>
      <c r="AE218" s="1" t="s">
        <v>480</v>
      </c>
      <c r="AF218" s="1" t="s">
        <v>480</v>
      </c>
      <c r="AG218" s="1" t="s">
        <v>480</v>
      </c>
      <c r="AH218" s="1" t="s">
        <v>480</v>
      </c>
      <c r="AI218" s="1" t="s">
        <v>480</v>
      </c>
      <c r="AJ218" s="1">
        <v>0</v>
      </c>
      <c r="AK218" s="1" t="s">
        <v>480</v>
      </c>
      <c r="AL218" s="1" t="s">
        <v>480</v>
      </c>
      <c r="AM218" s="1" t="s">
        <v>480</v>
      </c>
      <c r="AN218" s="1" t="s">
        <v>480</v>
      </c>
      <c r="AO218" s="1" t="s">
        <v>480</v>
      </c>
      <c r="AP218" s="1" t="s">
        <v>480</v>
      </c>
      <c r="AQ218" s="1" t="s">
        <v>480</v>
      </c>
      <c r="AR218" s="1" t="s">
        <v>480</v>
      </c>
      <c r="AS218" s="1">
        <v>0</v>
      </c>
      <c r="AT218" s="1">
        <f t="shared" si="31"/>
        <v>5</v>
      </c>
    </row>
    <row r="219" spans="1:46" x14ac:dyDescent="0.25">
      <c r="A219" s="1">
        <f>COUNTIF('Value Matchup'!$D$356:$D$423,'Team History'!B219)</f>
        <v>1</v>
      </c>
      <c r="B219" t="s">
        <v>315</v>
      </c>
      <c r="C219" s="1">
        <f t="shared" si="24"/>
        <v>17</v>
      </c>
      <c r="D219" s="1">
        <f t="shared" si="25"/>
        <v>8</v>
      </c>
      <c r="E219" s="1">
        <f t="shared" si="26"/>
        <v>5</v>
      </c>
      <c r="F219" s="1">
        <f t="shared" si="27"/>
        <v>3</v>
      </c>
      <c r="G219" s="1">
        <f t="shared" si="28"/>
        <v>1</v>
      </c>
      <c r="H219" s="1">
        <f t="shared" si="29"/>
        <v>0</v>
      </c>
      <c r="I219" s="64">
        <f t="shared" si="30"/>
        <v>68</v>
      </c>
      <c r="K219" s="90">
        <v>1</v>
      </c>
      <c r="L219" s="1">
        <v>1</v>
      </c>
      <c r="M219" s="1" t="s">
        <v>480</v>
      </c>
      <c r="N219" s="1" t="s">
        <v>480</v>
      </c>
      <c r="O219" s="1">
        <v>1</v>
      </c>
      <c r="P219" s="1">
        <v>0</v>
      </c>
      <c r="Q219" s="1">
        <v>3</v>
      </c>
      <c r="R219" s="1">
        <v>4</v>
      </c>
      <c r="S219" s="1">
        <v>2</v>
      </c>
      <c r="T219" s="1">
        <v>2</v>
      </c>
      <c r="U219" s="1">
        <v>0</v>
      </c>
      <c r="V219" s="1" t="s">
        <v>480</v>
      </c>
      <c r="W219" s="1">
        <v>5</v>
      </c>
      <c r="X219" s="1">
        <v>1</v>
      </c>
      <c r="Y219" s="1" t="s">
        <v>480</v>
      </c>
      <c r="Z219" s="1" t="s">
        <v>480</v>
      </c>
      <c r="AA219" s="1" t="s">
        <v>480</v>
      </c>
      <c r="AB219" s="1">
        <v>1</v>
      </c>
      <c r="AC219" s="1">
        <v>0</v>
      </c>
      <c r="AD219" s="1">
        <v>1</v>
      </c>
      <c r="AE219" s="1">
        <v>4</v>
      </c>
      <c r="AF219" s="1" t="s">
        <v>480</v>
      </c>
      <c r="AG219" s="1" t="s">
        <v>480</v>
      </c>
      <c r="AH219" s="1" t="s">
        <v>480</v>
      </c>
      <c r="AI219" s="1" t="s">
        <v>480</v>
      </c>
      <c r="AJ219" s="1" t="s">
        <v>480</v>
      </c>
      <c r="AK219" s="1" t="s">
        <v>480</v>
      </c>
      <c r="AL219" s="1">
        <v>3</v>
      </c>
      <c r="AM219" s="1">
        <v>2</v>
      </c>
      <c r="AN219" s="1">
        <v>1</v>
      </c>
      <c r="AO219" s="1" t="s">
        <v>480</v>
      </c>
      <c r="AP219" s="1" t="s">
        <v>480</v>
      </c>
      <c r="AQ219" s="1">
        <v>1</v>
      </c>
      <c r="AR219" s="1" t="s">
        <v>480</v>
      </c>
      <c r="AS219" s="1">
        <v>1</v>
      </c>
      <c r="AT219" s="1">
        <f t="shared" si="31"/>
        <v>20</v>
      </c>
    </row>
    <row r="220" spans="1:46" x14ac:dyDescent="0.25">
      <c r="A220" s="1">
        <f>COUNTIF('Value Matchup'!$D$356:$D$423,'Team History'!B220)</f>
        <v>1</v>
      </c>
      <c r="B220" t="s">
        <v>58</v>
      </c>
      <c r="C220" s="1">
        <f t="shared" si="24"/>
        <v>16</v>
      </c>
      <c r="D220" s="1">
        <f t="shared" si="25"/>
        <v>10</v>
      </c>
      <c r="E220" s="1">
        <f t="shared" si="26"/>
        <v>6</v>
      </c>
      <c r="F220" s="1">
        <f t="shared" si="27"/>
        <v>3</v>
      </c>
      <c r="G220" s="1">
        <f t="shared" si="28"/>
        <v>1</v>
      </c>
      <c r="H220" s="1">
        <f t="shared" si="29"/>
        <v>0</v>
      </c>
      <c r="I220" s="64">
        <f t="shared" si="30"/>
        <v>69</v>
      </c>
      <c r="K220" s="90">
        <v>1</v>
      </c>
      <c r="L220" s="1">
        <v>0</v>
      </c>
      <c r="M220" s="1" t="s">
        <v>480</v>
      </c>
      <c r="N220" s="1">
        <v>4</v>
      </c>
      <c r="O220" s="1">
        <v>2</v>
      </c>
      <c r="P220" s="1">
        <v>0</v>
      </c>
      <c r="Q220" s="1">
        <v>0</v>
      </c>
      <c r="R220" s="1" t="s">
        <v>480</v>
      </c>
      <c r="S220" s="1" t="s">
        <v>480</v>
      </c>
      <c r="T220" s="1" t="s">
        <v>480</v>
      </c>
      <c r="U220" s="1">
        <v>3</v>
      </c>
      <c r="V220" s="1">
        <v>1</v>
      </c>
      <c r="W220" s="1" t="s">
        <v>480</v>
      </c>
      <c r="X220" s="1">
        <v>0</v>
      </c>
      <c r="Y220" s="1">
        <v>1</v>
      </c>
      <c r="Z220" s="1" t="s">
        <v>480</v>
      </c>
      <c r="AA220" s="1">
        <v>3</v>
      </c>
      <c r="AB220" s="1">
        <v>4</v>
      </c>
      <c r="AC220" s="1">
        <v>0</v>
      </c>
      <c r="AD220" s="1">
        <v>1</v>
      </c>
      <c r="AE220" s="1">
        <v>2</v>
      </c>
      <c r="AF220" s="1">
        <v>0</v>
      </c>
      <c r="AG220" s="1">
        <v>0</v>
      </c>
      <c r="AH220" s="1">
        <v>0</v>
      </c>
      <c r="AI220" s="1">
        <v>0</v>
      </c>
      <c r="AJ220" s="1" t="s">
        <v>480</v>
      </c>
      <c r="AK220" s="1" t="s">
        <v>480</v>
      </c>
      <c r="AL220" s="1">
        <v>0</v>
      </c>
      <c r="AM220" s="1" t="s">
        <v>480</v>
      </c>
      <c r="AN220" s="1">
        <v>1</v>
      </c>
      <c r="AO220" s="1">
        <v>2</v>
      </c>
      <c r="AP220" s="1">
        <v>5</v>
      </c>
      <c r="AQ220" s="1">
        <v>2</v>
      </c>
      <c r="AR220" s="1">
        <v>1</v>
      </c>
      <c r="AS220" s="1">
        <v>3</v>
      </c>
      <c r="AT220" s="1">
        <f t="shared" si="31"/>
        <v>26</v>
      </c>
    </row>
    <row r="221" spans="1:46" x14ac:dyDescent="0.25">
      <c r="A221" s="1">
        <f>COUNTIF('Value Matchup'!$D$356:$D$423,'Team History'!B221)</f>
        <v>1</v>
      </c>
      <c r="B221" t="s">
        <v>316</v>
      </c>
      <c r="C221" s="1">
        <f t="shared" si="24"/>
        <v>12</v>
      </c>
      <c r="D221" s="1">
        <f t="shared" si="25"/>
        <v>6</v>
      </c>
      <c r="E221" s="1">
        <f t="shared" si="26"/>
        <v>3</v>
      </c>
      <c r="F221" s="1">
        <f t="shared" si="27"/>
        <v>2</v>
      </c>
      <c r="G221" s="1">
        <f t="shared" si="28"/>
        <v>0</v>
      </c>
      <c r="H221" s="1">
        <f t="shared" si="29"/>
        <v>0</v>
      </c>
      <c r="I221" s="64">
        <f t="shared" si="30"/>
        <v>42</v>
      </c>
      <c r="K221" s="90" t="s">
        <v>480</v>
      </c>
      <c r="L221" s="1" t="s">
        <v>480</v>
      </c>
      <c r="M221" s="1">
        <v>0</v>
      </c>
      <c r="N221" s="1" t="s">
        <v>480</v>
      </c>
      <c r="O221" s="1">
        <v>0</v>
      </c>
      <c r="P221" s="1">
        <v>0</v>
      </c>
      <c r="Q221" s="1">
        <v>0</v>
      </c>
      <c r="R221" s="1" t="s">
        <v>480</v>
      </c>
      <c r="S221" s="1" t="s">
        <v>480</v>
      </c>
      <c r="T221" s="1">
        <v>0</v>
      </c>
      <c r="U221" s="1">
        <v>1</v>
      </c>
      <c r="V221" s="1" t="s">
        <v>480</v>
      </c>
      <c r="W221" s="1" t="s">
        <v>480</v>
      </c>
      <c r="X221" s="1" t="s">
        <v>480</v>
      </c>
      <c r="Y221" s="1">
        <v>2</v>
      </c>
      <c r="Z221" s="1">
        <v>4</v>
      </c>
      <c r="AA221" s="1">
        <v>1</v>
      </c>
      <c r="AB221" s="1">
        <v>0</v>
      </c>
      <c r="AC221" s="1">
        <v>0</v>
      </c>
      <c r="AD221" s="1">
        <v>3</v>
      </c>
      <c r="AE221" s="1">
        <v>1</v>
      </c>
      <c r="AF221" s="1">
        <v>1</v>
      </c>
      <c r="AG221" s="1" t="s">
        <v>480</v>
      </c>
      <c r="AH221" s="1" t="s">
        <v>480</v>
      </c>
      <c r="AI221" s="1">
        <v>4</v>
      </c>
      <c r="AJ221" s="1">
        <v>1</v>
      </c>
      <c r="AK221" s="1">
        <v>1</v>
      </c>
      <c r="AL221" s="1">
        <v>2</v>
      </c>
      <c r="AM221" s="1">
        <v>2</v>
      </c>
      <c r="AN221" s="1" t="s">
        <v>480</v>
      </c>
      <c r="AO221" s="1" t="s">
        <v>480</v>
      </c>
      <c r="AP221" s="1" t="s">
        <v>480</v>
      </c>
      <c r="AQ221" s="1" t="s">
        <v>480</v>
      </c>
      <c r="AR221" s="1" t="s">
        <v>480</v>
      </c>
      <c r="AS221" s="1" t="s">
        <v>480</v>
      </c>
      <c r="AT221" s="1">
        <f t="shared" si="31"/>
        <v>19</v>
      </c>
    </row>
    <row r="222" spans="1:46" x14ac:dyDescent="0.25">
      <c r="A222" s="1">
        <f>COUNTIF('Value Matchup'!$D$356:$D$423,'Team History'!B222)</f>
        <v>0</v>
      </c>
      <c r="B222" t="s">
        <v>317</v>
      </c>
      <c r="C222" s="1">
        <f t="shared" si="24"/>
        <v>3</v>
      </c>
      <c r="D222" s="1">
        <f t="shared" si="25"/>
        <v>0</v>
      </c>
      <c r="E222" s="1">
        <f t="shared" si="26"/>
        <v>0</v>
      </c>
      <c r="F222" s="1">
        <f t="shared" si="27"/>
        <v>0</v>
      </c>
      <c r="G222" s="1">
        <f t="shared" si="28"/>
        <v>0</v>
      </c>
      <c r="H222" s="1">
        <f t="shared" si="29"/>
        <v>0</v>
      </c>
      <c r="I222" s="64">
        <f t="shared" si="30"/>
        <v>14</v>
      </c>
      <c r="K222" s="90">
        <v>0</v>
      </c>
      <c r="L222" s="1" t="s">
        <v>480</v>
      </c>
      <c r="M222" s="1" t="s">
        <v>480</v>
      </c>
      <c r="N222" s="1" t="s">
        <v>480</v>
      </c>
      <c r="O222" s="1" t="s">
        <v>480</v>
      </c>
      <c r="P222" s="1" t="s">
        <v>480</v>
      </c>
      <c r="Q222" s="1" t="s">
        <v>480</v>
      </c>
      <c r="R222" s="1" t="s">
        <v>480</v>
      </c>
      <c r="S222" s="1">
        <v>0</v>
      </c>
      <c r="T222" s="1">
        <v>1</v>
      </c>
      <c r="U222" s="1" t="s">
        <v>480</v>
      </c>
      <c r="V222" s="1" t="s">
        <v>480</v>
      </c>
      <c r="W222" s="1">
        <v>0</v>
      </c>
      <c r="X222" s="1" t="s">
        <v>480</v>
      </c>
      <c r="Y222" s="1">
        <v>0</v>
      </c>
      <c r="Z222" s="1" t="s">
        <v>480</v>
      </c>
      <c r="AA222" s="1" t="s">
        <v>480</v>
      </c>
      <c r="AB222" s="1" t="s">
        <v>480</v>
      </c>
      <c r="AC222" s="1" t="s">
        <v>480</v>
      </c>
      <c r="AD222" s="1" t="s">
        <v>480</v>
      </c>
      <c r="AE222" s="1" t="s">
        <v>480</v>
      </c>
      <c r="AF222" s="1" t="s">
        <v>480</v>
      </c>
      <c r="AG222" s="1">
        <v>0</v>
      </c>
      <c r="AH222" s="1" t="s">
        <v>480</v>
      </c>
      <c r="AI222" s="1">
        <v>1</v>
      </c>
      <c r="AJ222" s="1" t="s">
        <v>480</v>
      </c>
      <c r="AK222" s="1" t="s">
        <v>480</v>
      </c>
      <c r="AL222" s="1">
        <v>0</v>
      </c>
      <c r="AM222" s="1" t="s">
        <v>480</v>
      </c>
      <c r="AN222" s="1" t="s">
        <v>480</v>
      </c>
      <c r="AO222" s="1" t="s">
        <v>480</v>
      </c>
      <c r="AP222" s="1" t="s">
        <v>480</v>
      </c>
      <c r="AQ222" s="1" t="s">
        <v>480</v>
      </c>
      <c r="AR222" s="1">
        <v>1</v>
      </c>
      <c r="AS222" s="1">
        <v>0</v>
      </c>
      <c r="AT222" s="1">
        <f t="shared" si="31"/>
        <v>10</v>
      </c>
    </row>
    <row r="223" spans="1:46" x14ac:dyDescent="0.25">
      <c r="A223" s="1">
        <f>COUNTIF('Value Matchup'!$D$356:$D$423,'Team History'!B223)</f>
        <v>1</v>
      </c>
      <c r="B223" t="s">
        <v>318</v>
      </c>
      <c r="C223" s="1">
        <f t="shared" si="24"/>
        <v>0</v>
      </c>
      <c r="D223" s="1">
        <f t="shared" si="25"/>
        <v>0</v>
      </c>
      <c r="E223" s="1">
        <f t="shared" si="26"/>
        <v>0</v>
      </c>
      <c r="F223" s="1">
        <f t="shared" si="27"/>
        <v>0</v>
      </c>
      <c r="G223" s="1">
        <f t="shared" si="28"/>
        <v>0</v>
      </c>
      <c r="H223" s="1">
        <f t="shared" si="29"/>
        <v>0</v>
      </c>
      <c r="I223" s="64">
        <f t="shared" si="30"/>
        <v>3</v>
      </c>
      <c r="K223" s="90" t="s">
        <v>480</v>
      </c>
      <c r="L223" s="1" t="s">
        <v>480</v>
      </c>
      <c r="M223" s="1" t="s">
        <v>480</v>
      </c>
      <c r="N223" s="1" t="s">
        <v>480</v>
      </c>
      <c r="O223" s="1" t="s">
        <v>480</v>
      </c>
      <c r="P223" s="1" t="s">
        <v>480</v>
      </c>
      <c r="Q223" s="1" t="s">
        <v>480</v>
      </c>
      <c r="R223" s="1" t="s">
        <v>480</v>
      </c>
      <c r="S223" s="1" t="s">
        <v>480</v>
      </c>
      <c r="T223" s="1" t="s">
        <v>480</v>
      </c>
      <c r="U223" s="1" t="s">
        <v>480</v>
      </c>
      <c r="V223" s="1">
        <v>0</v>
      </c>
      <c r="W223" s="1">
        <v>0</v>
      </c>
      <c r="X223" s="1">
        <v>0</v>
      </c>
      <c r="Y223" s="1" t="s">
        <v>480</v>
      </c>
      <c r="Z223" s="1" t="s">
        <v>480</v>
      </c>
      <c r="AA223" s="1" t="s">
        <v>480</v>
      </c>
      <c r="AB223" s="1" t="s">
        <v>480</v>
      </c>
      <c r="AC223" s="1" t="s">
        <v>480</v>
      </c>
      <c r="AD223" s="1" t="s">
        <v>480</v>
      </c>
      <c r="AE223" s="1" t="s">
        <v>480</v>
      </c>
      <c r="AF223" s="1" t="s">
        <v>480</v>
      </c>
      <c r="AG223" s="1" t="s">
        <v>480</v>
      </c>
      <c r="AH223" s="1" t="s">
        <v>480</v>
      </c>
      <c r="AI223" s="1" t="s">
        <v>480</v>
      </c>
      <c r="AJ223" s="1" t="s">
        <v>480</v>
      </c>
      <c r="AK223" s="1" t="s">
        <v>480</v>
      </c>
      <c r="AL223" s="1" t="s">
        <v>480</v>
      </c>
      <c r="AM223" s="1" t="s">
        <v>480</v>
      </c>
      <c r="AN223" s="1" t="s">
        <v>480</v>
      </c>
      <c r="AO223" s="1" t="s">
        <v>480</v>
      </c>
      <c r="AP223" s="1" t="s">
        <v>480</v>
      </c>
      <c r="AQ223" s="1" t="s">
        <v>480</v>
      </c>
      <c r="AR223" s="1" t="s">
        <v>480</v>
      </c>
      <c r="AS223" s="1" t="s">
        <v>480</v>
      </c>
      <c r="AT223" s="1">
        <f t="shared" si="31"/>
        <v>3</v>
      </c>
    </row>
    <row r="224" spans="1:46" x14ac:dyDescent="0.25">
      <c r="A224" s="1">
        <f>COUNTIF('Value Matchup'!$D$356:$D$423,'Team History'!B224)</f>
        <v>1</v>
      </c>
      <c r="B224" t="s">
        <v>40</v>
      </c>
      <c r="C224" s="1">
        <f t="shared" si="24"/>
        <v>8</v>
      </c>
      <c r="D224" s="1">
        <f t="shared" si="25"/>
        <v>6</v>
      </c>
      <c r="E224" s="1">
        <f t="shared" si="26"/>
        <v>4</v>
      </c>
      <c r="F224" s="1">
        <f t="shared" si="27"/>
        <v>1</v>
      </c>
      <c r="G224" s="1">
        <f t="shared" si="28"/>
        <v>0</v>
      </c>
      <c r="H224" s="1">
        <f t="shared" si="29"/>
        <v>0</v>
      </c>
      <c r="I224" s="64">
        <f t="shared" si="30"/>
        <v>44</v>
      </c>
      <c r="K224" s="90">
        <v>2</v>
      </c>
      <c r="L224" s="1" t="s">
        <v>480</v>
      </c>
      <c r="M224" s="1">
        <v>4</v>
      </c>
      <c r="N224" s="1">
        <v>3</v>
      </c>
      <c r="O224" s="1">
        <v>1</v>
      </c>
      <c r="P224" s="1">
        <v>1</v>
      </c>
      <c r="Q224" s="1">
        <v>2</v>
      </c>
      <c r="R224" s="1" t="s">
        <v>480</v>
      </c>
      <c r="S224" s="1" t="s">
        <v>480</v>
      </c>
      <c r="T224" s="1" t="s">
        <v>480</v>
      </c>
      <c r="U224" s="1" t="s">
        <v>480</v>
      </c>
      <c r="V224" s="1">
        <v>0</v>
      </c>
      <c r="W224" s="1">
        <v>3</v>
      </c>
      <c r="X224" s="1" t="s">
        <v>480</v>
      </c>
      <c r="Y224" s="1" t="s">
        <v>480</v>
      </c>
      <c r="Z224" s="1" t="s">
        <v>480</v>
      </c>
      <c r="AA224" s="1">
        <v>0</v>
      </c>
      <c r="AB224" s="1">
        <v>3</v>
      </c>
      <c r="AC224" s="1" t="s">
        <v>480</v>
      </c>
      <c r="AD224" s="1">
        <v>0</v>
      </c>
      <c r="AE224" s="1" t="s">
        <v>480</v>
      </c>
      <c r="AF224" s="1" t="s">
        <v>480</v>
      </c>
      <c r="AG224" s="1" t="s">
        <v>480</v>
      </c>
      <c r="AH224" s="1" t="s">
        <v>480</v>
      </c>
      <c r="AI224" s="1">
        <v>0</v>
      </c>
      <c r="AJ224" s="1" t="s">
        <v>480</v>
      </c>
      <c r="AK224" s="1" t="s">
        <v>480</v>
      </c>
      <c r="AL224" s="1" t="s">
        <v>480</v>
      </c>
      <c r="AM224" s="1" t="s">
        <v>480</v>
      </c>
      <c r="AN224" s="1" t="s">
        <v>480</v>
      </c>
      <c r="AO224" s="1" t="s">
        <v>480</v>
      </c>
      <c r="AP224" s="1" t="s">
        <v>480</v>
      </c>
      <c r="AQ224" s="1" t="s">
        <v>480</v>
      </c>
      <c r="AR224" s="1" t="s">
        <v>480</v>
      </c>
      <c r="AS224" s="1" t="s">
        <v>480</v>
      </c>
      <c r="AT224" s="1">
        <f t="shared" si="31"/>
        <v>12</v>
      </c>
    </row>
    <row r="225" spans="1:46" x14ac:dyDescent="0.25">
      <c r="A225" s="1">
        <f>COUNTIF('Value Matchup'!$D$356:$D$423,'Team History'!B225)</f>
        <v>1</v>
      </c>
      <c r="B225" t="s">
        <v>319</v>
      </c>
      <c r="C225" s="1">
        <f t="shared" si="24"/>
        <v>0</v>
      </c>
      <c r="D225" s="1">
        <f t="shared" si="25"/>
        <v>0</v>
      </c>
      <c r="E225" s="1">
        <f t="shared" si="26"/>
        <v>0</v>
      </c>
      <c r="F225" s="1">
        <f t="shared" si="27"/>
        <v>0</v>
      </c>
      <c r="G225" s="1">
        <f t="shared" si="28"/>
        <v>0</v>
      </c>
      <c r="H225" s="1">
        <f t="shared" si="29"/>
        <v>0</v>
      </c>
      <c r="I225" s="64">
        <f t="shared" si="30"/>
        <v>5</v>
      </c>
      <c r="K225" s="90" t="s">
        <v>480</v>
      </c>
      <c r="L225" s="1" t="s">
        <v>480</v>
      </c>
      <c r="M225" s="1" t="s">
        <v>480</v>
      </c>
      <c r="N225" s="1">
        <v>0</v>
      </c>
      <c r="O225" s="1" t="s">
        <v>480</v>
      </c>
      <c r="P225" s="1" t="s">
        <v>480</v>
      </c>
      <c r="Q225" s="1" t="s">
        <v>480</v>
      </c>
      <c r="R225" s="1" t="s">
        <v>480</v>
      </c>
      <c r="S225" s="1" t="s">
        <v>480</v>
      </c>
      <c r="T225" s="1" t="s">
        <v>480</v>
      </c>
      <c r="U225" s="1" t="s">
        <v>480</v>
      </c>
      <c r="V225" s="1" t="s">
        <v>480</v>
      </c>
      <c r="W225" s="1" t="s">
        <v>480</v>
      </c>
      <c r="X225" s="1" t="s">
        <v>480</v>
      </c>
      <c r="Y225" s="1" t="s">
        <v>480</v>
      </c>
      <c r="Z225" s="1" t="s">
        <v>480</v>
      </c>
      <c r="AA225" s="1" t="s">
        <v>480</v>
      </c>
      <c r="AB225" s="1" t="s">
        <v>480</v>
      </c>
      <c r="AC225" s="1" t="s">
        <v>480</v>
      </c>
      <c r="AD225" s="1" t="s">
        <v>480</v>
      </c>
      <c r="AE225" s="1" t="s">
        <v>480</v>
      </c>
      <c r="AF225" s="1" t="s">
        <v>480</v>
      </c>
      <c r="AG225" s="1" t="s">
        <v>480</v>
      </c>
      <c r="AH225" s="1" t="s">
        <v>480</v>
      </c>
      <c r="AI225" s="1" t="s">
        <v>480</v>
      </c>
      <c r="AJ225" s="1" t="s">
        <v>480</v>
      </c>
      <c r="AK225" s="1" t="s">
        <v>480</v>
      </c>
      <c r="AL225" s="1" t="s">
        <v>480</v>
      </c>
      <c r="AM225" s="1" t="s">
        <v>480</v>
      </c>
      <c r="AN225" s="1">
        <v>0</v>
      </c>
      <c r="AO225" s="1">
        <v>0</v>
      </c>
      <c r="AP225" s="1">
        <v>0</v>
      </c>
      <c r="AQ225" s="1" t="s">
        <v>480</v>
      </c>
      <c r="AR225" s="1" t="s">
        <v>480</v>
      </c>
      <c r="AS225" s="1">
        <v>0</v>
      </c>
      <c r="AT225" s="1">
        <f t="shared" si="31"/>
        <v>5</v>
      </c>
    </row>
    <row r="226" spans="1:46" x14ac:dyDescent="0.25">
      <c r="A226" s="1">
        <f>COUNTIF('Value Matchup'!$D$356:$D$423,'Team History'!B226)</f>
        <v>0</v>
      </c>
      <c r="B226" t="s">
        <v>320</v>
      </c>
      <c r="C226" s="1">
        <f t="shared" si="24"/>
        <v>2</v>
      </c>
      <c r="D226" s="1">
        <f t="shared" si="25"/>
        <v>0</v>
      </c>
      <c r="E226" s="1">
        <f t="shared" si="26"/>
        <v>0</v>
      </c>
      <c r="F226" s="1">
        <f t="shared" si="27"/>
        <v>0</v>
      </c>
      <c r="G226" s="1">
        <f t="shared" si="28"/>
        <v>0</v>
      </c>
      <c r="H226" s="1">
        <f t="shared" si="29"/>
        <v>0</v>
      </c>
      <c r="I226" s="64">
        <f t="shared" si="30"/>
        <v>7</v>
      </c>
      <c r="K226" s="90" t="s">
        <v>480</v>
      </c>
      <c r="L226" s="1" t="s">
        <v>480</v>
      </c>
      <c r="M226" s="1" t="s">
        <v>480</v>
      </c>
      <c r="N226" s="1" t="s">
        <v>480</v>
      </c>
      <c r="O226" s="1" t="s">
        <v>480</v>
      </c>
      <c r="P226" s="1" t="s">
        <v>480</v>
      </c>
      <c r="Q226" s="1">
        <v>0</v>
      </c>
      <c r="R226" s="1" t="s">
        <v>480</v>
      </c>
      <c r="S226" s="1" t="s">
        <v>480</v>
      </c>
      <c r="T226" s="1" t="s">
        <v>480</v>
      </c>
      <c r="U226" s="1" t="s">
        <v>480</v>
      </c>
      <c r="V226" s="1" t="s">
        <v>480</v>
      </c>
      <c r="W226" s="1" t="s">
        <v>480</v>
      </c>
      <c r="X226" s="1">
        <v>0</v>
      </c>
      <c r="Y226" s="1">
        <v>1</v>
      </c>
      <c r="Z226" s="1">
        <v>1</v>
      </c>
      <c r="AA226" s="1" t="s">
        <v>480</v>
      </c>
      <c r="AB226" s="1" t="s">
        <v>480</v>
      </c>
      <c r="AC226" s="1" t="s">
        <v>480</v>
      </c>
      <c r="AD226" s="1" t="s">
        <v>480</v>
      </c>
      <c r="AE226" s="1" t="s">
        <v>480</v>
      </c>
      <c r="AF226" s="1" t="s">
        <v>480</v>
      </c>
      <c r="AG226" s="1">
        <v>0</v>
      </c>
      <c r="AH226" s="1" t="s">
        <v>480</v>
      </c>
      <c r="AI226" s="1" t="s">
        <v>480</v>
      </c>
      <c r="AJ226" s="1" t="s">
        <v>480</v>
      </c>
      <c r="AK226" s="1" t="s">
        <v>480</v>
      </c>
      <c r="AL226" s="1" t="s">
        <v>480</v>
      </c>
      <c r="AM226" s="1" t="s">
        <v>480</v>
      </c>
      <c r="AN226" s="1" t="s">
        <v>480</v>
      </c>
      <c r="AO226" s="1" t="s">
        <v>480</v>
      </c>
      <c r="AP226" s="1" t="s">
        <v>480</v>
      </c>
      <c r="AQ226" s="1" t="s">
        <v>480</v>
      </c>
      <c r="AR226" s="1" t="s">
        <v>480</v>
      </c>
      <c r="AS226" s="1" t="s">
        <v>480</v>
      </c>
      <c r="AT226" s="1">
        <f t="shared" si="31"/>
        <v>5</v>
      </c>
    </row>
    <row r="227" spans="1:46" x14ac:dyDescent="0.25">
      <c r="A227" s="1">
        <f>COUNTIF('Value Matchup'!$D$356:$D$423,'Team History'!B227)</f>
        <v>0</v>
      </c>
      <c r="B227" t="s">
        <v>321</v>
      </c>
      <c r="C227" s="1">
        <f t="shared" si="24"/>
        <v>1</v>
      </c>
      <c r="D227" s="1">
        <f t="shared" si="25"/>
        <v>0</v>
      </c>
      <c r="E227" s="1">
        <f t="shared" si="26"/>
        <v>0</v>
      </c>
      <c r="F227" s="1">
        <f t="shared" si="27"/>
        <v>0</v>
      </c>
      <c r="G227" s="1">
        <f t="shared" si="28"/>
        <v>0</v>
      </c>
      <c r="H227" s="1">
        <f t="shared" si="29"/>
        <v>0</v>
      </c>
      <c r="I227" s="64">
        <f t="shared" si="30"/>
        <v>14</v>
      </c>
      <c r="K227" s="90" t="s">
        <v>480</v>
      </c>
      <c r="L227" s="1">
        <v>0</v>
      </c>
      <c r="M227" s="1" t="s">
        <v>480</v>
      </c>
      <c r="N227" s="1" t="s">
        <v>480</v>
      </c>
      <c r="O227" s="1" t="s">
        <v>480</v>
      </c>
      <c r="P227" s="1" t="s">
        <v>480</v>
      </c>
      <c r="Q227" s="1" t="s">
        <v>480</v>
      </c>
      <c r="R227" s="1" t="s">
        <v>480</v>
      </c>
      <c r="S227" s="1" t="s">
        <v>480</v>
      </c>
      <c r="T227" s="1" t="s">
        <v>480</v>
      </c>
      <c r="U227" s="1" t="s">
        <v>480</v>
      </c>
      <c r="V227" s="1" t="s">
        <v>480</v>
      </c>
      <c r="W227" s="1">
        <v>0</v>
      </c>
      <c r="X227" s="1">
        <v>0</v>
      </c>
      <c r="Y227" s="1">
        <v>0</v>
      </c>
      <c r="Z227" s="1" t="s">
        <v>480</v>
      </c>
      <c r="AA227" s="1">
        <v>0</v>
      </c>
      <c r="AB227" s="1">
        <v>0</v>
      </c>
      <c r="AC227" s="1" t="s">
        <v>480</v>
      </c>
      <c r="AD227" s="1">
        <v>0</v>
      </c>
      <c r="AE227" s="1">
        <v>0</v>
      </c>
      <c r="AF227" s="1" t="s">
        <v>480</v>
      </c>
      <c r="AG227" s="1" t="s">
        <v>480</v>
      </c>
      <c r="AH227" s="1" t="s">
        <v>480</v>
      </c>
      <c r="AI227" s="1">
        <v>0</v>
      </c>
      <c r="AJ227" s="1">
        <v>1</v>
      </c>
      <c r="AK227" s="1">
        <v>0</v>
      </c>
      <c r="AL227" s="1" t="s">
        <v>480</v>
      </c>
      <c r="AM227" s="1" t="s">
        <v>480</v>
      </c>
      <c r="AN227" s="1" t="s">
        <v>480</v>
      </c>
      <c r="AO227" s="1" t="s">
        <v>480</v>
      </c>
      <c r="AP227" s="1" t="s">
        <v>480</v>
      </c>
      <c r="AQ227" s="1">
        <v>0</v>
      </c>
      <c r="AR227" s="1" t="s">
        <v>480</v>
      </c>
      <c r="AS227" s="1">
        <v>0</v>
      </c>
      <c r="AT227" s="1">
        <f t="shared" si="31"/>
        <v>13</v>
      </c>
    </row>
    <row r="228" spans="1:46" x14ac:dyDescent="0.25">
      <c r="A228" s="1">
        <f>COUNTIF('Value Matchup'!$D$356:$D$423,'Team History'!B228)</f>
        <v>0</v>
      </c>
      <c r="B228" t="s">
        <v>322</v>
      </c>
      <c r="C228" s="1">
        <f t="shared" si="24"/>
        <v>2</v>
      </c>
      <c r="D228" s="1">
        <f t="shared" si="25"/>
        <v>1</v>
      </c>
      <c r="E228" s="1">
        <f t="shared" si="26"/>
        <v>0</v>
      </c>
      <c r="F228" s="1">
        <f t="shared" si="27"/>
        <v>0</v>
      </c>
      <c r="G228" s="1">
        <f t="shared" si="28"/>
        <v>0</v>
      </c>
      <c r="H228" s="1">
        <f t="shared" si="29"/>
        <v>0</v>
      </c>
      <c r="I228" s="64">
        <f t="shared" si="30"/>
        <v>7</v>
      </c>
      <c r="K228" s="90" t="s">
        <v>480</v>
      </c>
      <c r="L228" s="1" t="s">
        <v>480</v>
      </c>
      <c r="M228" s="1" t="s">
        <v>480</v>
      </c>
      <c r="N228" s="1" t="s">
        <v>480</v>
      </c>
      <c r="O228" s="1" t="s">
        <v>480</v>
      </c>
      <c r="P228" s="1" t="s">
        <v>480</v>
      </c>
      <c r="Q228" s="1" t="s">
        <v>480</v>
      </c>
      <c r="R228" s="1" t="s">
        <v>480</v>
      </c>
      <c r="S228" s="1">
        <v>0</v>
      </c>
      <c r="T228" s="1" t="s">
        <v>480</v>
      </c>
      <c r="U228" s="1" t="s">
        <v>480</v>
      </c>
      <c r="V228" s="1" t="s">
        <v>480</v>
      </c>
      <c r="W228" s="1" t="s">
        <v>480</v>
      </c>
      <c r="X228" s="1" t="s">
        <v>480</v>
      </c>
      <c r="Y228" s="1" t="s">
        <v>480</v>
      </c>
      <c r="Z228" s="1" t="s">
        <v>480</v>
      </c>
      <c r="AA228" s="1" t="s">
        <v>480</v>
      </c>
      <c r="AB228" s="1" t="s">
        <v>480</v>
      </c>
      <c r="AC228" s="1">
        <v>2</v>
      </c>
      <c r="AD228" s="1" t="s">
        <v>480</v>
      </c>
      <c r="AE228" s="1" t="s">
        <v>480</v>
      </c>
      <c r="AF228" s="1" t="s">
        <v>480</v>
      </c>
      <c r="AG228" s="1" t="s">
        <v>480</v>
      </c>
      <c r="AH228" s="1">
        <v>0</v>
      </c>
      <c r="AI228" s="1" t="s">
        <v>480</v>
      </c>
      <c r="AJ228" s="1" t="s">
        <v>480</v>
      </c>
      <c r="AK228" s="1" t="s">
        <v>480</v>
      </c>
      <c r="AL228" s="1" t="s">
        <v>480</v>
      </c>
      <c r="AM228" s="1">
        <v>1</v>
      </c>
      <c r="AN228" s="1" t="s">
        <v>480</v>
      </c>
      <c r="AO228" s="1" t="s">
        <v>480</v>
      </c>
      <c r="AP228" s="1" t="s">
        <v>480</v>
      </c>
      <c r="AQ228" s="1" t="s">
        <v>480</v>
      </c>
      <c r="AR228" s="1" t="s">
        <v>480</v>
      </c>
      <c r="AS228" s="1" t="s">
        <v>480</v>
      </c>
      <c r="AT228" s="1">
        <f t="shared" si="31"/>
        <v>4</v>
      </c>
    </row>
    <row r="229" spans="1:46" x14ac:dyDescent="0.25">
      <c r="A229" s="1">
        <f>COUNTIF('Value Matchup'!$D$356:$D$423,'Team History'!B229)</f>
        <v>0</v>
      </c>
      <c r="B229" t="s">
        <v>323</v>
      </c>
      <c r="C229" s="1">
        <f t="shared" si="24"/>
        <v>1</v>
      </c>
      <c r="D229" s="1">
        <f t="shared" si="25"/>
        <v>0</v>
      </c>
      <c r="E229" s="1">
        <f t="shared" si="26"/>
        <v>0</v>
      </c>
      <c r="F229" s="1">
        <f t="shared" si="27"/>
        <v>0</v>
      </c>
      <c r="G229" s="1">
        <f t="shared" si="28"/>
        <v>0</v>
      </c>
      <c r="H229" s="1">
        <f t="shared" si="29"/>
        <v>0</v>
      </c>
      <c r="I229" s="64">
        <f t="shared" si="30"/>
        <v>8</v>
      </c>
      <c r="K229" s="90" t="s">
        <v>480</v>
      </c>
      <c r="L229" s="1" t="s">
        <v>480</v>
      </c>
      <c r="M229" s="1" t="s">
        <v>480</v>
      </c>
      <c r="N229" s="1" t="s">
        <v>480</v>
      </c>
      <c r="O229" s="1" t="s">
        <v>480</v>
      </c>
      <c r="P229" s="1" t="s">
        <v>480</v>
      </c>
      <c r="Q229" s="1" t="s">
        <v>480</v>
      </c>
      <c r="R229" s="1" t="s">
        <v>480</v>
      </c>
      <c r="S229" s="1" t="s">
        <v>480</v>
      </c>
      <c r="T229" s="1" t="s">
        <v>480</v>
      </c>
      <c r="U229" s="1" t="s">
        <v>480</v>
      </c>
      <c r="V229" s="1" t="s">
        <v>480</v>
      </c>
      <c r="W229" s="1" t="s">
        <v>480</v>
      </c>
      <c r="X229" s="1" t="s">
        <v>480</v>
      </c>
      <c r="Y229" s="1" t="s">
        <v>480</v>
      </c>
      <c r="Z229" s="1" t="s">
        <v>480</v>
      </c>
      <c r="AA229" s="1" t="s">
        <v>480</v>
      </c>
      <c r="AB229" s="1">
        <v>0</v>
      </c>
      <c r="AC229" s="1" t="s">
        <v>480</v>
      </c>
      <c r="AD229" s="1">
        <v>1</v>
      </c>
      <c r="AE229" s="1" t="s">
        <v>480</v>
      </c>
      <c r="AF229" s="1" t="s">
        <v>480</v>
      </c>
      <c r="AG229" s="1" t="s">
        <v>480</v>
      </c>
      <c r="AH229" s="1" t="s">
        <v>480</v>
      </c>
      <c r="AI229" s="1" t="s">
        <v>480</v>
      </c>
      <c r="AJ229" s="1">
        <v>0</v>
      </c>
      <c r="AK229" s="1" t="s">
        <v>480</v>
      </c>
      <c r="AL229" s="1">
        <v>0</v>
      </c>
      <c r="AM229" s="1">
        <v>0</v>
      </c>
      <c r="AN229" s="1" t="s">
        <v>480</v>
      </c>
      <c r="AO229" s="1" t="s">
        <v>480</v>
      </c>
      <c r="AP229" s="1" t="s">
        <v>480</v>
      </c>
      <c r="AQ229" s="1" t="s">
        <v>480</v>
      </c>
      <c r="AR229" s="1">
        <v>0</v>
      </c>
      <c r="AS229" s="1">
        <v>0</v>
      </c>
      <c r="AT229" s="1">
        <f t="shared" si="31"/>
        <v>7</v>
      </c>
    </row>
    <row r="230" spans="1:46" x14ac:dyDescent="0.25">
      <c r="A230" s="1">
        <f>COUNTIF('Value Matchup'!$D$356:$D$423,'Team History'!B230)</f>
        <v>0</v>
      </c>
      <c r="B230" t="s">
        <v>83</v>
      </c>
      <c r="C230" s="1">
        <f t="shared" si="24"/>
        <v>13</v>
      </c>
      <c r="D230" s="1">
        <f t="shared" si="25"/>
        <v>5</v>
      </c>
      <c r="E230" s="1">
        <f t="shared" si="26"/>
        <v>1</v>
      </c>
      <c r="F230" s="1">
        <f t="shared" si="27"/>
        <v>0</v>
      </c>
      <c r="G230" s="1">
        <f t="shared" si="28"/>
        <v>0</v>
      </c>
      <c r="H230" s="1">
        <f t="shared" si="29"/>
        <v>0</v>
      </c>
      <c r="I230" s="64">
        <f t="shared" si="30"/>
        <v>41</v>
      </c>
      <c r="K230" s="90" t="s">
        <v>480</v>
      </c>
      <c r="L230" s="1" t="s">
        <v>480</v>
      </c>
      <c r="M230" s="1" t="s">
        <v>480</v>
      </c>
      <c r="N230" s="1">
        <v>0</v>
      </c>
      <c r="O230" s="1" t="s">
        <v>480</v>
      </c>
      <c r="P230" s="1">
        <v>1</v>
      </c>
      <c r="Q230" s="1">
        <v>0</v>
      </c>
      <c r="R230" s="1" t="s">
        <v>480</v>
      </c>
      <c r="S230" s="1">
        <v>1</v>
      </c>
      <c r="T230" s="1">
        <v>1</v>
      </c>
      <c r="U230" s="1">
        <v>3</v>
      </c>
      <c r="V230" s="1">
        <v>1</v>
      </c>
      <c r="W230" s="1">
        <v>2</v>
      </c>
      <c r="X230" s="1">
        <v>1</v>
      </c>
      <c r="Y230" s="1">
        <v>0</v>
      </c>
      <c r="Z230" s="1">
        <v>2</v>
      </c>
      <c r="AA230" s="1">
        <v>2</v>
      </c>
      <c r="AB230" s="1">
        <v>2</v>
      </c>
      <c r="AC230" s="1" t="s">
        <v>480</v>
      </c>
      <c r="AD230" s="1" t="s">
        <v>480</v>
      </c>
      <c r="AE230" s="1" t="s">
        <v>480</v>
      </c>
      <c r="AF230" s="1" t="s">
        <v>480</v>
      </c>
      <c r="AG230" s="1" t="s">
        <v>480</v>
      </c>
      <c r="AH230" s="1" t="s">
        <v>480</v>
      </c>
      <c r="AI230" s="1" t="s">
        <v>480</v>
      </c>
      <c r="AJ230" s="1" t="s">
        <v>480</v>
      </c>
      <c r="AK230" s="1">
        <v>0</v>
      </c>
      <c r="AL230" s="1" t="s">
        <v>480</v>
      </c>
      <c r="AM230" s="1">
        <v>1</v>
      </c>
      <c r="AN230" s="1" t="s">
        <v>480</v>
      </c>
      <c r="AO230" s="1">
        <v>0</v>
      </c>
      <c r="AP230" s="1">
        <v>1</v>
      </c>
      <c r="AQ230" s="1">
        <v>1</v>
      </c>
      <c r="AR230" s="1" t="s">
        <v>480</v>
      </c>
      <c r="AS230" s="1">
        <v>0</v>
      </c>
      <c r="AT230" s="1">
        <f t="shared" si="31"/>
        <v>19</v>
      </c>
    </row>
    <row r="231" spans="1:46" x14ac:dyDescent="0.25">
      <c r="A231" s="1">
        <f>COUNTIF('Value Matchup'!$D$356:$D$423,'Team History'!B231)</f>
        <v>0</v>
      </c>
      <c r="B231" t="s">
        <v>324</v>
      </c>
      <c r="C231" s="1">
        <f t="shared" si="24"/>
        <v>0</v>
      </c>
      <c r="D231" s="1">
        <f t="shared" si="25"/>
        <v>0</v>
      </c>
      <c r="E231" s="1">
        <f t="shared" si="26"/>
        <v>0</v>
      </c>
      <c r="F231" s="1">
        <f t="shared" si="27"/>
        <v>0</v>
      </c>
      <c r="G231" s="1">
        <f t="shared" si="28"/>
        <v>0</v>
      </c>
      <c r="H231" s="1">
        <f t="shared" si="29"/>
        <v>0</v>
      </c>
      <c r="I231" s="64">
        <f t="shared" si="30"/>
        <v>1</v>
      </c>
      <c r="K231" s="90" t="s">
        <v>480</v>
      </c>
      <c r="L231" s="1" t="s">
        <v>480</v>
      </c>
      <c r="M231" s="1" t="s">
        <v>480</v>
      </c>
      <c r="N231" s="1" t="s">
        <v>480</v>
      </c>
      <c r="O231" s="1" t="s">
        <v>480</v>
      </c>
      <c r="P231" s="1" t="s">
        <v>480</v>
      </c>
      <c r="Q231" s="1" t="s">
        <v>480</v>
      </c>
      <c r="R231" s="1" t="s">
        <v>480</v>
      </c>
      <c r="S231" s="1" t="s">
        <v>480</v>
      </c>
      <c r="T231" s="1" t="s">
        <v>480</v>
      </c>
      <c r="U231" s="1" t="s">
        <v>480</v>
      </c>
      <c r="V231" s="1" t="s">
        <v>480</v>
      </c>
      <c r="W231" s="1" t="s">
        <v>480</v>
      </c>
      <c r="X231" s="1" t="s">
        <v>480</v>
      </c>
      <c r="Y231" s="1" t="s">
        <v>480</v>
      </c>
      <c r="Z231" s="1" t="s">
        <v>480</v>
      </c>
      <c r="AA231" s="1" t="s">
        <v>480</v>
      </c>
      <c r="AB231" s="1" t="s">
        <v>480</v>
      </c>
      <c r="AC231" s="1" t="s">
        <v>480</v>
      </c>
      <c r="AD231" s="1" t="s">
        <v>480</v>
      </c>
      <c r="AE231" s="1" t="s">
        <v>480</v>
      </c>
      <c r="AF231" s="1" t="s">
        <v>480</v>
      </c>
      <c r="AG231" s="1" t="s">
        <v>480</v>
      </c>
      <c r="AH231" s="1">
        <v>0</v>
      </c>
      <c r="AI231" s="1" t="s">
        <v>480</v>
      </c>
      <c r="AJ231" s="1" t="s">
        <v>480</v>
      </c>
      <c r="AK231" s="1" t="s">
        <v>480</v>
      </c>
      <c r="AL231" s="1" t="s">
        <v>480</v>
      </c>
      <c r="AM231" s="1" t="s">
        <v>480</v>
      </c>
      <c r="AN231" s="1" t="s">
        <v>480</v>
      </c>
      <c r="AO231" s="1" t="s">
        <v>480</v>
      </c>
      <c r="AP231" s="1" t="s">
        <v>480</v>
      </c>
      <c r="AQ231" s="1" t="s">
        <v>480</v>
      </c>
      <c r="AR231" s="1" t="s">
        <v>480</v>
      </c>
      <c r="AS231" s="1" t="s">
        <v>480</v>
      </c>
      <c r="AT231" s="1">
        <f t="shared" si="31"/>
        <v>1</v>
      </c>
    </row>
    <row r="232" spans="1:46" x14ac:dyDescent="0.25">
      <c r="A232" s="1">
        <f>COUNTIF('Value Matchup'!$D$356:$D$423,'Team History'!B232)</f>
        <v>0</v>
      </c>
      <c r="B232" t="s">
        <v>325</v>
      </c>
      <c r="C232" s="1">
        <f t="shared" si="24"/>
        <v>0</v>
      </c>
      <c r="D232" s="1">
        <f t="shared" si="25"/>
        <v>0</v>
      </c>
      <c r="E232" s="1">
        <f t="shared" si="26"/>
        <v>0</v>
      </c>
      <c r="F232" s="1">
        <f t="shared" si="27"/>
        <v>0</v>
      </c>
      <c r="G232" s="1">
        <f t="shared" si="28"/>
        <v>0</v>
      </c>
      <c r="H232" s="1">
        <f t="shared" si="29"/>
        <v>0</v>
      </c>
      <c r="I232" s="64">
        <f t="shared" si="30"/>
        <v>2</v>
      </c>
      <c r="K232" s="90" t="s">
        <v>480</v>
      </c>
      <c r="L232" s="1" t="s">
        <v>480</v>
      </c>
      <c r="M232" s="1" t="s">
        <v>480</v>
      </c>
      <c r="N232" s="1" t="s">
        <v>480</v>
      </c>
      <c r="O232" s="1" t="s">
        <v>480</v>
      </c>
      <c r="P232" s="1" t="s">
        <v>480</v>
      </c>
      <c r="Q232" s="1" t="s">
        <v>480</v>
      </c>
      <c r="R232" s="1" t="s">
        <v>480</v>
      </c>
      <c r="S232" s="1" t="s">
        <v>480</v>
      </c>
      <c r="T232" s="1" t="s">
        <v>480</v>
      </c>
      <c r="U232" s="1">
        <v>0</v>
      </c>
      <c r="V232" s="1">
        <v>0</v>
      </c>
      <c r="W232" s="1" t="s">
        <v>480</v>
      </c>
      <c r="X232" s="1" t="s">
        <v>480</v>
      </c>
      <c r="Y232" s="1" t="s">
        <v>480</v>
      </c>
      <c r="Z232" s="1" t="s">
        <v>480</v>
      </c>
      <c r="AA232" s="1" t="s">
        <v>480</v>
      </c>
      <c r="AB232" s="1" t="s">
        <v>480</v>
      </c>
      <c r="AC232" s="1" t="s">
        <v>480</v>
      </c>
      <c r="AD232" s="1" t="s">
        <v>480</v>
      </c>
      <c r="AE232" s="1" t="s">
        <v>480</v>
      </c>
      <c r="AF232" s="1" t="s">
        <v>480</v>
      </c>
      <c r="AG232" s="1" t="s">
        <v>480</v>
      </c>
      <c r="AH232" s="1" t="s">
        <v>480</v>
      </c>
      <c r="AI232" s="1" t="s">
        <v>480</v>
      </c>
      <c r="AJ232" s="1" t="s">
        <v>480</v>
      </c>
      <c r="AK232" s="1" t="s">
        <v>480</v>
      </c>
      <c r="AL232" s="1" t="s">
        <v>480</v>
      </c>
      <c r="AM232" s="1" t="s">
        <v>480</v>
      </c>
      <c r="AN232" s="1" t="s">
        <v>480</v>
      </c>
      <c r="AO232" s="1" t="s">
        <v>480</v>
      </c>
      <c r="AP232" s="1" t="s">
        <v>480</v>
      </c>
      <c r="AQ232" s="1" t="s">
        <v>480</v>
      </c>
      <c r="AR232" s="1" t="s">
        <v>480</v>
      </c>
      <c r="AS232" s="1" t="s">
        <v>480</v>
      </c>
      <c r="AT232" s="1">
        <f t="shared" si="31"/>
        <v>2</v>
      </c>
    </row>
    <row r="233" spans="1:46" x14ac:dyDescent="0.25">
      <c r="A233" s="1">
        <f>COUNTIF('Value Matchup'!$D$356:$D$423,'Team History'!B233)</f>
        <v>0</v>
      </c>
      <c r="B233" t="s">
        <v>326</v>
      </c>
      <c r="C233" s="1">
        <f t="shared" si="24"/>
        <v>0</v>
      </c>
      <c r="D233" s="1">
        <f t="shared" si="25"/>
        <v>0</v>
      </c>
      <c r="E233" s="1">
        <f t="shared" si="26"/>
        <v>0</v>
      </c>
      <c r="F233" s="1">
        <f t="shared" si="27"/>
        <v>0</v>
      </c>
      <c r="G233" s="1">
        <f t="shared" si="28"/>
        <v>0</v>
      </c>
      <c r="H233" s="1">
        <f t="shared" si="29"/>
        <v>0</v>
      </c>
      <c r="I233" s="64">
        <f t="shared" si="30"/>
        <v>2</v>
      </c>
      <c r="K233" s="90">
        <v>0</v>
      </c>
      <c r="L233" s="1" t="s">
        <v>480</v>
      </c>
      <c r="M233" s="1" t="s">
        <v>480</v>
      </c>
      <c r="N233" s="1" t="s">
        <v>480</v>
      </c>
      <c r="O233" s="1" t="s">
        <v>480</v>
      </c>
      <c r="P233" s="1" t="s">
        <v>480</v>
      </c>
      <c r="Q233" s="1" t="s">
        <v>480</v>
      </c>
      <c r="R233" s="1" t="s">
        <v>480</v>
      </c>
      <c r="S233" s="1" t="s">
        <v>480</v>
      </c>
      <c r="T233" s="1" t="s">
        <v>480</v>
      </c>
      <c r="U233" s="1" t="s">
        <v>480</v>
      </c>
      <c r="V233" s="1" t="s">
        <v>480</v>
      </c>
      <c r="W233" s="1" t="s">
        <v>480</v>
      </c>
      <c r="X233" s="1" t="s">
        <v>480</v>
      </c>
      <c r="Y233" s="1" t="s">
        <v>480</v>
      </c>
      <c r="Z233" s="1" t="s">
        <v>480</v>
      </c>
      <c r="AA233" s="1" t="s">
        <v>480</v>
      </c>
      <c r="AB233" s="1" t="s">
        <v>480</v>
      </c>
      <c r="AC233" s="1" t="s">
        <v>480</v>
      </c>
      <c r="AD233" s="1" t="s">
        <v>480</v>
      </c>
      <c r="AE233" s="1" t="s">
        <v>480</v>
      </c>
      <c r="AF233" s="1">
        <v>0</v>
      </c>
      <c r="AG233" s="1" t="s">
        <v>480</v>
      </c>
      <c r="AH233" s="1" t="s">
        <v>480</v>
      </c>
      <c r="AI233" s="1" t="s">
        <v>480</v>
      </c>
      <c r="AJ233" s="1" t="s">
        <v>480</v>
      </c>
      <c r="AK233" s="1" t="s">
        <v>480</v>
      </c>
      <c r="AL233" s="1" t="s">
        <v>480</v>
      </c>
      <c r="AM233" s="1" t="s">
        <v>480</v>
      </c>
      <c r="AN233" s="1" t="s">
        <v>480</v>
      </c>
      <c r="AO233" s="1" t="s">
        <v>480</v>
      </c>
      <c r="AP233" s="1" t="s">
        <v>480</v>
      </c>
      <c r="AQ233" s="1" t="s">
        <v>480</v>
      </c>
      <c r="AR233" s="1" t="s">
        <v>480</v>
      </c>
      <c r="AS233" s="1" t="s">
        <v>480</v>
      </c>
      <c r="AT233" s="1">
        <f t="shared" si="31"/>
        <v>2</v>
      </c>
    </row>
    <row r="234" spans="1:46" x14ac:dyDescent="0.25">
      <c r="A234" s="1">
        <f>COUNTIF('Value Matchup'!$D$356:$D$423,'Team History'!B234)</f>
        <v>0</v>
      </c>
      <c r="B234" t="s">
        <v>327</v>
      </c>
      <c r="C234" s="1">
        <f t="shared" si="24"/>
        <v>0</v>
      </c>
      <c r="D234" s="1">
        <f t="shared" si="25"/>
        <v>0</v>
      </c>
      <c r="E234" s="1">
        <f t="shared" si="26"/>
        <v>0</v>
      </c>
      <c r="F234" s="1">
        <f t="shared" si="27"/>
        <v>0</v>
      </c>
      <c r="G234" s="1">
        <f t="shared" si="28"/>
        <v>0</v>
      </c>
      <c r="H234" s="1">
        <f t="shared" si="29"/>
        <v>0</v>
      </c>
      <c r="I234" s="64">
        <f t="shared" si="30"/>
        <v>0</v>
      </c>
      <c r="K234" s="90" t="s">
        <v>480</v>
      </c>
      <c r="L234" s="1" t="s">
        <v>480</v>
      </c>
      <c r="M234" s="1" t="s">
        <v>480</v>
      </c>
      <c r="N234" s="1" t="s">
        <v>480</v>
      </c>
      <c r="O234" s="1" t="s">
        <v>480</v>
      </c>
      <c r="P234" s="1" t="s">
        <v>480</v>
      </c>
      <c r="Q234" s="1" t="s">
        <v>480</v>
      </c>
      <c r="R234" s="1" t="s">
        <v>480</v>
      </c>
      <c r="S234" s="1" t="s">
        <v>480</v>
      </c>
      <c r="T234" s="1" t="s">
        <v>480</v>
      </c>
      <c r="U234" s="1" t="s">
        <v>480</v>
      </c>
      <c r="V234" s="1" t="s">
        <v>480</v>
      </c>
      <c r="W234" s="1" t="s">
        <v>480</v>
      </c>
      <c r="X234" s="1" t="s">
        <v>480</v>
      </c>
      <c r="Y234" s="1" t="s">
        <v>480</v>
      </c>
      <c r="Z234" s="1" t="s">
        <v>480</v>
      </c>
      <c r="AA234" s="1" t="s">
        <v>480</v>
      </c>
      <c r="AB234" s="1" t="s">
        <v>480</v>
      </c>
      <c r="AC234" s="1" t="s">
        <v>480</v>
      </c>
      <c r="AD234" s="1" t="s">
        <v>480</v>
      </c>
      <c r="AE234" s="1" t="s">
        <v>480</v>
      </c>
      <c r="AF234" s="1" t="s">
        <v>480</v>
      </c>
      <c r="AG234" s="1" t="s">
        <v>480</v>
      </c>
      <c r="AH234" s="1" t="s">
        <v>480</v>
      </c>
      <c r="AI234" s="1" t="s">
        <v>480</v>
      </c>
      <c r="AJ234" s="1" t="s">
        <v>480</v>
      </c>
      <c r="AK234" s="1" t="s">
        <v>480</v>
      </c>
      <c r="AL234" s="1" t="s">
        <v>480</v>
      </c>
      <c r="AM234" s="1" t="s">
        <v>480</v>
      </c>
      <c r="AN234" s="1" t="s">
        <v>480</v>
      </c>
      <c r="AO234" s="1" t="s">
        <v>480</v>
      </c>
      <c r="AP234" s="1" t="s">
        <v>480</v>
      </c>
      <c r="AQ234" s="1" t="s">
        <v>480</v>
      </c>
      <c r="AR234" s="1" t="s">
        <v>480</v>
      </c>
      <c r="AS234" s="1" t="s">
        <v>480</v>
      </c>
      <c r="AT234" s="1">
        <f t="shared" si="31"/>
        <v>0</v>
      </c>
    </row>
    <row r="235" spans="1:46" x14ac:dyDescent="0.25">
      <c r="A235" s="1">
        <f>COUNTIF('Value Matchup'!$D$356:$D$423,'Team History'!B235)</f>
        <v>0</v>
      </c>
      <c r="B235" t="s">
        <v>91</v>
      </c>
      <c r="C235" s="1">
        <f t="shared" si="24"/>
        <v>2</v>
      </c>
      <c r="D235" s="1">
        <f t="shared" si="25"/>
        <v>0</v>
      </c>
      <c r="E235" s="1">
        <f t="shared" si="26"/>
        <v>0</v>
      </c>
      <c r="F235" s="1">
        <f t="shared" si="27"/>
        <v>0</v>
      </c>
      <c r="G235" s="1">
        <f t="shared" si="28"/>
        <v>0</v>
      </c>
      <c r="H235" s="1">
        <f t="shared" si="29"/>
        <v>0</v>
      </c>
      <c r="I235" s="64">
        <f t="shared" si="30"/>
        <v>13</v>
      </c>
      <c r="K235" s="90" t="s">
        <v>480</v>
      </c>
      <c r="L235" s="1" t="s">
        <v>480</v>
      </c>
      <c r="M235" s="1">
        <v>0</v>
      </c>
      <c r="N235" s="1" t="s">
        <v>480</v>
      </c>
      <c r="O235" s="1" t="s">
        <v>480</v>
      </c>
      <c r="P235" s="1" t="s">
        <v>480</v>
      </c>
      <c r="Q235" s="1" t="s">
        <v>480</v>
      </c>
      <c r="R235" s="1" t="s">
        <v>480</v>
      </c>
      <c r="S235" s="1">
        <v>0</v>
      </c>
      <c r="T235" s="1" t="s">
        <v>480</v>
      </c>
      <c r="U235" s="1" t="s">
        <v>480</v>
      </c>
      <c r="V235" s="1" t="s">
        <v>480</v>
      </c>
      <c r="W235" s="1" t="s">
        <v>480</v>
      </c>
      <c r="X235" s="1" t="s">
        <v>480</v>
      </c>
      <c r="Y235" s="1" t="s">
        <v>480</v>
      </c>
      <c r="Z235" s="1">
        <v>0</v>
      </c>
      <c r="AA235" s="1" t="s">
        <v>480</v>
      </c>
      <c r="AB235" s="1" t="s">
        <v>480</v>
      </c>
      <c r="AC235" s="1">
        <v>0</v>
      </c>
      <c r="AD235" s="1" t="s">
        <v>480</v>
      </c>
      <c r="AE235" s="1" t="s">
        <v>480</v>
      </c>
      <c r="AF235" s="1">
        <v>1</v>
      </c>
      <c r="AG235" s="1">
        <v>0</v>
      </c>
      <c r="AH235" s="1">
        <v>1</v>
      </c>
      <c r="AI235" s="1" t="s">
        <v>480</v>
      </c>
      <c r="AJ235" s="1" t="s">
        <v>480</v>
      </c>
      <c r="AK235" s="1" t="s">
        <v>480</v>
      </c>
      <c r="AL235" s="1">
        <v>0</v>
      </c>
      <c r="AM235" s="1">
        <v>0</v>
      </c>
      <c r="AN235" s="1">
        <v>0</v>
      </c>
      <c r="AO235" s="1">
        <v>0</v>
      </c>
      <c r="AP235" s="1" t="s">
        <v>480</v>
      </c>
      <c r="AQ235" s="1" t="s">
        <v>480</v>
      </c>
      <c r="AR235" s="1" t="s">
        <v>480</v>
      </c>
      <c r="AS235" s="1" t="s">
        <v>480</v>
      </c>
      <c r="AT235" s="1">
        <f t="shared" si="31"/>
        <v>11</v>
      </c>
    </row>
    <row r="236" spans="1:46" x14ac:dyDescent="0.25">
      <c r="A236" s="1">
        <f>COUNTIF('Value Matchup'!$D$356:$D$423,'Team History'!B236)</f>
        <v>0</v>
      </c>
      <c r="B236" t="s">
        <v>56</v>
      </c>
      <c r="C236" s="1">
        <f t="shared" si="24"/>
        <v>3</v>
      </c>
      <c r="D236" s="1">
        <f t="shared" si="25"/>
        <v>2</v>
      </c>
      <c r="E236" s="1">
        <f t="shared" si="26"/>
        <v>2</v>
      </c>
      <c r="F236" s="1">
        <f t="shared" si="27"/>
        <v>1</v>
      </c>
      <c r="G236" s="1">
        <f t="shared" si="28"/>
        <v>0</v>
      </c>
      <c r="H236" s="1">
        <f t="shared" si="29"/>
        <v>0</v>
      </c>
      <c r="I236" s="64">
        <f t="shared" si="30"/>
        <v>21</v>
      </c>
      <c r="K236" s="90" t="s">
        <v>480</v>
      </c>
      <c r="L236" s="1">
        <v>0</v>
      </c>
      <c r="M236" s="1">
        <v>0</v>
      </c>
      <c r="N236" s="1">
        <v>1</v>
      </c>
      <c r="O236" s="1">
        <v>0</v>
      </c>
      <c r="P236" s="1">
        <v>0</v>
      </c>
      <c r="Q236" s="1" t="s">
        <v>480</v>
      </c>
      <c r="R236" s="1" t="s">
        <v>480</v>
      </c>
      <c r="S236" s="1" t="s">
        <v>480</v>
      </c>
      <c r="T236" s="1" t="s">
        <v>480</v>
      </c>
      <c r="U236" s="1" t="s">
        <v>480</v>
      </c>
      <c r="V236" s="1" t="s">
        <v>480</v>
      </c>
      <c r="W236" s="1" t="s">
        <v>480</v>
      </c>
      <c r="X236" s="1" t="s">
        <v>480</v>
      </c>
      <c r="Y236" s="1" t="s">
        <v>480</v>
      </c>
      <c r="Z236" s="1">
        <v>0</v>
      </c>
      <c r="AA236" s="1" t="s">
        <v>480</v>
      </c>
      <c r="AB236" s="1" t="s">
        <v>480</v>
      </c>
      <c r="AC236" s="1">
        <v>0</v>
      </c>
      <c r="AD236" s="1" t="s">
        <v>480</v>
      </c>
      <c r="AE236" s="1" t="s">
        <v>480</v>
      </c>
      <c r="AF236" s="1" t="s">
        <v>480</v>
      </c>
      <c r="AG236" s="1">
        <v>3</v>
      </c>
      <c r="AH236" s="1" t="s">
        <v>480</v>
      </c>
      <c r="AI236" s="1" t="s">
        <v>480</v>
      </c>
      <c r="AJ236" s="1">
        <v>0</v>
      </c>
      <c r="AK236" s="1" t="s">
        <v>480</v>
      </c>
      <c r="AL236" s="1" t="s">
        <v>480</v>
      </c>
      <c r="AM236" s="1" t="s">
        <v>480</v>
      </c>
      <c r="AN236" s="1">
        <v>0</v>
      </c>
      <c r="AO236" s="1">
        <v>0</v>
      </c>
      <c r="AP236" s="1" t="s">
        <v>480</v>
      </c>
      <c r="AQ236" s="1">
        <v>4</v>
      </c>
      <c r="AR236" s="1" t="s">
        <v>480</v>
      </c>
      <c r="AS236" s="1" t="s">
        <v>480</v>
      </c>
      <c r="AT236" s="1">
        <f t="shared" si="31"/>
        <v>12</v>
      </c>
    </row>
    <row r="237" spans="1:46" x14ac:dyDescent="0.25">
      <c r="A237" s="1">
        <f>COUNTIF('Value Matchup'!$D$356:$D$423,'Team History'!B237)</f>
        <v>1</v>
      </c>
      <c r="B237" t="s">
        <v>29</v>
      </c>
      <c r="C237" s="1">
        <f t="shared" si="24"/>
        <v>20</v>
      </c>
      <c r="D237" s="1">
        <f t="shared" si="25"/>
        <v>10</v>
      </c>
      <c r="E237" s="1">
        <f t="shared" si="26"/>
        <v>3</v>
      </c>
      <c r="F237" s="1">
        <f t="shared" si="27"/>
        <v>0</v>
      </c>
      <c r="G237" s="1">
        <f t="shared" si="28"/>
        <v>0</v>
      </c>
      <c r="H237" s="1">
        <f t="shared" si="29"/>
        <v>0</v>
      </c>
      <c r="I237" s="64">
        <f t="shared" si="30"/>
        <v>70</v>
      </c>
      <c r="K237" s="90">
        <v>3</v>
      </c>
      <c r="L237" s="1">
        <v>2</v>
      </c>
      <c r="M237" s="1">
        <v>2</v>
      </c>
      <c r="N237" s="1">
        <v>0</v>
      </c>
      <c r="O237" s="1">
        <v>0</v>
      </c>
      <c r="P237" s="1" t="s">
        <v>480</v>
      </c>
      <c r="Q237" s="1" t="s">
        <v>480</v>
      </c>
      <c r="R237" s="1">
        <v>1</v>
      </c>
      <c r="S237" s="1">
        <v>1</v>
      </c>
      <c r="T237" s="1">
        <v>2</v>
      </c>
      <c r="U237" s="1">
        <v>2</v>
      </c>
      <c r="V237" s="1">
        <v>1</v>
      </c>
      <c r="W237" s="1">
        <v>1</v>
      </c>
      <c r="X237" s="1" t="s">
        <v>480</v>
      </c>
      <c r="Y237" s="1" t="s">
        <v>480</v>
      </c>
      <c r="Z237" s="1" t="s">
        <v>480</v>
      </c>
      <c r="AA237" s="1">
        <v>1</v>
      </c>
      <c r="AB237" s="1" t="s">
        <v>480</v>
      </c>
      <c r="AC237" s="1" t="s">
        <v>480</v>
      </c>
      <c r="AD237" s="1">
        <v>3</v>
      </c>
      <c r="AE237" s="1">
        <v>2</v>
      </c>
      <c r="AF237" s="1">
        <v>2</v>
      </c>
      <c r="AG237" s="1">
        <v>1</v>
      </c>
      <c r="AH237" s="1">
        <v>1</v>
      </c>
      <c r="AI237" s="1">
        <v>1</v>
      </c>
      <c r="AJ237" s="1">
        <v>3</v>
      </c>
      <c r="AK237" s="1">
        <v>0</v>
      </c>
      <c r="AL237" s="1" t="s">
        <v>480</v>
      </c>
      <c r="AM237" s="1">
        <v>0</v>
      </c>
      <c r="AN237" s="1">
        <v>1</v>
      </c>
      <c r="AO237" s="1" t="s">
        <v>480</v>
      </c>
      <c r="AP237" s="1">
        <v>2</v>
      </c>
      <c r="AQ237" s="1">
        <v>1</v>
      </c>
      <c r="AR237" s="1">
        <v>0</v>
      </c>
      <c r="AS237" s="1">
        <v>0</v>
      </c>
      <c r="AT237" s="1">
        <f t="shared" si="31"/>
        <v>26</v>
      </c>
    </row>
    <row r="238" spans="1:46" x14ac:dyDescent="0.25">
      <c r="A238" s="1">
        <f>COUNTIF('Value Matchup'!$D$356:$D$423,'Team History'!B238)</f>
        <v>0</v>
      </c>
      <c r="B238" t="s">
        <v>491</v>
      </c>
      <c r="C238" s="1">
        <f t="shared" si="24"/>
        <v>0</v>
      </c>
      <c r="D238" s="1">
        <f t="shared" si="25"/>
        <v>0</v>
      </c>
      <c r="E238" s="1">
        <f t="shared" si="26"/>
        <v>0</v>
      </c>
      <c r="F238" s="1">
        <f t="shared" si="27"/>
        <v>0</v>
      </c>
      <c r="G238" s="1">
        <f t="shared" si="28"/>
        <v>0</v>
      </c>
      <c r="H238" s="1">
        <f t="shared" si="29"/>
        <v>0</v>
      </c>
      <c r="I238" s="64">
        <f t="shared" si="30"/>
        <v>0</v>
      </c>
      <c r="K238" s="90" t="s">
        <v>480</v>
      </c>
      <c r="L238" s="1" t="s">
        <v>480</v>
      </c>
      <c r="M238" s="1" t="s">
        <v>480</v>
      </c>
      <c r="N238" s="1" t="s">
        <v>480</v>
      </c>
      <c r="O238" s="1" t="s">
        <v>480</v>
      </c>
      <c r="P238" s="1" t="s">
        <v>480</v>
      </c>
      <c r="Q238" s="1" t="s">
        <v>480</v>
      </c>
      <c r="R238" s="1" t="s">
        <v>480</v>
      </c>
      <c r="S238" s="1" t="s">
        <v>480</v>
      </c>
      <c r="T238" s="1" t="s">
        <v>480</v>
      </c>
      <c r="U238" s="1" t="s">
        <v>480</v>
      </c>
      <c r="V238" s="1" t="s">
        <v>480</v>
      </c>
      <c r="W238" s="1" t="s">
        <v>480</v>
      </c>
      <c r="X238" s="1" t="s">
        <v>480</v>
      </c>
      <c r="Y238" s="1" t="s">
        <v>480</v>
      </c>
      <c r="Z238" s="1" t="s">
        <v>480</v>
      </c>
      <c r="AA238" s="1" t="s">
        <v>480</v>
      </c>
      <c r="AB238" s="1" t="s">
        <v>480</v>
      </c>
      <c r="AC238" s="1" t="s">
        <v>480</v>
      </c>
      <c r="AD238" s="1" t="s">
        <v>480</v>
      </c>
      <c r="AE238" s="1" t="s">
        <v>480</v>
      </c>
      <c r="AF238" s="1" t="s">
        <v>480</v>
      </c>
      <c r="AG238" s="1" t="s">
        <v>480</v>
      </c>
      <c r="AH238" s="1" t="s">
        <v>480</v>
      </c>
      <c r="AI238" s="1" t="s">
        <v>480</v>
      </c>
      <c r="AJ238" s="1" t="s">
        <v>480</v>
      </c>
      <c r="AK238" s="1" t="s">
        <v>480</v>
      </c>
      <c r="AL238" s="1" t="s">
        <v>480</v>
      </c>
      <c r="AM238" s="1" t="s">
        <v>480</v>
      </c>
      <c r="AN238" s="1" t="s">
        <v>480</v>
      </c>
      <c r="AO238" s="1" t="s">
        <v>480</v>
      </c>
      <c r="AP238" s="1" t="s">
        <v>480</v>
      </c>
      <c r="AQ238" s="1" t="s">
        <v>480</v>
      </c>
      <c r="AR238" s="1" t="s">
        <v>480</v>
      </c>
      <c r="AS238" s="1" t="s">
        <v>480</v>
      </c>
      <c r="AT238" s="1">
        <f t="shared" si="31"/>
        <v>0</v>
      </c>
    </row>
    <row r="239" spans="1:46" x14ac:dyDescent="0.25">
      <c r="A239" s="1">
        <f>COUNTIF('Value Matchup'!$D$356:$D$423,'Team History'!B239)</f>
        <v>0</v>
      </c>
      <c r="B239" t="s">
        <v>328</v>
      </c>
      <c r="C239" s="1">
        <f t="shared" si="24"/>
        <v>0</v>
      </c>
      <c r="D239" s="1">
        <f t="shared" si="25"/>
        <v>0</v>
      </c>
      <c r="E239" s="1">
        <f t="shared" si="26"/>
        <v>0</v>
      </c>
      <c r="F239" s="1">
        <f t="shared" si="27"/>
        <v>0</v>
      </c>
      <c r="G239" s="1">
        <f t="shared" si="28"/>
        <v>0</v>
      </c>
      <c r="H239" s="1">
        <f t="shared" si="29"/>
        <v>0</v>
      </c>
      <c r="I239" s="64">
        <f t="shared" si="30"/>
        <v>0</v>
      </c>
      <c r="K239" s="90" t="s">
        <v>480</v>
      </c>
      <c r="L239" s="1" t="s">
        <v>480</v>
      </c>
      <c r="M239" s="1" t="s">
        <v>480</v>
      </c>
      <c r="N239" s="1" t="s">
        <v>480</v>
      </c>
      <c r="O239" s="1" t="s">
        <v>480</v>
      </c>
      <c r="P239" s="1" t="s">
        <v>480</v>
      </c>
      <c r="Q239" s="1" t="s">
        <v>480</v>
      </c>
      <c r="R239" s="1" t="s">
        <v>480</v>
      </c>
      <c r="S239" s="1" t="s">
        <v>480</v>
      </c>
      <c r="T239" s="1" t="s">
        <v>480</v>
      </c>
      <c r="U239" s="1" t="s">
        <v>480</v>
      </c>
      <c r="V239" s="1" t="s">
        <v>480</v>
      </c>
      <c r="W239" s="1" t="s">
        <v>480</v>
      </c>
      <c r="X239" s="1" t="s">
        <v>480</v>
      </c>
      <c r="Y239" s="1" t="s">
        <v>480</v>
      </c>
      <c r="Z239" s="1" t="s">
        <v>480</v>
      </c>
      <c r="AA239" s="1" t="s">
        <v>480</v>
      </c>
      <c r="AB239" s="1" t="s">
        <v>480</v>
      </c>
      <c r="AC239" s="1" t="s">
        <v>480</v>
      </c>
      <c r="AD239" s="1" t="s">
        <v>480</v>
      </c>
      <c r="AE239" s="1" t="s">
        <v>480</v>
      </c>
      <c r="AF239" s="1" t="s">
        <v>480</v>
      </c>
      <c r="AG239" s="1" t="s">
        <v>480</v>
      </c>
      <c r="AH239" s="1" t="s">
        <v>480</v>
      </c>
      <c r="AI239" s="1" t="s">
        <v>480</v>
      </c>
      <c r="AJ239" s="1" t="s">
        <v>480</v>
      </c>
      <c r="AK239" s="1" t="s">
        <v>480</v>
      </c>
      <c r="AL239" s="1" t="s">
        <v>480</v>
      </c>
      <c r="AM239" s="1" t="s">
        <v>480</v>
      </c>
      <c r="AN239" s="1" t="s">
        <v>480</v>
      </c>
      <c r="AO239" s="1" t="s">
        <v>480</v>
      </c>
      <c r="AP239" s="1" t="s">
        <v>480</v>
      </c>
      <c r="AQ239" s="1" t="s">
        <v>480</v>
      </c>
      <c r="AR239" s="1" t="s">
        <v>480</v>
      </c>
      <c r="AS239" s="1" t="s">
        <v>480</v>
      </c>
      <c r="AT239" s="1">
        <f t="shared" si="31"/>
        <v>0</v>
      </c>
    </row>
    <row r="240" spans="1:46" x14ac:dyDescent="0.25">
      <c r="A240" s="1">
        <f>COUNTIF('Value Matchup'!$D$356:$D$423,'Team History'!B240)</f>
        <v>0</v>
      </c>
      <c r="B240" t="s">
        <v>329</v>
      </c>
      <c r="C240" s="1">
        <f t="shared" si="24"/>
        <v>0</v>
      </c>
      <c r="D240" s="1">
        <f t="shared" si="25"/>
        <v>0</v>
      </c>
      <c r="E240" s="1">
        <f t="shared" si="26"/>
        <v>0</v>
      </c>
      <c r="F240" s="1">
        <f t="shared" si="27"/>
        <v>0</v>
      </c>
      <c r="G240" s="1">
        <f t="shared" si="28"/>
        <v>0</v>
      </c>
      <c r="H240" s="1">
        <f t="shared" si="29"/>
        <v>0</v>
      </c>
      <c r="I240" s="64">
        <f t="shared" si="30"/>
        <v>3</v>
      </c>
      <c r="K240" s="90" t="s">
        <v>480</v>
      </c>
      <c r="L240" s="1">
        <v>0</v>
      </c>
      <c r="M240" s="1" t="s">
        <v>480</v>
      </c>
      <c r="N240" s="1" t="s">
        <v>480</v>
      </c>
      <c r="O240" s="1" t="s">
        <v>480</v>
      </c>
      <c r="P240" s="1" t="s">
        <v>480</v>
      </c>
      <c r="Q240" s="1" t="s">
        <v>480</v>
      </c>
      <c r="R240" s="1" t="s">
        <v>480</v>
      </c>
      <c r="S240" s="1" t="s">
        <v>480</v>
      </c>
      <c r="T240" s="1" t="s">
        <v>480</v>
      </c>
      <c r="U240" s="1">
        <v>0</v>
      </c>
      <c r="V240" s="1" t="s">
        <v>480</v>
      </c>
      <c r="W240" s="1" t="s">
        <v>480</v>
      </c>
      <c r="X240" s="1" t="s">
        <v>480</v>
      </c>
      <c r="Y240" s="1" t="s">
        <v>480</v>
      </c>
      <c r="Z240" s="1" t="s">
        <v>480</v>
      </c>
      <c r="AA240" s="1" t="s">
        <v>480</v>
      </c>
      <c r="AB240" s="1" t="s">
        <v>480</v>
      </c>
      <c r="AC240" s="1" t="s">
        <v>480</v>
      </c>
      <c r="AD240" s="1" t="s">
        <v>480</v>
      </c>
      <c r="AE240" s="1" t="s">
        <v>480</v>
      </c>
      <c r="AF240" s="1">
        <v>0</v>
      </c>
      <c r="AG240" s="1" t="s">
        <v>480</v>
      </c>
      <c r="AH240" s="1" t="s">
        <v>480</v>
      </c>
      <c r="AI240" s="1" t="s">
        <v>480</v>
      </c>
      <c r="AJ240" s="1" t="s">
        <v>480</v>
      </c>
      <c r="AK240" s="1" t="s">
        <v>480</v>
      </c>
      <c r="AL240" s="1" t="s">
        <v>480</v>
      </c>
      <c r="AM240" s="1" t="s">
        <v>480</v>
      </c>
      <c r="AN240" s="1" t="s">
        <v>480</v>
      </c>
      <c r="AO240" s="1" t="s">
        <v>480</v>
      </c>
      <c r="AP240" s="1" t="s">
        <v>480</v>
      </c>
      <c r="AQ240" s="1" t="s">
        <v>480</v>
      </c>
      <c r="AR240" s="1" t="s">
        <v>480</v>
      </c>
      <c r="AS240" s="1" t="s">
        <v>480</v>
      </c>
      <c r="AT240" s="1">
        <f t="shared" si="31"/>
        <v>3</v>
      </c>
    </row>
    <row r="241" spans="1:46" x14ac:dyDescent="0.25">
      <c r="A241" s="1">
        <f>COUNTIF('Value Matchup'!$D$356:$D$423,'Team History'!B241)</f>
        <v>0</v>
      </c>
      <c r="B241" t="s">
        <v>96</v>
      </c>
      <c r="C241" s="1">
        <f t="shared" si="24"/>
        <v>5</v>
      </c>
      <c r="D241" s="1">
        <f t="shared" si="25"/>
        <v>2</v>
      </c>
      <c r="E241" s="1">
        <f t="shared" si="26"/>
        <v>1</v>
      </c>
      <c r="F241" s="1">
        <f t="shared" si="27"/>
        <v>0</v>
      </c>
      <c r="G241" s="1">
        <f t="shared" si="28"/>
        <v>0</v>
      </c>
      <c r="H241" s="1">
        <f t="shared" si="29"/>
        <v>0</v>
      </c>
      <c r="I241" s="64">
        <f t="shared" si="30"/>
        <v>17</v>
      </c>
      <c r="K241" s="90" t="s">
        <v>480</v>
      </c>
      <c r="L241" s="1">
        <v>1</v>
      </c>
      <c r="M241" s="1">
        <v>1</v>
      </c>
      <c r="N241" s="1" t="s">
        <v>480</v>
      </c>
      <c r="O241" s="1" t="s">
        <v>480</v>
      </c>
      <c r="P241" s="1" t="s">
        <v>480</v>
      </c>
      <c r="Q241" s="1" t="s">
        <v>480</v>
      </c>
      <c r="R241" s="1" t="s">
        <v>480</v>
      </c>
      <c r="S241" s="1" t="s">
        <v>480</v>
      </c>
      <c r="T241" s="1" t="s">
        <v>480</v>
      </c>
      <c r="U241" s="1" t="s">
        <v>480</v>
      </c>
      <c r="V241" s="1" t="s">
        <v>480</v>
      </c>
      <c r="W241" s="1" t="s">
        <v>480</v>
      </c>
      <c r="X241" s="1" t="s">
        <v>480</v>
      </c>
      <c r="Y241" s="1" t="s">
        <v>480</v>
      </c>
      <c r="Z241" s="1" t="s">
        <v>480</v>
      </c>
      <c r="AA241" s="1" t="s">
        <v>480</v>
      </c>
      <c r="AB241" s="1" t="s">
        <v>480</v>
      </c>
      <c r="AC241" s="1" t="s">
        <v>480</v>
      </c>
      <c r="AD241" s="1" t="s">
        <v>480</v>
      </c>
      <c r="AE241" s="1">
        <v>0</v>
      </c>
      <c r="AF241" s="1">
        <v>3</v>
      </c>
      <c r="AG241" s="1">
        <v>0</v>
      </c>
      <c r="AH241" s="1" t="s">
        <v>480</v>
      </c>
      <c r="AI241" s="1" t="s">
        <v>480</v>
      </c>
      <c r="AJ241" s="1" t="s">
        <v>480</v>
      </c>
      <c r="AK241" s="1">
        <v>1</v>
      </c>
      <c r="AL241" s="1" t="s">
        <v>480</v>
      </c>
      <c r="AM241" s="1" t="s">
        <v>480</v>
      </c>
      <c r="AN241" s="1" t="s">
        <v>480</v>
      </c>
      <c r="AO241" s="1" t="s">
        <v>480</v>
      </c>
      <c r="AP241" s="1">
        <v>2</v>
      </c>
      <c r="AQ241" s="1" t="s">
        <v>480</v>
      </c>
      <c r="AR241" s="1" t="s">
        <v>480</v>
      </c>
      <c r="AS241" s="1" t="s">
        <v>480</v>
      </c>
      <c r="AT241" s="1">
        <f t="shared" si="31"/>
        <v>7</v>
      </c>
    </row>
    <row r="242" spans="1:46" x14ac:dyDescent="0.25">
      <c r="A242" s="1">
        <f>COUNTIF('Value Matchup'!$D$356:$D$423,'Team History'!B242)</f>
        <v>0</v>
      </c>
      <c r="B242" t="s">
        <v>330</v>
      </c>
      <c r="C242" s="1">
        <f t="shared" si="24"/>
        <v>0</v>
      </c>
      <c r="D242" s="1">
        <f t="shared" si="25"/>
        <v>0</v>
      </c>
      <c r="E242" s="1">
        <f t="shared" si="26"/>
        <v>0</v>
      </c>
      <c r="F242" s="1">
        <f t="shared" si="27"/>
        <v>0</v>
      </c>
      <c r="G242" s="1">
        <f t="shared" si="28"/>
        <v>0</v>
      </c>
      <c r="H242" s="1">
        <f t="shared" si="29"/>
        <v>0</v>
      </c>
      <c r="I242" s="64">
        <f t="shared" si="30"/>
        <v>0</v>
      </c>
      <c r="K242" s="90" t="s">
        <v>480</v>
      </c>
      <c r="L242" s="1" t="s">
        <v>480</v>
      </c>
      <c r="M242" s="1" t="s">
        <v>480</v>
      </c>
      <c r="N242" s="1" t="s">
        <v>480</v>
      </c>
      <c r="O242" s="1" t="s">
        <v>480</v>
      </c>
      <c r="P242" s="1" t="s">
        <v>480</v>
      </c>
      <c r="Q242" s="1" t="s">
        <v>480</v>
      </c>
      <c r="R242" s="1" t="s">
        <v>480</v>
      </c>
      <c r="S242" s="1" t="s">
        <v>480</v>
      </c>
      <c r="T242" s="1" t="s">
        <v>480</v>
      </c>
      <c r="U242" s="1" t="s">
        <v>480</v>
      </c>
      <c r="V242" s="1" t="s">
        <v>480</v>
      </c>
      <c r="W242" s="1" t="s">
        <v>480</v>
      </c>
      <c r="X242" s="1" t="s">
        <v>480</v>
      </c>
      <c r="Y242" s="1" t="s">
        <v>480</v>
      </c>
      <c r="Z242" s="1" t="s">
        <v>480</v>
      </c>
      <c r="AA242" s="1" t="s">
        <v>480</v>
      </c>
      <c r="AB242" s="1" t="s">
        <v>480</v>
      </c>
      <c r="AC242" s="1" t="s">
        <v>480</v>
      </c>
      <c r="AD242" s="1" t="s">
        <v>480</v>
      </c>
      <c r="AE242" s="1" t="s">
        <v>480</v>
      </c>
      <c r="AF242" s="1" t="s">
        <v>480</v>
      </c>
      <c r="AG242" s="1" t="s">
        <v>480</v>
      </c>
      <c r="AH242" s="1" t="s">
        <v>480</v>
      </c>
      <c r="AI242" s="1" t="s">
        <v>480</v>
      </c>
      <c r="AJ242" s="1" t="s">
        <v>480</v>
      </c>
      <c r="AK242" s="1" t="s">
        <v>480</v>
      </c>
      <c r="AL242" s="1" t="s">
        <v>480</v>
      </c>
      <c r="AM242" s="1" t="s">
        <v>480</v>
      </c>
      <c r="AN242" s="1" t="s">
        <v>480</v>
      </c>
      <c r="AO242" s="1" t="s">
        <v>480</v>
      </c>
      <c r="AP242" s="1" t="s">
        <v>480</v>
      </c>
      <c r="AQ242" s="1" t="s">
        <v>480</v>
      </c>
      <c r="AR242" s="1" t="s">
        <v>480</v>
      </c>
      <c r="AS242" s="1" t="s">
        <v>480</v>
      </c>
      <c r="AT242" s="1">
        <f t="shared" si="31"/>
        <v>0</v>
      </c>
    </row>
    <row r="243" spans="1:46" x14ac:dyDescent="0.25">
      <c r="A243" s="1">
        <f>COUNTIF('Value Matchup'!$D$356:$D$423,'Team History'!B243)</f>
        <v>0</v>
      </c>
      <c r="B243" t="s">
        <v>331</v>
      </c>
      <c r="C243" s="1">
        <f t="shared" si="24"/>
        <v>4</v>
      </c>
      <c r="D243" s="1">
        <f t="shared" si="25"/>
        <v>2</v>
      </c>
      <c r="E243" s="1">
        <f t="shared" si="26"/>
        <v>0</v>
      </c>
      <c r="F243" s="1">
        <f t="shared" si="27"/>
        <v>0</v>
      </c>
      <c r="G243" s="1">
        <f t="shared" si="28"/>
        <v>0</v>
      </c>
      <c r="H243" s="1">
        <f t="shared" si="29"/>
        <v>0</v>
      </c>
      <c r="I243" s="64">
        <f t="shared" si="30"/>
        <v>16</v>
      </c>
      <c r="K243" s="90" t="s">
        <v>480</v>
      </c>
      <c r="L243" s="1" t="s">
        <v>480</v>
      </c>
      <c r="M243" s="1" t="s">
        <v>480</v>
      </c>
      <c r="N243" s="1" t="s">
        <v>480</v>
      </c>
      <c r="O243" s="1" t="s">
        <v>480</v>
      </c>
      <c r="P243" s="1" t="s">
        <v>480</v>
      </c>
      <c r="Q243" s="1" t="s">
        <v>480</v>
      </c>
      <c r="R243" s="1" t="s">
        <v>480</v>
      </c>
      <c r="S243" s="1">
        <v>2</v>
      </c>
      <c r="T243" s="1">
        <v>0</v>
      </c>
      <c r="U243" s="1" t="s">
        <v>480</v>
      </c>
      <c r="V243" s="1" t="s">
        <v>480</v>
      </c>
      <c r="W243" s="1" t="s">
        <v>480</v>
      </c>
      <c r="X243" s="1" t="s">
        <v>480</v>
      </c>
      <c r="Y243" s="1" t="s">
        <v>480</v>
      </c>
      <c r="Z243" s="1">
        <v>0</v>
      </c>
      <c r="AA243" s="1" t="s">
        <v>480</v>
      </c>
      <c r="AB243" s="1" t="s">
        <v>480</v>
      </c>
      <c r="AC243" s="1" t="s">
        <v>480</v>
      </c>
      <c r="AD243" s="1" t="s">
        <v>480</v>
      </c>
      <c r="AE243" s="1" t="s">
        <v>480</v>
      </c>
      <c r="AF243" s="1">
        <v>1</v>
      </c>
      <c r="AG243" s="1" t="s">
        <v>480</v>
      </c>
      <c r="AH243" s="1" t="s">
        <v>480</v>
      </c>
      <c r="AI243" s="1" t="s">
        <v>480</v>
      </c>
      <c r="AJ243" s="1" t="s">
        <v>480</v>
      </c>
      <c r="AK243" s="1" t="s">
        <v>480</v>
      </c>
      <c r="AL243" s="1" t="s">
        <v>480</v>
      </c>
      <c r="AM243" s="1">
        <v>1</v>
      </c>
      <c r="AN243" s="1">
        <v>0</v>
      </c>
      <c r="AO243" s="1" t="s">
        <v>480</v>
      </c>
      <c r="AP243" s="1">
        <v>2</v>
      </c>
      <c r="AQ243" s="1" t="s">
        <v>480</v>
      </c>
      <c r="AR243" s="1">
        <v>0</v>
      </c>
      <c r="AS243" s="1" t="s">
        <v>480</v>
      </c>
      <c r="AT243" s="1">
        <f t="shared" si="31"/>
        <v>8</v>
      </c>
    </row>
    <row r="244" spans="1:46" x14ac:dyDescent="0.25">
      <c r="A244" s="1">
        <f>COUNTIF('Value Matchup'!$D$356:$D$423,'Team History'!B244)</f>
        <v>0</v>
      </c>
      <c r="B244" t="s">
        <v>332</v>
      </c>
      <c r="C244" s="1">
        <f t="shared" si="24"/>
        <v>0</v>
      </c>
      <c r="D244" s="1">
        <f t="shared" si="25"/>
        <v>0</v>
      </c>
      <c r="E244" s="1">
        <f t="shared" si="26"/>
        <v>0</v>
      </c>
      <c r="F244" s="1">
        <f t="shared" si="27"/>
        <v>0</v>
      </c>
      <c r="G244" s="1">
        <f t="shared" si="28"/>
        <v>0</v>
      </c>
      <c r="H244" s="1">
        <f t="shared" si="29"/>
        <v>0</v>
      </c>
      <c r="I244" s="64">
        <f t="shared" si="30"/>
        <v>2</v>
      </c>
      <c r="K244" s="90" t="s">
        <v>480</v>
      </c>
      <c r="L244" s="1" t="s">
        <v>480</v>
      </c>
      <c r="M244" s="1" t="s">
        <v>480</v>
      </c>
      <c r="N244" s="1" t="s">
        <v>480</v>
      </c>
      <c r="O244" s="1" t="s">
        <v>480</v>
      </c>
      <c r="P244" s="1" t="s">
        <v>480</v>
      </c>
      <c r="Q244" s="1" t="s">
        <v>480</v>
      </c>
      <c r="R244" s="1" t="s">
        <v>480</v>
      </c>
      <c r="S244" s="1" t="s">
        <v>480</v>
      </c>
      <c r="T244" s="1" t="s">
        <v>480</v>
      </c>
      <c r="U244" s="1" t="s">
        <v>480</v>
      </c>
      <c r="V244" s="1" t="s">
        <v>480</v>
      </c>
      <c r="W244" s="1" t="s">
        <v>480</v>
      </c>
      <c r="X244" s="1" t="s">
        <v>480</v>
      </c>
      <c r="Y244" s="1" t="s">
        <v>480</v>
      </c>
      <c r="Z244" s="1" t="s">
        <v>480</v>
      </c>
      <c r="AA244" s="1" t="s">
        <v>480</v>
      </c>
      <c r="AB244" s="1" t="s">
        <v>480</v>
      </c>
      <c r="AC244" s="1" t="s">
        <v>480</v>
      </c>
      <c r="AD244" s="1" t="s">
        <v>480</v>
      </c>
      <c r="AE244" s="1" t="s">
        <v>480</v>
      </c>
      <c r="AF244" s="1" t="s">
        <v>480</v>
      </c>
      <c r="AG244" s="1" t="s">
        <v>480</v>
      </c>
      <c r="AH244" s="1" t="s">
        <v>480</v>
      </c>
      <c r="AI244" s="1" t="s">
        <v>480</v>
      </c>
      <c r="AJ244" s="1">
        <v>0</v>
      </c>
      <c r="AK244" s="1">
        <v>0</v>
      </c>
      <c r="AL244" s="1" t="s">
        <v>480</v>
      </c>
      <c r="AM244" s="1" t="s">
        <v>480</v>
      </c>
      <c r="AN244" s="1" t="s">
        <v>480</v>
      </c>
      <c r="AO244" s="1" t="s">
        <v>480</v>
      </c>
      <c r="AP244" s="1" t="s">
        <v>480</v>
      </c>
      <c r="AQ244" s="1" t="s">
        <v>480</v>
      </c>
      <c r="AR244" s="1" t="s">
        <v>480</v>
      </c>
      <c r="AS244" s="1" t="s">
        <v>480</v>
      </c>
      <c r="AT244" s="1">
        <f t="shared" si="31"/>
        <v>2</v>
      </c>
    </row>
    <row r="245" spans="1:46" x14ac:dyDescent="0.25">
      <c r="A245" s="1">
        <f>COUNTIF('Value Matchup'!$D$356:$D$423,'Team History'!B245)</f>
        <v>0</v>
      </c>
      <c r="B245" t="s">
        <v>333</v>
      </c>
      <c r="C245" s="1">
        <f t="shared" si="24"/>
        <v>0</v>
      </c>
      <c r="D245" s="1">
        <f t="shared" si="25"/>
        <v>0</v>
      </c>
      <c r="E245" s="1">
        <f t="shared" si="26"/>
        <v>0</v>
      </c>
      <c r="F245" s="1">
        <f t="shared" si="27"/>
        <v>0</v>
      </c>
      <c r="G245" s="1">
        <f t="shared" si="28"/>
        <v>0</v>
      </c>
      <c r="H245" s="1">
        <f t="shared" si="29"/>
        <v>0</v>
      </c>
      <c r="I245" s="64">
        <f t="shared" si="30"/>
        <v>6</v>
      </c>
      <c r="K245" s="90" t="s">
        <v>480</v>
      </c>
      <c r="L245" s="1" t="s">
        <v>480</v>
      </c>
      <c r="M245" s="1" t="s">
        <v>480</v>
      </c>
      <c r="N245" s="1" t="s">
        <v>480</v>
      </c>
      <c r="O245" s="1">
        <v>0</v>
      </c>
      <c r="P245" s="1" t="s">
        <v>480</v>
      </c>
      <c r="Q245" s="1" t="s">
        <v>480</v>
      </c>
      <c r="R245" s="1" t="s">
        <v>480</v>
      </c>
      <c r="S245" s="1" t="s">
        <v>480</v>
      </c>
      <c r="T245" s="1">
        <v>0</v>
      </c>
      <c r="U245" s="1">
        <v>0</v>
      </c>
      <c r="V245" s="1" t="s">
        <v>480</v>
      </c>
      <c r="W245" s="1" t="s">
        <v>480</v>
      </c>
      <c r="X245" s="1" t="s">
        <v>480</v>
      </c>
      <c r="Y245" s="1" t="s">
        <v>480</v>
      </c>
      <c r="Z245" s="1" t="s">
        <v>480</v>
      </c>
      <c r="AA245" s="1" t="s">
        <v>480</v>
      </c>
      <c r="AB245" s="1" t="s">
        <v>480</v>
      </c>
      <c r="AC245" s="1" t="s">
        <v>480</v>
      </c>
      <c r="AD245" s="1" t="s">
        <v>480</v>
      </c>
      <c r="AE245" s="1" t="s">
        <v>480</v>
      </c>
      <c r="AF245" s="1" t="s">
        <v>480</v>
      </c>
      <c r="AG245" s="1" t="s">
        <v>480</v>
      </c>
      <c r="AH245" s="1" t="s">
        <v>480</v>
      </c>
      <c r="AI245" s="1" t="s">
        <v>480</v>
      </c>
      <c r="AJ245" s="1" t="s">
        <v>480</v>
      </c>
      <c r="AK245" s="1" t="s">
        <v>480</v>
      </c>
      <c r="AL245" s="1">
        <v>0</v>
      </c>
      <c r="AM245" s="1" t="s">
        <v>480</v>
      </c>
      <c r="AN245" s="1">
        <v>0</v>
      </c>
      <c r="AO245" s="1">
        <v>0</v>
      </c>
      <c r="AP245" s="1" t="s">
        <v>480</v>
      </c>
      <c r="AQ245" s="1" t="s">
        <v>480</v>
      </c>
      <c r="AR245" s="1" t="s">
        <v>480</v>
      </c>
      <c r="AS245" s="1" t="s">
        <v>480</v>
      </c>
      <c r="AT245" s="1">
        <f t="shared" si="31"/>
        <v>6</v>
      </c>
    </row>
    <row r="246" spans="1:46" x14ac:dyDescent="0.25">
      <c r="A246" s="1">
        <f>COUNTIF('Value Matchup'!$D$356:$D$423,'Team History'!B246)</f>
        <v>1</v>
      </c>
      <c r="B246" t="s">
        <v>334</v>
      </c>
      <c r="C246" s="1">
        <f t="shared" si="24"/>
        <v>0</v>
      </c>
      <c r="D246" s="1">
        <f t="shared" si="25"/>
        <v>0</v>
      </c>
      <c r="E246" s="1">
        <f t="shared" si="26"/>
        <v>0</v>
      </c>
      <c r="F246" s="1">
        <f t="shared" si="27"/>
        <v>0</v>
      </c>
      <c r="G246" s="1">
        <f t="shared" si="28"/>
        <v>0</v>
      </c>
      <c r="H246" s="1">
        <f t="shared" si="29"/>
        <v>0</v>
      </c>
      <c r="I246" s="64">
        <f t="shared" si="30"/>
        <v>2</v>
      </c>
      <c r="K246" s="90" t="s">
        <v>480</v>
      </c>
      <c r="L246" s="1" t="s">
        <v>480</v>
      </c>
      <c r="M246" s="1" t="s">
        <v>480</v>
      </c>
      <c r="N246" s="1" t="s">
        <v>480</v>
      </c>
      <c r="O246" s="1" t="s">
        <v>480</v>
      </c>
      <c r="P246" s="1" t="s">
        <v>480</v>
      </c>
      <c r="Q246" s="1" t="s">
        <v>480</v>
      </c>
      <c r="R246" s="1" t="s">
        <v>480</v>
      </c>
      <c r="S246" s="1" t="s">
        <v>480</v>
      </c>
      <c r="T246" s="1" t="s">
        <v>480</v>
      </c>
      <c r="U246" s="1" t="s">
        <v>480</v>
      </c>
      <c r="V246" s="1" t="s">
        <v>480</v>
      </c>
      <c r="W246" s="1" t="s">
        <v>480</v>
      </c>
      <c r="X246" s="1" t="s">
        <v>480</v>
      </c>
      <c r="Y246" s="1" t="s">
        <v>480</v>
      </c>
      <c r="Z246" s="1" t="s">
        <v>480</v>
      </c>
      <c r="AA246" s="1" t="s">
        <v>480</v>
      </c>
      <c r="AB246" s="1" t="s">
        <v>480</v>
      </c>
      <c r="AC246" s="1" t="s">
        <v>480</v>
      </c>
      <c r="AD246" s="1" t="s">
        <v>480</v>
      </c>
      <c r="AE246" s="1" t="s">
        <v>480</v>
      </c>
      <c r="AF246" s="1" t="s">
        <v>480</v>
      </c>
      <c r="AG246" s="1" t="s">
        <v>480</v>
      </c>
      <c r="AH246" s="1" t="s">
        <v>480</v>
      </c>
      <c r="AI246" s="1" t="s">
        <v>480</v>
      </c>
      <c r="AJ246" s="1" t="s">
        <v>480</v>
      </c>
      <c r="AK246" s="1" t="s">
        <v>480</v>
      </c>
      <c r="AL246" s="1" t="s">
        <v>480</v>
      </c>
      <c r="AM246" s="1">
        <v>0</v>
      </c>
      <c r="AN246" s="1" t="s">
        <v>480</v>
      </c>
      <c r="AO246" s="1">
        <v>0</v>
      </c>
      <c r="AP246" s="1" t="s">
        <v>480</v>
      </c>
      <c r="AQ246" s="1" t="s">
        <v>480</v>
      </c>
      <c r="AR246" s="1" t="s">
        <v>480</v>
      </c>
      <c r="AS246" s="1" t="s">
        <v>480</v>
      </c>
      <c r="AT246" s="1">
        <f t="shared" si="31"/>
        <v>2</v>
      </c>
    </row>
    <row r="247" spans="1:46" x14ac:dyDescent="0.25">
      <c r="A247" s="1">
        <f>COUNTIF('Value Matchup'!$D$356:$D$423,'Team History'!B247)</f>
        <v>0</v>
      </c>
      <c r="B247" t="s">
        <v>335</v>
      </c>
      <c r="C247" s="1">
        <f t="shared" si="24"/>
        <v>0</v>
      </c>
      <c r="D247" s="1">
        <f t="shared" si="25"/>
        <v>0</v>
      </c>
      <c r="E247" s="1">
        <f t="shared" si="26"/>
        <v>0</v>
      </c>
      <c r="F247" s="1">
        <f t="shared" si="27"/>
        <v>0</v>
      </c>
      <c r="G247" s="1">
        <f t="shared" si="28"/>
        <v>0</v>
      </c>
      <c r="H247" s="1">
        <f t="shared" si="29"/>
        <v>0</v>
      </c>
      <c r="I247" s="64">
        <f t="shared" si="30"/>
        <v>0</v>
      </c>
      <c r="K247" s="90" t="s">
        <v>480</v>
      </c>
      <c r="L247" s="1" t="s">
        <v>480</v>
      </c>
      <c r="M247" s="1" t="s">
        <v>480</v>
      </c>
      <c r="N247" s="1" t="s">
        <v>480</v>
      </c>
      <c r="O247" s="1" t="s">
        <v>480</v>
      </c>
      <c r="P247" s="1" t="s">
        <v>480</v>
      </c>
      <c r="Q247" s="1" t="s">
        <v>480</v>
      </c>
      <c r="R247" s="1" t="s">
        <v>480</v>
      </c>
      <c r="S247" s="1" t="s">
        <v>480</v>
      </c>
      <c r="T247" s="1" t="s">
        <v>480</v>
      </c>
      <c r="U247" s="1" t="s">
        <v>480</v>
      </c>
      <c r="V247" s="1" t="s">
        <v>480</v>
      </c>
      <c r="W247" s="1" t="s">
        <v>480</v>
      </c>
      <c r="X247" s="1" t="s">
        <v>480</v>
      </c>
      <c r="Y247" s="1" t="s">
        <v>480</v>
      </c>
      <c r="Z247" s="1" t="s">
        <v>480</v>
      </c>
      <c r="AA247" s="1" t="s">
        <v>480</v>
      </c>
      <c r="AB247" s="1" t="s">
        <v>480</v>
      </c>
      <c r="AC247" s="1" t="s">
        <v>480</v>
      </c>
      <c r="AD247" s="1" t="s">
        <v>480</v>
      </c>
      <c r="AE247" s="1" t="s">
        <v>480</v>
      </c>
      <c r="AF247" s="1" t="s">
        <v>480</v>
      </c>
      <c r="AG247" s="1" t="s">
        <v>480</v>
      </c>
      <c r="AH247" s="1" t="s">
        <v>480</v>
      </c>
      <c r="AI247" s="1" t="s">
        <v>480</v>
      </c>
      <c r="AJ247" s="1" t="s">
        <v>480</v>
      </c>
      <c r="AK247" s="1" t="s">
        <v>480</v>
      </c>
      <c r="AL247" s="1" t="s">
        <v>480</v>
      </c>
      <c r="AM247" s="1" t="s">
        <v>480</v>
      </c>
      <c r="AN247" s="1" t="s">
        <v>480</v>
      </c>
      <c r="AO247" s="1" t="s">
        <v>480</v>
      </c>
      <c r="AP247" s="1" t="s">
        <v>480</v>
      </c>
      <c r="AQ247" s="1" t="s">
        <v>480</v>
      </c>
      <c r="AR247" s="1" t="s">
        <v>480</v>
      </c>
      <c r="AS247" s="1" t="s">
        <v>480</v>
      </c>
      <c r="AT247" s="1">
        <f t="shared" si="31"/>
        <v>0</v>
      </c>
    </row>
    <row r="248" spans="1:46" x14ac:dyDescent="0.25">
      <c r="A248" s="1">
        <f>COUNTIF('Value Matchup'!$D$356:$D$423,'Team History'!B248)</f>
        <v>0</v>
      </c>
      <c r="B248" t="s">
        <v>336</v>
      </c>
      <c r="C248" s="1">
        <f t="shared" si="24"/>
        <v>0</v>
      </c>
      <c r="D248" s="1">
        <f t="shared" si="25"/>
        <v>0</v>
      </c>
      <c r="E248" s="1">
        <f t="shared" si="26"/>
        <v>0</v>
      </c>
      <c r="F248" s="1">
        <f t="shared" si="27"/>
        <v>0</v>
      </c>
      <c r="G248" s="1">
        <f t="shared" si="28"/>
        <v>0</v>
      </c>
      <c r="H248" s="1">
        <f t="shared" si="29"/>
        <v>0</v>
      </c>
      <c r="I248" s="64">
        <f t="shared" si="30"/>
        <v>0</v>
      </c>
      <c r="K248" s="90" t="s">
        <v>480</v>
      </c>
      <c r="L248" s="1" t="s">
        <v>480</v>
      </c>
      <c r="M248" s="1" t="s">
        <v>480</v>
      </c>
      <c r="N248" s="1" t="s">
        <v>480</v>
      </c>
      <c r="O248" s="1" t="s">
        <v>480</v>
      </c>
      <c r="P248" s="1" t="s">
        <v>480</v>
      </c>
      <c r="Q248" s="1" t="s">
        <v>480</v>
      </c>
      <c r="R248" s="1" t="s">
        <v>480</v>
      </c>
      <c r="S248" s="1" t="s">
        <v>480</v>
      </c>
      <c r="T248" s="1" t="s">
        <v>480</v>
      </c>
      <c r="U248" s="1" t="s">
        <v>480</v>
      </c>
      <c r="V248" s="1" t="s">
        <v>480</v>
      </c>
      <c r="W248" s="1" t="s">
        <v>480</v>
      </c>
      <c r="X248" s="1" t="s">
        <v>480</v>
      </c>
      <c r="Y248" s="1" t="s">
        <v>480</v>
      </c>
      <c r="Z248" s="1" t="s">
        <v>480</v>
      </c>
      <c r="AA248" s="1" t="s">
        <v>480</v>
      </c>
      <c r="AB248" s="1" t="s">
        <v>480</v>
      </c>
      <c r="AC248" s="1" t="s">
        <v>480</v>
      </c>
      <c r="AD248" s="1" t="s">
        <v>480</v>
      </c>
      <c r="AE248" s="1" t="s">
        <v>480</v>
      </c>
      <c r="AF248" s="1" t="s">
        <v>480</v>
      </c>
      <c r="AG248" s="1" t="s">
        <v>480</v>
      </c>
      <c r="AH248" s="1" t="s">
        <v>480</v>
      </c>
      <c r="AI248" s="1" t="s">
        <v>480</v>
      </c>
      <c r="AJ248" s="1" t="s">
        <v>480</v>
      </c>
      <c r="AK248" s="1" t="s">
        <v>480</v>
      </c>
      <c r="AL248" s="1" t="s">
        <v>480</v>
      </c>
      <c r="AM248" s="1" t="s">
        <v>480</v>
      </c>
      <c r="AN248" s="1" t="s">
        <v>480</v>
      </c>
      <c r="AO248" s="1" t="s">
        <v>480</v>
      </c>
      <c r="AP248" s="1" t="s">
        <v>480</v>
      </c>
      <c r="AQ248" s="1" t="s">
        <v>480</v>
      </c>
      <c r="AR248" s="1" t="s">
        <v>480</v>
      </c>
      <c r="AS248" s="1" t="s">
        <v>480</v>
      </c>
      <c r="AT248" s="1">
        <f t="shared" si="31"/>
        <v>0</v>
      </c>
    </row>
    <row r="249" spans="1:46" x14ac:dyDescent="0.25">
      <c r="A249" s="1">
        <f>COUNTIF('Value Matchup'!$D$356:$D$423,'Team History'!B249)</f>
        <v>0</v>
      </c>
      <c r="B249" t="s">
        <v>337</v>
      </c>
      <c r="C249" s="1">
        <f t="shared" si="24"/>
        <v>5</v>
      </c>
      <c r="D249" s="1">
        <f t="shared" si="25"/>
        <v>2</v>
      </c>
      <c r="E249" s="1">
        <f t="shared" si="26"/>
        <v>1</v>
      </c>
      <c r="F249" s="1">
        <f t="shared" si="27"/>
        <v>0</v>
      </c>
      <c r="G249" s="1">
        <f t="shared" si="28"/>
        <v>0</v>
      </c>
      <c r="H249" s="1">
        <f t="shared" si="29"/>
        <v>0</v>
      </c>
      <c r="I249" s="64">
        <f t="shared" si="30"/>
        <v>17</v>
      </c>
      <c r="K249" s="90" t="s">
        <v>480</v>
      </c>
      <c r="L249" s="1" t="s">
        <v>480</v>
      </c>
      <c r="M249" s="1" t="s">
        <v>480</v>
      </c>
      <c r="N249" s="1">
        <v>1</v>
      </c>
      <c r="O249" s="1" t="s">
        <v>480</v>
      </c>
      <c r="P249" s="1">
        <v>0</v>
      </c>
      <c r="Q249" s="1" t="s">
        <v>480</v>
      </c>
      <c r="R249" s="1" t="s">
        <v>480</v>
      </c>
      <c r="S249" s="1" t="s">
        <v>480</v>
      </c>
      <c r="T249" s="1" t="s">
        <v>480</v>
      </c>
      <c r="U249" s="1" t="s">
        <v>480</v>
      </c>
      <c r="V249" s="1">
        <v>0</v>
      </c>
      <c r="W249" s="1" t="s">
        <v>480</v>
      </c>
      <c r="X249" s="1" t="s">
        <v>480</v>
      </c>
      <c r="Y249" s="1" t="s">
        <v>480</v>
      </c>
      <c r="Z249" s="1">
        <v>3</v>
      </c>
      <c r="AA249" s="1">
        <v>0</v>
      </c>
      <c r="AB249" s="1" t="s">
        <v>480</v>
      </c>
      <c r="AC249" s="1">
        <v>1</v>
      </c>
      <c r="AD249" s="1" t="s">
        <v>480</v>
      </c>
      <c r="AE249" s="1" t="s">
        <v>480</v>
      </c>
      <c r="AF249" s="1" t="s">
        <v>480</v>
      </c>
      <c r="AG249" s="1">
        <v>2</v>
      </c>
      <c r="AH249" s="1" t="s">
        <v>480</v>
      </c>
      <c r="AI249" s="1" t="s">
        <v>480</v>
      </c>
      <c r="AJ249" s="1" t="s">
        <v>480</v>
      </c>
      <c r="AK249" s="1" t="s">
        <v>480</v>
      </c>
      <c r="AL249" s="1" t="s">
        <v>480</v>
      </c>
      <c r="AM249" s="1" t="s">
        <v>480</v>
      </c>
      <c r="AN249" s="1" t="s">
        <v>480</v>
      </c>
      <c r="AO249" s="1" t="s">
        <v>480</v>
      </c>
      <c r="AP249" s="1" t="s">
        <v>480</v>
      </c>
      <c r="AQ249" s="1" t="s">
        <v>480</v>
      </c>
      <c r="AR249" s="1">
        <v>1</v>
      </c>
      <c r="AS249" s="1" t="s">
        <v>480</v>
      </c>
      <c r="AT249" s="1">
        <f t="shared" si="31"/>
        <v>8</v>
      </c>
    </row>
    <row r="250" spans="1:46" x14ac:dyDescent="0.25">
      <c r="A250" s="1">
        <f>COUNTIF('Value Matchup'!$D$356:$D$423,'Team History'!B250)</f>
        <v>0</v>
      </c>
      <c r="B250" t="s">
        <v>338</v>
      </c>
      <c r="C250" s="1">
        <f t="shared" si="24"/>
        <v>5</v>
      </c>
      <c r="D250" s="1">
        <f t="shared" si="25"/>
        <v>0</v>
      </c>
      <c r="E250" s="1">
        <f t="shared" si="26"/>
        <v>0</v>
      </c>
      <c r="F250" s="1">
        <f t="shared" si="27"/>
        <v>0</v>
      </c>
      <c r="G250" s="1">
        <f t="shared" si="28"/>
        <v>0</v>
      </c>
      <c r="H250" s="1">
        <f t="shared" si="29"/>
        <v>0</v>
      </c>
      <c r="I250" s="64">
        <f t="shared" si="30"/>
        <v>16</v>
      </c>
      <c r="K250" s="90">
        <v>0</v>
      </c>
      <c r="L250" s="1" t="s">
        <v>480</v>
      </c>
      <c r="M250" s="1" t="s">
        <v>480</v>
      </c>
      <c r="N250" s="1" t="s">
        <v>480</v>
      </c>
      <c r="O250" s="1" t="s">
        <v>480</v>
      </c>
      <c r="P250" s="1">
        <v>1</v>
      </c>
      <c r="Q250" s="1">
        <v>1</v>
      </c>
      <c r="R250" s="1">
        <v>1</v>
      </c>
      <c r="S250" s="1" t="s">
        <v>480</v>
      </c>
      <c r="T250" s="1" t="s">
        <v>480</v>
      </c>
      <c r="U250" s="1" t="s">
        <v>480</v>
      </c>
      <c r="V250" s="1" t="s">
        <v>480</v>
      </c>
      <c r="W250" s="1" t="s">
        <v>480</v>
      </c>
      <c r="X250" s="1" t="s">
        <v>480</v>
      </c>
      <c r="Y250" s="1" t="s">
        <v>480</v>
      </c>
      <c r="Z250" s="1" t="s">
        <v>480</v>
      </c>
      <c r="AA250" s="1" t="s">
        <v>480</v>
      </c>
      <c r="AB250" s="1" t="s">
        <v>480</v>
      </c>
      <c r="AC250" s="1" t="s">
        <v>480</v>
      </c>
      <c r="AD250" s="1">
        <v>0</v>
      </c>
      <c r="AE250" s="1" t="s">
        <v>480</v>
      </c>
      <c r="AF250" s="1">
        <v>1</v>
      </c>
      <c r="AG250" s="1" t="s">
        <v>480</v>
      </c>
      <c r="AH250" s="1" t="s">
        <v>480</v>
      </c>
      <c r="AI250" s="1">
        <v>1</v>
      </c>
      <c r="AJ250" s="1">
        <v>0</v>
      </c>
      <c r="AK250" s="1" t="s">
        <v>480</v>
      </c>
      <c r="AL250" s="1" t="s">
        <v>480</v>
      </c>
      <c r="AM250" s="1" t="s">
        <v>480</v>
      </c>
      <c r="AN250" s="1" t="s">
        <v>480</v>
      </c>
      <c r="AO250" s="1" t="s">
        <v>480</v>
      </c>
      <c r="AP250" s="1" t="s">
        <v>480</v>
      </c>
      <c r="AQ250" s="1" t="s">
        <v>480</v>
      </c>
      <c r="AR250" s="1" t="s">
        <v>480</v>
      </c>
      <c r="AS250" s="1" t="s">
        <v>480</v>
      </c>
      <c r="AT250" s="1">
        <f t="shared" si="31"/>
        <v>8</v>
      </c>
    </row>
    <row r="251" spans="1:46" x14ac:dyDescent="0.25">
      <c r="A251" s="1">
        <f>COUNTIF('Value Matchup'!$D$356:$D$423,'Team History'!B251)</f>
        <v>0</v>
      </c>
      <c r="B251" t="s">
        <v>339</v>
      </c>
      <c r="C251" s="1">
        <f t="shared" si="24"/>
        <v>2</v>
      </c>
      <c r="D251" s="1">
        <f t="shared" si="25"/>
        <v>1</v>
      </c>
      <c r="E251" s="1">
        <f t="shared" si="26"/>
        <v>0</v>
      </c>
      <c r="F251" s="1">
        <f t="shared" si="27"/>
        <v>0</v>
      </c>
      <c r="G251" s="1">
        <f t="shared" si="28"/>
        <v>0</v>
      </c>
      <c r="H251" s="1">
        <f t="shared" si="29"/>
        <v>0</v>
      </c>
      <c r="I251" s="64">
        <f t="shared" si="30"/>
        <v>15</v>
      </c>
      <c r="K251" s="90">
        <v>0</v>
      </c>
      <c r="L251" s="1" t="s">
        <v>480</v>
      </c>
      <c r="M251" s="1">
        <v>1</v>
      </c>
      <c r="N251" s="1" t="s">
        <v>480</v>
      </c>
      <c r="O251" s="1" t="s">
        <v>480</v>
      </c>
      <c r="P251" s="1" t="s">
        <v>480</v>
      </c>
      <c r="Q251" s="1">
        <v>0</v>
      </c>
      <c r="R251" s="1">
        <v>0</v>
      </c>
      <c r="S251" s="1" t="s">
        <v>480</v>
      </c>
      <c r="T251" s="1">
        <v>2</v>
      </c>
      <c r="U251" s="1" t="s">
        <v>480</v>
      </c>
      <c r="V251" s="1">
        <v>0</v>
      </c>
      <c r="W251" s="1" t="s">
        <v>480</v>
      </c>
      <c r="X251" s="1" t="s">
        <v>480</v>
      </c>
      <c r="Y251" s="1">
        <v>0</v>
      </c>
      <c r="Z251" s="1" t="s">
        <v>480</v>
      </c>
      <c r="AA251" s="1" t="s">
        <v>480</v>
      </c>
      <c r="AB251" s="1" t="s">
        <v>480</v>
      </c>
      <c r="AC251" s="1" t="s">
        <v>480</v>
      </c>
      <c r="AD251" s="1" t="s">
        <v>480</v>
      </c>
      <c r="AE251" s="1" t="s">
        <v>480</v>
      </c>
      <c r="AF251" s="1" t="s">
        <v>480</v>
      </c>
      <c r="AG251" s="1">
        <v>0</v>
      </c>
      <c r="AH251" s="1" t="s">
        <v>480</v>
      </c>
      <c r="AI251" s="1" t="s">
        <v>480</v>
      </c>
      <c r="AJ251" s="1" t="s">
        <v>480</v>
      </c>
      <c r="AK251" s="1" t="s">
        <v>480</v>
      </c>
      <c r="AL251" s="1" t="s">
        <v>480</v>
      </c>
      <c r="AM251" s="1" t="s">
        <v>480</v>
      </c>
      <c r="AN251" s="1" t="s">
        <v>480</v>
      </c>
      <c r="AO251" s="1">
        <v>0</v>
      </c>
      <c r="AP251" s="1" t="s">
        <v>480</v>
      </c>
      <c r="AQ251" s="1" t="s">
        <v>480</v>
      </c>
      <c r="AR251" s="1" t="s">
        <v>480</v>
      </c>
      <c r="AS251" s="1" t="s">
        <v>480</v>
      </c>
      <c r="AT251" s="1">
        <f t="shared" si="31"/>
        <v>9</v>
      </c>
    </row>
    <row r="252" spans="1:46" x14ac:dyDescent="0.25">
      <c r="A252" s="1">
        <f>COUNTIF('Value Matchup'!$D$356:$D$423,'Team History'!B252)</f>
        <v>0</v>
      </c>
      <c r="B252" t="s">
        <v>340</v>
      </c>
      <c r="C252" s="1">
        <f t="shared" si="24"/>
        <v>0</v>
      </c>
      <c r="D252" s="1">
        <f t="shared" si="25"/>
        <v>0</v>
      </c>
      <c r="E252" s="1">
        <f t="shared" si="26"/>
        <v>0</v>
      </c>
      <c r="F252" s="1">
        <f t="shared" si="27"/>
        <v>0</v>
      </c>
      <c r="G252" s="1">
        <f t="shared" si="28"/>
        <v>0</v>
      </c>
      <c r="H252" s="1">
        <f t="shared" si="29"/>
        <v>0</v>
      </c>
      <c r="I252" s="64">
        <f t="shared" si="30"/>
        <v>3</v>
      </c>
      <c r="K252" s="90" t="s">
        <v>480</v>
      </c>
      <c r="L252" s="1" t="s">
        <v>480</v>
      </c>
      <c r="M252" s="1" t="s">
        <v>480</v>
      </c>
      <c r="N252" s="1" t="s">
        <v>480</v>
      </c>
      <c r="O252" s="1" t="s">
        <v>480</v>
      </c>
      <c r="P252" s="1" t="s">
        <v>480</v>
      </c>
      <c r="Q252" s="1" t="s">
        <v>480</v>
      </c>
      <c r="R252" s="1" t="s">
        <v>480</v>
      </c>
      <c r="S252" s="1">
        <v>0</v>
      </c>
      <c r="T252" s="1" t="s">
        <v>480</v>
      </c>
      <c r="U252" s="1" t="s">
        <v>480</v>
      </c>
      <c r="V252" s="1" t="s">
        <v>480</v>
      </c>
      <c r="W252" s="1" t="s">
        <v>480</v>
      </c>
      <c r="X252" s="1" t="s">
        <v>480</v>
      </c>
      <c r="Y252" s="1" t="s">
        <v>480</v>
      </c>
      <c r="Z252" s="1" t="s">
        <v>480</v>
      </c>
      <c r="AA252" s="1" t="s">
        <v>480</v>
      </c>
      <c r="AB252" s="1" t="s">
        <v>480</v>
      </c>
      <c r="AC252" s="1" t="s">
        <v>480</v>
      </c>
      <c r="AD252" s="1" t="s">
        <v>480</v>
      </c>
      <c r="AE252" s="1" t="s">
        <v>480</v>
      </c>
      <c r="AF252" s="1" t="s">
        <v>480</v>
      </c>
      <c r="AG252" s="1" t="s">
        <v>480</v>
      </c>
      <c r="AH252" s="1" t="s">
        <v>480</v>
      </c>
      <c r="AI252" s="1">
        <v>0</v>
      </c>
      <c r="AJ252" s="1" t="s">
        <v>480</v>
      </c>
      <c r="AK252" s="1" t="s">
        <v>480</v>
      </c>
      <c r="AL252" s="1" t="s">
        <v>480</v>
      </c>
      <c r="AM252" s="1">
        <v>0</v>
      </c>
      <c r="AN252" s="1" t="s">
        <v>480</v>
      </c>
      <c r="AO252" s="1" t="s">
        <v>480</v>
      </c>
      <c r="AP252" s="1" t="s">
        <v>480</v>
      </c>
      <c r="AQ252" s="1" t="s">
        <v>480</v>
      </c>
      <c r="AR252" s="1" t="s">
        <v>480</v>
      </c>
      <c r="AS252" s="1" t="s">
        <v>480</v>
      </c>
      <c r="AT252" s="1">
        <f t="shared" si="31"/>
        <v>3</v>
      </c>
    </row>
    <row r="253" spans="1:46" x14ac:dyDescent="0.25">
      <c r="A253" s="1">
        <f>COUNTIF('Value Matchup'!$D$356:$D$423,'Team History'!B253)</f>
        <v>0</v>
      </c>
      <c r="B253" t="s">
        <v>341</v>
      </c>
      <c r="C253" s="1">
        <f t="shared" si="24"/>
        <v>0</v>
      </c>
      <c r="D253" s="1">
        <f t="shared" si="25"/>
        <v>0</v>
      </c>
      <c r="E253" s="1">
        <f t="shared" si="26"/>
        <v>0</v>
      </c>
      <c r="F253" s="1">
        <f t="shared" si="27"/>
        <v>0</v>
      </c>
      <c r="G253" s="1">
        <f t="shared" si="28"/>
        <v>0</v>
      </c>
      <c r="H253" s="1">
        <f t="shared" si="29"/>
        <v>0</v>
      </c>
      <c r="I253" s="64">
        <f t="shared" si="30"/>
        <v>2</v>
      </c>
      <c r="K253" s="90" t="s">
        <v>480</v>
      </c>
      <c r="L253" s="1" t="s">
        <v>480</v>
      </c>
      <c r="M253" s="1" t="s">
        <v>480</v>
      </c>
      <c r="N253" s="1" t="s">
        <v>480</v>
      </c>
      <c r="O253" s="1" t="s">
        <v>480</v>
      </c>
      <c r="P253" s="1" t="s">
        <v>480</v>
      </c>
      <c r="Q253" s="1" t="s">
        <v>480</v>
      </c>
      <c r="R253" s="1" t="s">
        <v>480</v>
      </c>
      <c r="S253" s="1" t="s">
        <v>480</v>
      </c>
      <c r="T253" s="1">
        <v>0</v>
      </c>
      <c r="U253" s="1" t="s">
        <v>480</v>
      </c>
      <c r="V253" s="1" t="s">
        <v>480</v>
      </c>
      <c r="W253" s="1" t="s">
        <v>480</v>
      </c>
      <c r="X253" s="1" t="s">
        <v>480</v>
      </c>
      <c r="Y253" s="1" t="s">
        <v>480</v>
      </c>
      <c r="Z253" s="1" t="s">
        <v>480</v>
      </c>
      <c r="AA253" s="1">
        <v>0</v>
      </c>
      <c r="AB253" s="1" t="s">
        <v>480</v>
      </c>
      <c r="AC253" s="1" t="s">
        <v>480</v>
      </c>
      <c r="AD253" s="1" t="s">
        <v>480</v>
      </c>
      <c r="AE253" s="1" t="s">
        <v>480</v>
      </c>
      <c r="AF253" s="1" t="s">
        <v>480</v>
      </c>
      <c r="AG253" s="1" t="s">
        <v>480</v>
      </c>
      <c r="AH253" s="1" t="s">
        <v>480</v>
      </c>
      <c r="AI253" s="1" t="s">
        <v>480</v>
      </c>
      <c r="AJ253" s="1" t="s">
        <v>480</v>
      </c>
      <c r="AK253" s="1" t="s">
        <v>480</v>
      </c>
      <c r="AL253" s="1" t="s">
        <v>480</v>
      </c>
      <c r="AM253" s="1" t="s">
        <v>480</v>
      </c>
      <c r="AN253" s="1" t="s">
        <v>480</v>
      </c>
      <c r="AO253" s="1" t="s">
        <v>480</v>
      </c>
      <c r="AP253" s="1" t="s">
        <v>480</v>
      </c>
      <c r="AQ253" s="1" t="s">
        <v>480</v>
      </c>
      <c r="AR253" s="1" t="s">
        <v>480</v>
      </c>
      <c r="AS253" s="1" t="s">
        <v>480</v>
      </c>
      <c r="AT253" s="1">
        <f t="shared" si="31"/>
        <v>2</v>
      </c>
    </row>
    <row r="254" spans="1:46" x14ac:dyDescent="0.25">
      <c r="A254" s="1">
        <f>COUNTIF('Value Matchup'!$D$356:$D$423,'Team History'!B254)</f>
        <v>0</v>
      </c>
      <c r="B254" t="s">
        <v>342</v>
      </c>
      <c r="C254" s="1">
        <f t="shared" si="24"/>
        <v>0</v>
      </c>
      <c r="D254" s="1">
        <f t="shared" si="25"/>
        <v>0</v>
      </c>
      <c r="E254" s="1">
        <f t="shared" si="26"/>
        <v>0</v>
      </c>
      <c r="F254" s="1">
        <f t="shared" si="27"/>
        <v>0</v>
      </c>
      <c r="G254" s="1">
        <f t="shared" si="28"/>
        <v>0</v>
      </c>
      <c r="H254" s="1">
        <f t="shared" si="29"/>
        <v>0</v>
      </c>
      <c r="I254" s="64">
        <f t="shared" si="30"/>
        <v>2</v>
      </c>
      <c r="K254" s="90" t="s">
        <v>480</v>
      </c>
      <c r="L254" s="1" t="s">
        <v>480</v>
      </c>
      <c r="M254" s="1" t="s">
        <v>480</v>
      </c>
      <c r="N254" s="1" t="s">
        <v>480</v>
      </c>
      <c r="O254" s="1" t="s">
        <v>480</v>
      </c>
      <c r="P254" s="1" t="s">
        <v>480</v>
      </c>
      <c r="Q254" s="1" t="s">
        <v>480</v>
      </c>
      <c r="R254" s="1" t="s">
        <v>480</v>
      </c>
      <c r="S254" s="1" t="s">
        <v>480</v>
      </c>
      <c r="T254" s="1" t="s">
        <v>480</v>
      </c>
      <c r="U254" s="1" t="s">
        <v>480</v>
      </c>
      <c r="V254" s="1" t="s">
        <v>480</v>
      </c>
      <c r="W254" s="1" t="s">
        <v>480</v>
      </c>
      <c r="X254" s="1" t="s">
        <v>480</v>
      </c>
      <c r="Y254" s="1" t="s">
        <v>480</v>
      </c>
      <c r="Z254" s="1" t="s">
        <v>480</v>
      </c>
      <c r="AA254" s="1" t="s">
        <v>480</v>
      </c>
      <c r="AB254" s="1" t="s">
        <v>480</v>
      </c>
      <c r="AC254" s="1" t="s">
        <v>480</v>
      </c>
      <c r="AD254" s="1">
        <v>0</v>
      </c>
      <c r="AE254" s="1">
        <v>0</v>
      </c>
      <c r="AF254" s="1" t="s">
        <v>480</v>
      </c>
      <c r="AG254" s="1" t="s">
        <v>480</v>
      </c>
      <c r="AH254" s="1" t="s">
        <v>480</v>
      </c>
      <c r="AI254" s="1" t="s">
        <v>480</v>
      </c>
      <c r="AJ254" s="1" t="s">
        <v>480</v>
      </c>
      <c r="AK254" s="1" t="s">
        <v>480</v>
      </c>
      <c r="AL254" s="1" t="s">
        <v>480</v>
      </c>
      <c r="AM254" s="1" t="s">
        <v>480</v>
      </c>
      <c r="AN254" s="1" t="s">
        <v>480</v>
      </c>
      <c r="AO254" s="1" t="s">
        <v>480</v>
      </c>
      <c r="AP254" s="1" t="s">
        <v>480</v>
      </c>
      <c r="AQ254" s="1" t="s">
        <v>480</v>
      </c>
      <c r="AR254" s="1" t="s">
        <v>480</v>
      </c>
      <c r="AS254" s="1" t="s">
        <v>480</v>
      </c>
      <c r="AT254" s="1">
        <f t="shared" si="31"/>
        <v>2</v>
      </c>
    </row>
    <row r="255" spans="1:46" x14ac:dyDescent="0.25">
      <c r="A255" s="1">
        <f>COUNTIF('Value Matchup'!$D$356:$D$423,'Team History'!B255)</f>
        <v>0</v>
      </c>
      <c r="B255" t="s">
        <v>343</v>
      </c>
      <c r="C255" s="1">
        <f t="shared" si="24"/>
        <v>1</v>
      </c>
      <c r="D255" s="1">
        <f t="shared" si="25"/>
        <v>0</v>
      </c>
      <c r="E255" s="1">
        <f t="shared" si="26"/>
        <v>0</v>
      </c>
      <c r="F255" s="1">
        <f t="shared" si="27"/>
        <v>0</v>
      </c>
      <c r="G255" s="1">
        <f t="shared" si="28"/>
        <v>0</v>
      </c>
      <c r="H255" s="1">
        <f t="shared" si="29"/>
        <v>0</v>
      </c>
      <c r="I255" s="64">
        <f t="shared" si="30"/>
        <v>4</v>
      </c>
      <c r="K255" s="90" t="s">
        <v>480</v>
      </c>
      <c r="L255" s="1" t="s">
        <v>480</v>
      </c>
      <c r="M255" s="1" t="s">
        <v>480</v>
      </c>
      <c r="N255" s="1" t="s">
        <v>480</v>
      </c>
      <c r="O255" s="1" t="s">
        <v>480</v>
      </c>
      <c r="P255" s="1" t="s">
        <v>480</v>
      </c>
      <c r="Q255" s="1" t="s">
        <v>480</v>
      </c>
      <c r="R255" s="1" t="s">
        <v>480</v>
      </c>
      <c r="S255" s="1" t="s">
        <v>480</v>
      </c>
      <c r="T255" s="1" t="s">
        <v>480</v>
      </c>
      <c r="U255" s="1" t="s">
        <v>480</v>
      </c>
      <c r="V255" s="1">
        <v>1</v>
      </c>
      <c r="W255" s="1" t="s">
        <v>480</v>
      </c>
      <c r="X255" s="1" t="s">
        <v>480</v>
      </c>
      <c r="Y255" s="1" t="s">
        <v>480</v>
      </c>
      <c r="Z255" s="1" t="s">
        <v>480</v>
      </c>
      <c r="AA255" s="1">
        <v>0</v>
      </c>
      <c r="AB255" s="1" t="s">
        <v>480</v>
      </c>
      <c r="AC255" s="1" t="s">
        <v>480</v>
      </c>
      <c r="AD255" s="1" t="s">
        <v>480</v>
      </c>
      <c r="AE255" s="1" t="s">
        <v>480</v>
      </c>
      <c r="AF255" s="1" t="s">
        <v>480</v>
      </c>
      <c r="AG255" s="1" t="s">
        <v>480</v>
      </c>
      <c r="AH255" s="1" t="s">
        <v>480</v>
      </c>
      <c r="AI255" s="1" t="s">
        <v>480</v>
      </c>
      <c r="AJ255" s="1" t="s">
        <v>480</v>
      </c>
      <c r="AK255" s="1" t="s">
        <v>480</v>
      </c>
      <c r="AL255" s="1" t="s">
        <v>480</v>
      </c>
      <c r="AM255" s="1" t="s">
        <v>480</v>
      </c>
      <c r="AN255" s="1" t="s">
        <v>480</v>
      </c>
      <c r="AO255" s="1" t="s">
        <v>480</v>
      </c>
      <c r="AP255" s="1" t="s">
        <v>480</v>
      </c>
      <c r="AQ255" s="1">
        <v>0</v>
      </c>
      <c r="AR255" s="1" t="s">
        <v>480</v>
      </c>
      <c r="AS255" s="1" t="s">
        <v>480</v>
      </c>
      <c r="AT255" s="1">
        <f t="shared" si="31"/>
        <v>3</v>
      </c>
    </row>
    <row r="256" spans="1:46" x14ac:dyDescent="0.25">
      <c r="A256" s="1">
        <f>COUNTIF('Value Matchup'!$D$356:$D$423,'Team History'!B256)</f>
        <v>1</v>
      </c>
      <c r="B256" t="s">
        <v>344</v>
      </c>
      <c r="C256" s="1">
        <f t="shared" si="24"/>
        <v>4</v>
      </c>
      <c r="D256" s="1">
        <f t="shared" si="25"/>
        <v>2</v>
      </c>
      <c r="E256" s="1">
        <f t="shared" si="26"/>
        <v>0</v>
      </c>
      <c r="F256" s="1">
        <f t="shared" si="27"/>
        <v>0</v>
      </c>
      <c r="G256" s="1">
        <f t="shared" si="28"/>
        <v>0</v>
      </c>
      <c r="H256" s="1">
        <f t="shared" si="29"/>
        <v>0</v>
      </c>
      <c r="I256" s="64">
        <f t="shared" si="30"/>
        <v>23</v>
      </c>
      <c r="K256" s="90" t="s">
        <v>480</v>
      </c>
      <c r="L256" s="1">
        <v>0</v>
      </c>
      <c r="M256" s="1">
        <v>0</v>
      </c>
      <c r="N256" s="1" t="s">
        <v>480</v>
      </c>
      <c r="O256" s="1">
        <v>1</v>
      </c>
      <c r="P256" s="1">
        <v>2</v>
      </c>
      <c r="Q256" s="1">
        <v>1</v>
      </c>
      <c r="R256" s="1">
        <v>0</v>
      </c>
      <c r="S256" s="1">
        <v>2</v>
      </c>
      <c r="T256" s="1">
        <v>0</v>
      </c>
      <c r="U256" s="1" t="s">
        <v>480</v>
      </c>
      <c r="V256" s="1" t="s">
        <v>480</v>
      </c>
      <c r="W256" s="1" t="s">
        <v>480</v>
      </c>
      <c r="X256" s="1">
        <v>0</v>
      </c>
      <c r="Y256" s="1" t="s">
        <v>480</v>
      </c>
      <c r="Z256" s="1" t="s">
        <v>480</v>
      </c>
      <c r="AA256" s="1" t="s">
        <v>480</v>
      </c>
      <c r="AB256" s="1">
        <v>0</v>
      </c>
      <c r="AC256" s="1" t="s">
        <v>480</v>
      </c>
      <c r="AD256" s="1" t="s">
        <v>480</v>
      </c>
      <c r="AE256" s="1" t="s">
        <v>480</v>
      </c>
      <c r="AF256" s="1" t="s">
        <v>480</v>
      </c>
      <c r="AG256" s="1" t="s">
        <v>480</v>
      </c>
      <c r="AH256" s="1" t="s">
        <v>480</v>
      </c>
      <c r="AI256" s="1" t="s">
        <v>480</v>
      </c>
      <c r="AJ256" s="1" t="s">
        <v>480</v>
      </c>
      <c r="AK256" s="1" t="s">
        <v>480</v>
      </c>
      <c r="AL256" s="1" t="s">
        <v>480</v>
      </c>
      <c r="AM256" s="1" t="s">
        <v>480</v>
      </c>
      <c r="AN256" s="1" t="s">
        <v>480</v>
      </c>
      <c r="AO256" s="1" t="s">
        <v>480</v>
      </c>
      <c r="AP256" s="1" t="s">
        <v>480</v>
      </c>
      <c r="AQ256" s="1" t="s">
        <v>480</v>
      </c>
      <c r="AR256" s="1" t="s">
        <v>480</v>
      </c>
      <c r="AS256" s="1">
        <v>0</v>
      </c>
      <c r="AT256" s="1">
        <f t="shared" si="31"/>
        <v>11</v>
      </c>
    </row>
    <row r="257" spans="1:46" x14ac:dyDescent="0.25">
      <c r="A257" s="1">
        <f>COUNTIF('Value Matchup'!$D$356:$D$423,'Team History'!B257)</f>
        <v>0</v>
      </c>
      <c r="B257" t="s">
        <v>345</v>
      </c>
      <c r="C257" s="1">
        <f t="shared" si="24"/>
        <v>0</v>
      </c>
      <c r="D257" s="1">
        <f t="shared" si="25"/>
        <v>0</v>
      </c>
      <c r="E257" s="1">
        <f t="shared" si="26"/>
        <v>0</v>
      </c>
      <c r="F257" s="1">
        <f t="shared" si="27"/>
        <v>0</v>
      </c>
      <c r="G257" s="1">
        <f t="shared" si="28"/>
        <v>0</v>
      </c>
      <c r="H257" s="1">
        <f t="shared" si="29"/>
        <v>0</v>
      </c>
      <c r="I257" s="64">
        <f t="shared" si="30"/>
        <v>1</v>
      </c>
      <c r="K257" s="90" t="s">
        <v>480</v>
      </c>
      <c r="L257" s="1" t="s">
        <v>480</v>
      </c>
      <c r="M257" s="1" t="s">
        <v>480</v>
      </c>
      <c r="N257" s="1" t="s">
        <v>480</v>
      </c>
      <c r="O257" s="1" t="s">
        <v>480</v>
      </c>
      <c r="P257" s="1" t="s">
        <v>480</v>
      </c>
      <c r="Q257" s="1" t="s">
        <v>480</v>
      </c>
      <c r="R257" s="1" t="s">
        <v>480</v>
      </c>
      <c r="S257" s="1" t="s">
        <v>480</v>
      </c>
      <c r="T257" s="1" t="s">
        <v>480</v>
      </c>
      <c r="U257" s="1" t="s">
        <v>480</v>
      </c>
      <c r="V257" s="1" t="s">
        <v>480</v>
      </c>
      <c r="W257" s="1" t="s">
        <v>480</v>
      </c>
      <c r="X257" s="1" t="s">
        <v>480</v>
      </c>
      <c r="Y257" s="1" t="s">
        <v>480</v>
      </c>
      <c r="Z257" s="1" t="s">
        <v>480</v>
      </c>
      <c r="AA257" s="1" t="s">
        <v>480</v>
      </c>
      <c r="AB257" s="1" t="s">
        <v>480</v>
      </c>
      <c r="AC257" s="1" t="s">
        <v>480</v>
      </c>
      <c r="AD257" s="1" t="s">
        <v>480</v>
      </c>
      <c r="AE257" s="1" t="s">
        <v>480</v>
      </c>
      <c r="AF257" s="1">
        <v>0</v>
      </c>
      <c r="AG257" s="1" t="s">
        <v>480</v>
      </c>
      <c r="AH257" s="1" t="s">
        <v>480</v>
      </c>
      <c r="AI257" s="1" t="s">
        <v>480</v>
      </c>
      <c r="AJ257" s="1" t="s">
        <v>480</v>
      </c>
      <c r="AK257" s="1" t="s">
        <v>480</v>
      </c>
      <c r="AL257" s="1" t="s">
        <v>480</v>
      </c>
      <c r="AM257" s="1" t="s">
        <v>480</v>
      </c>
      <c r="AN257" s="1" t="s">
        <v>480</v>
      </c>
      <c r="AO257" s="1" t="s">
        <v>480</v>
      </c>
      <c r="AP257" s="1" t="s">
        <v>480</v>
      </c>
      <c r="AQ257" s="1" t="s">
        <v>480</v>
      </c>
      <c r="AR257" s="1" t="s">
        <v>480</v>
      </c>
      <c r="AS257" s="1" t="s">
        <v>480</v>
      </c>
      <c r="AT257" s="1">
        <f t="shared" si="31"/>
        <v>1</v>
      </c>
    </row>
    <row r="258" spans="1:46" x14ac:dyDescent="0.25">
      <c r="A258" s="1">
        <f>COUNTIF('Value Matchup'!$D$356:$D$423,'Team History'!B258)</f>
        <v>0</v>
      </c>
      <c r="B258" t="s">
        <v>346</v>
      </c>
      <c r="C258" s="1">
        <f t="shared" si="24"/>
        <v>0</v>
      </c>
      <c r="D258" s="1">
        <f t="shared" si="25"/>
        <v>0</v>
      </c>
      <c r="E258" s="1">
        <f t="shared" si="26"/>
        <v>0</v>
      </c>
      <c r="F258" s="1">
        <f t="shared" si="27"/>
        <v>0</v>
      </c>
      <c r="G258" s="1">
        <f t="shared" si="28"/>
        <v>0</v>
      </c>
      <c r="H258" s="1">
        <f t="shared" si="29"/>
        <v>0</v>
      </c>
      <c r="I258" s="64">
        <f t="shared" si="30"/>
        <v>1</v>
      </c>
      <c r="K258" s="90" t="s">
        <v>480</v>
      </c>
      <c r="L258" s="1" t="s">
        <v>480</v>
      </c>
      <c r="M258" s="1" t="s">
        <v>480</v>
      </c>
      <c r="N258" s="1" t="s">
        <v>480</v>
      </c>
      <c r="O258" s="1" t="s">
        <v>480</v>
      </c>
      <c r="P258" s="1" t="s">
        <v>480</v>
      </c>
      <c r="Q258" s="1" t="s">
        <v>480</v>
      </c>
      <c r="R258" s="1" t="s">
        <v>480</v>
      </c>
      <c r="S258" s="1" t="s">
        <v>480</v>
      </c>
      <c r="T258" s="1" t="s">
        <v>480</v>
      </c>
      <c r="U258" s="1" t="s">
        <v>480</v>
      </c>
      <c r="V258" s="1" t="s">
        <v>480</v>
      </c>
      <c r="W258" s="1" t="s">
        <v>480</v>
      </c>
      <c r="X258" s="1" t="s">
        <v>480</v>
      </c>
      <c r="Y258" s="1" t="s">
        <v>480</v>
      </c>
      <c r="Z258" s="1" t="s">
        <v>480</v>
      </c>
      <c r="AA258" s="1" t="s">
        <v>480</v>
      </c>
      <c r="AB258" s="1" t="s">
        <v>480</v>
      </c>
      <c r="AC258" s="1" t="s">
        <v>480</v>
      </c>
      <c r="AD258" s="1" t="s">
        <v>480</v>
      </c>
      <c r="AE258" s="1" t="s">
        <v>480</v>
      </c>
      <c r="AF258" s="1" t="s">
        <v>480</v>
      </c>
      <c r="AG258" s="1" t="s">
        <v>480</v>
      </c>
      <c r="AH258" s="1">
        <v>0</v>
      </c>
      <c r="AI258" s="1" t="s">
        <v>480</v>
      </c>
      <c r="AJ258" s="1" t="s">
        <v>480</v>
      </c>
      <c r="AK258" s="1" t="s">
        <v>480</v>
      </c>
      <c r="AL258" s="1" t="s">
        <v>480</v>
      </c>
      <c r="AM258" s="1" t="s">
        <v>480</v>
      </c>
      <c r="AN258" s="1" t="s">
        <v>480</v>
      </c>
      <c r="AO258" s="1" t="s">
        <v>480</v>
      </c>
      <c r="AP258" s="1" t="s">
        <v>480</v>
      </c>
      <c r="AQ258" s="1" t="s">
        <v>480</v>
      </c>
      <c r="AR258" s="1" t="s">
        <v>480</v>
      </c>
      <c r="AS258" s="1" t="s">
        <v>480</v>
      </c>
      <c r="AT258" s="1">
        <f t="shared" si="31"/>
        <v>1</v>
      </c>
    </row>
    <row r="259" spans="1:46" x14ac:dyDescent="0.25">
      <c r="A259" s="1">
        <f>COUNTIF('Value Matchup'!$D$356:$D$423,'Team History'!B259)</f>
        <v>0</v>
      </c>
      <c r="B259" t="s">
        <v>347</v>
      </c>
      <c r="C259" s="1">
        <f t="shared" si="24"/>
        <v>2</v>
      </c>
      <c r="D259" s="1">
        <f t="shared" si="25"/>
        <v>0</v>
      </c>
      <c r="E259" s="1">
        <f t="shared" si="26"/>
        <v>0</v>
      </c>
      <c r="F259" s="1">
        <f t="shared" si="27"/>
        <v>0</v>
      </c>
      <c r="G259" s="1">
        <f t="shared" si="28"/>
        <v>0</v>
      </c>
      <c r="H259" s="1">
        <f t="shared" si="29"/>
        <v>0</v>
      </c>
      <c r="I259" s="64">
        <f t="shared" si="30"/>
        <v>6</v>
      </c>
      <c r="K259" s="90" t="s">
        <v>480</v>
      </c>
      <c r="L259" s="1" t="s">
        <v>480</v>
      </c>
      <c r="M259" s="1" t="s">
        <v>480</v>
      </c>
      <c r="N259" s="1" t="s">
        <v>480</v>
      </c>
      <c r="O259" s="1" t="s">
        <v>480</v>
      </c>
      <c r="P259" s="1" t="s">
        <v>480</v>
      </c>
      <c r="Q259" s="1" t="s">
        <v>480</v>
      </c>
      <c r="R259" s="1" t="s">
        <v>480</v>
      </c>
      <c r="S259" s="1" t="s">
        <v>480</v>
      </c>
      <c r="T259" s="1" t="s">
        <v>480</v>
      </c>
      <c r="U259" s="1" t="s">
        <v>480</v>
      </c>
      <c r="V259" s="1" t="s">
        <v>480</v>
      </c>
      <c r="W259" s="1" t="s">
        <v>480</v>
      </c>
      <c r="X259" s="1" t="s">
        <v>480</v>
      </c>
      <c r="Y259" s="1" t="s">
        <v>480</v>
      </c>
      <c r="Z259" s="1" t="s">
        <v>480</v>
      </c>
      <c r="AA259" s="1" t="s">
        <v>480</v>
      </c>
      <c r="AB259" s="1" t="s">
        <v>480</v>
      </c>
      <c r="AC259" s="1" t="s">
        <v>480</v>
      </c>
      <c r="AD259" s="1" t="s">
        <v>480</v>
      </c>
      <c r="AE259" s="1" t="s">
        <v>480</v>
      </c>
      <c r="AF259" s="1" t="s">
        <v>480</v>
      </c>
      <c r="AG259" s="1" t="s">
        <v>480</v>
      </c>
      <c r="AH259" s="1">
        <v>1</v>
      </c>
      <c r="AI259" s="1">
        <v>0</v>
      </c>
      <c r="AJ259" s="1" t="s">
        <v>480</v>
      </c>
      <c r="AK259" s="1">
        <v>1</v>
      </c>
      <c r="AL259" s="1" t="s">
        <v>480</v>
      </c>
      <c r="AM259" s="1" t="s">
        <v>480</v>
      </c>
      <c r="AN259" s="1" t="s">
        <v>480</v>
      </c>
      <c r="AO259" s="1" t="s">
        <v>480</v>
      </c>
      <c r="AP259" s="1" t="s">
        <v>480</v>
      </c>
      <c r="AQ259" s="1">
        <v>0</v>
      </c>
      <c r="AR259" s="1" t="s">
        <v>480</v>
      </c>
      <c r="AS259" s="1" t="s">
        <v>480</v>
      </c>
      <c r="AT259" s="1">
        <f t="shared" si="31"/>
        <v>4</v>
      </c>
    </row>
    <row r="260" spans="1:46" x14ac:dyDescent="0.25">
      <c r="A260" s="1">
        <f>COUNTIF('Value Matchup'!$D$356:$D$423,'Team History'!B260)</f>
        <v>0</v>
      </c>
      <c r="B260" t="s">
        <v>348</v>
      </c>
      <c r="C260" s="1">
        <f t="shared" ref="C260:C323" si="32">COUNTIF($K260:$AS260,"&gt;0")</f>
        <v>0</v>
      </c>
      <c r="D260" s="1">
        <f t="shared" ref="D260:D323" si="33">COUNTIF($K260:$AS260,"&gt;1")</f>
        <v>0</v>
      </c>
      <c r="E260" s="1">
        <f t="shared" ref="E260:E323" si="34">COUNTIF($K260:$AS260,"&gt;2")</f>
        <v>0</v>
      </c>
      <c r="F260" s="1">
        <f t="shared" ref="F260:F323" si="35">COUNTIF($K260:$AS260,"&gt;3")</f>
        <v>0</v>
      </c>
      <c r="G260" s="1">
        <f t="shared" ref="G260:G323" si="36">COUNTIF($K260:$AS260,"&gt;4")</f>
        <v>0</v>
      </c>
      <c r="H260" s="1">
        <f t="shared" ref="H260:H323" si="37">COUNTIF($K260:$AS260,"&gt;5")</f>
        <v>0</v>
      </c>
      <c r="I260" s="64">
        <f t="shared" ref="I260:I323" si="38">SUM(K260:AT260)+SUM(K260:T260)</f>
        <v>0</v>
      </c>
      <c r="K260" s="90" t="s">
        <v>480</v>
      </c>
      <c r="L260" s="1" t="s">
        <v>480</v>
      </c>
      <c r="M260" s="1" t="s">
        <v>480</v>
      </c>
      <c r="N260" s="1" t="s">
        <v>480</v>
      </c>
      <c r="O260" s="1" t="s">
        <v>480</v>
      </c>
      <c r="P260" s="1" t="s">
        <v>480</v>
      </c>
      <c r="Q260" s="1" t="s">
        <v>480</v>
      </c>
      <c r="R260" s="1" t="s">
        <v>480</v>
      </c>
      <c r="S260" s="1" t="s">
        <v>480</v>
      </c>
      <c r="T260" s="1" t="s">
        <v>480</v>
      </c>
      <c r="U260" s="1" t="s">
        <v>480</v>
      </c>
      <c r="V260" s="1" t="s">
        <v>480</v>
      </c>
      <c r="W260" s="1" t="s">
        <v>480</v>
      </c>
      <c r="X260" s="1" t="s">
        <v>480</v>
      </c>
      <c r="Y260" s="1" t="s">
        <v>480</v>
      </c>
      <c r="Z260" s="1" t="s">
        <v>480</v>
      </c>
      <c r="AA260" s="1" t="s">
        <v>480</v>
      </c>
      <c r="AB260" s="1" t="s">
        <v>480</v>
      </c>
      <c r="AC260" s="1" t="s">
        <v>480</v>
      </c>
      <c r="AD260" s="1" t="s">
        <v>480</v>
      </c>
      <c r="AE260" s="1" t="s">
        <v>480</v>
      </c>
      <c r="AF260" s="1" t="s">
        <v>480</v>
      </c>
      <c r="AG260" s="1" t="s">
        <v>480</v>
      </c>
      <c r="AH260" s="1" t="s">
        <v>480</v>
      </c>
      <c r="AI260" s="1" t="s">
        <v>480</v>
      </c>
      <c r="AJ260" s="1" t="s">
        <v>480</v>
      </c>
      <c r="AK260" s="1" t="s">
        <v>480</v>
      </c>
      <c r="AL260" s="1" t="s">
        <v>480</v>
      </c>
      <c r="AM260" s="1" t="s">
        <v>480</v>
      </c>
      <c r="AN260" s="1" t="s">
        <v>480</v>
      </c>
      <c r="AO260" s="1" t="s">
        <v>480</v>
      </c>
      <c r="AP260" s="1" t="s">
        <v>480</v>
      </c>
      <c r="AQ260" s="1" t="s">
        <v>480</v>
      </c>
      <c r="AR260" s="1" t="s">
        <v>480</v>
      </c>
      <c r="AS260" s="1" t="s">
        <v>480</v>
      </c>
      <c r="AT260" s="1">
        <f t="shared" ref="AT260:AT323" si="39">COUNT(K260:AS260)</f>
        <v>0</v>
      </c>
    </row>
    <row r="261" spans="1:46" x14ac:dyDescent="0.25">
      <c r="A261" s="1">
        <f>COUNTIF('Value Matchup'!$D$356:$D$423,'Team History'!B261)</f>
        <v>0</v>
      </c>
      <c r="B261" t="s">
        <v>349</v>
      </c>
      <c r="C261" s="1">
        <f t="shared" si="32"/>
        <v>0</v>
      </c>
      <c r="D261" s="1">
        <f t="shared" si="33"/>
        <v>0</v>
      </c>
      <c r="E261" s="1">
        <f t="shared" si="34"/>
        <v>0</v>
      </c>
      <c r="F261" s="1">
        <f t="shared" si="35"/>
        <v>0</v>
      </c>
      <c r="G261" s="1">
        <f t="shared" si="36"/>
        <v>0</v>
      </c>
      <c r="H261" s="1">
        <f t="shared" si="37"/>
        <v>0</v>
      </c>
      <c r="I261" s="64">
        <f t="shared" si="38"/>
        <v>0</v>
      </c>
      <c r="K261" s="90" t="s">
        <v>480</v>
      </c>
      <c r="L261" s="1" t="s">
        <v>480</v>
      </c>
      <c r="M261" s="1" t="s">
        <v>480</v>
      </c>
      <c r="N261" s="1" t="s">
        <v>480</v>
      </c>
      <c r="O261" s="1" t="s">
        <v>480</v>
      </c>
      <c r="P261" s="1" t="s">
        <v>480</v>
      </c>
      <c r="Q261" s="1" t="s">
        <v>480</v>
      </c>
      <c r="R261" s="1" t="s">
        <v>480</v>
      </c>
      <c r="S261" s="1" t="s">
        <v>480</v>
      </c>
      <c r="T261" s="1" t="s">
        <v>480</v>
      </c>
      <c r="U261" s="1" t="s">
        <v>480</v>
      </c>
      <c r="V261" s="1" t="s">
        <v>480</v>
      </c>
      <c r="W261" s="1" t="s">
        <v>480</v>
      </c>
      <c r="X261" s="1" t="s">
        <v>480</v>
      </c>
      <c r="Y261" s="1" t="s">
        <v>480</v>
      </c>
      <c r="Z261" s="1" t="s">
        <v>480</v>
      </c>
      <c r="AA261" s="1" t="s">
        <v>480</v>
      </c>
      <c r="AB261" s="1" t="s">
        <v>480</v>
      </c>
      <c r="AC261" s="1" t="s">
        <v>480</v>
      </c>
      <c r="AD261" s="1" t="s">
        <v>480</v>
      </c>
      <c r="AE261" s="1" t="s">
        <v>480</v>
      </c>
      <c r="AF261" s="1" t="s">
        <v>480</v>
      </c>
      <c r="AG261" s="1" t="s">
        <v>480</v>
      </c>
      <c r="AH261" s="1" t="s">
        <v>480</v>
      </c>
      <c r="AI261" s="1" t="s">
        <v>480</v>
      </c>
      <c r="AJ261" s="1" t="s">
        <v>480</v>
      </c>
      <c r="AK261" s="1" t="s">
        <v>480</v>
      </c>
      <c r="AL261" s="1" t="s">
        <v>480</v>
      </c>
      <c r="AM261" s="1" t="s">
        <v>480</v>
      </c>
      <c r="AN261" s="1" t="s">
        <v>480</v>
      </c>
      <c r="AO261" s="1" t="s">
        <v>480</v>
      </c>
      <c r="AP261" s="1" t="s">
        <v>480</v>
      </c>
      <c r="AQ261" s="1" t="s">
        <v>480</v>
      </c>
      <c r="AR261" s="1" t="s">
        <v>480</v>
      </c>
      <c r="AS261" s="1" t="s">
        <v>480</v>
      </c>
      <c r="AT261" s="1">
        <f t="shared" si="39"/>
        <v>0</v>
      </c>
    </row>
    <row r="262" spans="1:46" x14ac:dyDescent="0.25">
      <c r="A262" s="1">
        <f>COUNTIF('Value Matchup'!$D$356:$D$423,'Team History'!B262)</f>
        <v>0</v>
      </c>
      <c r="B262" t="s">
        <v>87</v>
      </c>
      <c r="C262" s="1">
        <f t="shared" si="32"/>
        <v>8</v>
      </c>
      <c r="D262" s="1">
        <f t="shared" si="33"/>
        <v>4</v>
      </c>
      <c r="E262" s="1">
        <f t="shared" si="34"/>
        <v>2</v>
      </c>
      <c r="F262" s="1">
        <f t="shared" si="35"/>
        <v>1</v>
      </c>
      <c r="G262" s="1">
        <f t="shared" si="36"/>
        <v>1</v>
      </c>
      <c r="H262" s="1">
        <f t="shared" si="37"/>
        <v>0</v>
      </c>
      <c r="I262" s="64">
        <f t="shared" si="38"/>
        <v>30</v>
      </c>
      <c r="K262" s="90">
        <v>0</v>
      </c>
      <c r="L262" s="1">
        <v>1</v>
      </c>
      <c r="M262" s="1">
        <v>0</v>
      </c>
      <c r="N262" s="1">
        <v>0</v>
      </c>
      <c r="O262" s="1" t="s">
        <v>480</v>
      </c>
      <c r="P262" s="1" t="s">
        <v>480</v>
      </c>
      <c r="Q262" s="1" t="s">
        <v>480</v>
      </c>
      <c r="R262" s="1" t="s">
        <v>480</v>
      </c>
      <c r="S262" s="1" t="s">
        <v>480</v>
      </c>
      <c r="T262" s="1" t="s">
        <v>480</v>
      </c>
      <c r="U262" s="1" t="s">
        <v>480</v>
      </c>
      <c r="V262" s="1" t="s">
        <v>480</v>
      </c>
      <c r="W262" s="1" t="s">
        <v>480</v>
      </c>
      <c r="X262" s="1">
        <v>0</v>
      </c>
      <c r="Y262" s="1" t="s">
        <v>480</v>
      </c>
      <c r="Z262" s="1">
        <v>1</v>
      </c>
      <c r="AA262" s="1" t="s">
        <v>480</v>
      </c>
      <c r="AB262" s="1" t="s">
        <v>480</v>
      </c>
      <c r="AC262" s="1" t="s">
        <v>480</v>
      </c>
      <c r="AD262" s="1">
        <v>2</v>
      </c>
      <c r="AE262" s="1" t="s">
        <v>480</v>
      </c>
      <c r="AF262" s="1" t="s">
        <v>480</v>
      </c>
      <c r="AG262" s="1" t="s">
        <v>480</v>
      </c>
      <c r="AH262" s="1" t="s">
        <v>480</v>
      </c>
      <c r="AI262" s="1" t="s">
        <v>480</v>
      </c>
      <c r="AJ262" s="1">
        <v>0</v>
      </c>
      <c r="AK262" s="1">
        <v>1</v>
      </c>
      <c r="AL262" s="1">
        <v>2</v>
      </c>
      <c r="AM262" s="1">
        <v>3</v>
      </c>
      <c r="AN262" s="1" t="s">
        <v>480</v>
      </c>
      <c r="AO262" s="1">
        <v>5</v>
      </c>
      <c r="AP262" s="1">
        <v>1</v>
      </c>
      <c r="AQ262" s="1" t="s">
        <v>480</v>
      </c>
      <c r="AR262" s="1" t="s">
        <v>480</v>
      </c>
      <c r="AS262" s="1" t="s">
        <v>480</v>
      </c>
      <c r="AT262" s="1">
        <f t="shared" si="39"/>
        <v>13</v>
      </c>
    </row>
    <row r="263" spans="1:46" x14ac:dyDescent="0.25">
      <c r="A263" s="1">
        <f>COUNTIF('Value Matchup'!$D$356:$D$423,'Team History'!B263)</f>
        <v>0</v>
      </c>
      <c r="B263" t="s">
        <v>350</v>
      </c>
      <c r="C263" s="1">
        <f t="shared" si="32"/>
        <v>3</v>
      </c>
      <c r="D263" s="1">
        <f t="shared" si="33"/>
        <v>0</v>
      </c>
      <c r="E263" s="1">
        <f t="shared" si="34"/>
        <v>0</v>
      </c>
      <c r="F263" s="1">
        <f t="shared" si="35"/>
        <v>0</v>
      </c>
      <c r="G263" s="1">
        <f t="shared" si="36"/>
        <v>0</v>
      </c>
      <c r="H263" s="1">
        <f t="shared" si="37"/>
        <v>0</v>
      </c>
      <c r="I263" s="64">
        <f t="shared" si="38"/>
        <v>9</v>
      </c>
      <c r="K263" s="90" t="s">
        <v>480</v>
      </c>
      <c r="L263" s="1" t="s">
        <v>480</v>
      </c>
      <c r="M263" s="1" t="s">
        <v>480</v>
      </c>
      <c r="N263" s="1" t="s">
        <v>480</v>
      </c>
      <c r="O263" s="1" t="s">
        <v>480</v>
      </c>
      <c r="P263" s="1" t="s">
        <v>480</v>
      </c>
      <c r="Q263" s="1" t="s">
        <v>480</v>
      </c>
      <c r="R263" s="1" t="s">
        <v>480</v>
      </c>
      <c r="S263" s="1" t="s">
        <v>480</v>
      </c>
      <c r="T263" s="1">
        <v>0</v>
      </c>
      <c r="U263" s="1">
        <v>1</v>
      </c>
      <c r="V263" s="1">
        <v>1</v>
      </c>
      <c r="W263" s="1" t="s">
        <v>480</v>
      </c>
      <c r="X263" s="1" t="s">
        <v>480</v>
      </c>
      <c r="Y263" s="1" t="s">
        <v>480</v>
      </c>
      <c r="Z263" s="1" t="s">
        <v>480</v>
      </c>
      <c r="AA263" s="1" t="s">
        <v>480</v>
      </c>
      <c r="AB263" s="1">
        <v>0</v>
      </c>
      <c r="AC263" s="1" t="s">
        <v>480</v>
      </c>
      <c r="AD263" s="1" t="s">
        <v>480</v>
      </c>
      <c r="AE263" s="1">
        <v>0</v>
      </c>
      <c r="AF263" s="1" t="s">
        <v>480</v>
      </c>
      <c r="AG263" s="1" t="s">
        <v>480</v>
      </c>
      <c r="AH263" s="1" t="s">
        <v>480</v>
      </c>
      <c r="AI263" s="1" t="s">
        <v>480</v>
      </c>
      <c r="AJ263" s="1" t="s">
        <v>480</v>
      </c>
      <c r="AK263" s="1" t="s">
        <v>480</v>
      </c>
      <c r="AL263" s="1" t="s">
        <v>480</v>
      </c>
      <c r="AM263" s="1" t="s">
        <v>480</v>
      </c>
      <c r="AN263" s="1" t="s">
        <v>480</v>
      </c>
      <c r="AO263" s="1">
        <v>1</v>
      </c>
      <c r="AP263" s="1" t="s">
        <v>480</v>
      </c>
      <c r="AQ263" s="1" t="s">
        <v>480</v>
      </c>
      <c r="AR263" s="1" t="s">
        <v>480</v>
      </c>
      <c r="AS263" s="1" t="s">
        <v>480</v>
      </c>
      <c r="AT263" s="1">
        <f t="shared" si="39"/>
        <v>6</v>
      </c>
    </row>
    <row r="264" spans="1:46" x14ac:dyDescent="0.25">
      <c r="A264" s="1">
        <f>COUNTIF('Value Matchup'!$D$356:$D$423,'Team History'!B264)</f>
        <v>0</v>
      </c>
      <c r="B264" t="s">
        <v>351</v>
      </c>
      <c r="C264" s="1">
        <f t="shared" si="32"/>
        <v>0</v>
      </c>
      <c r="D264" s="1">
        <f t="shared" si="33"/>
        <v>0</v>
      </c>
      <c r="E264" s="1">
        <f t="shared" si="34"/>
        <v>0</v>
      </c>
      <c r="F264" s="1">
        <f t="shared" si="35"/>
        <v>0</v>
      </c>
      <c r="G264" s="1">
        <f t="shared" si="36"/>
        <v>0</v>
      </c>
      <c r="H264" s="1">
        <f t="shared" si="37"/>
        <v>0</v>
      </c>
      <c r="I264" s="64">
        <f t="shared" si="38"/>
        <v>0</v>
      </c>
      <c r="K264" s="90" t="s">
        <v>480</v>
      </c>
      <c r="L264" s="1" t="s">
        <v>480</v>
      </c>
      <c r="M264" s="1" t="s">
        <v>480</v>
      </c>
      <c r="N264" s="1" t="s">
        <v>480</v>
      </c>
      <c r="O264" s="1" t="s">
        <v>480</v>
      </c>
      <c r="P264" s="1" t="s">
        <v>480</v>
      </c>
      <c r="Q264" s="1" t="s">
        <v>480</v>
      </c>
      <c r="R264" s="1" t="s">
        <v>480</v>
      </c>
      <c r="S264" s="1" t="s">
        <v>480</v>
      </c>
      <c r="T264" s="1" t="s">
        <v>480</v>
      </c>
      <c r="U264" s="1" t="s">
        <v>480</v>
      </c>
      <c r="V264" s="1" t="s">
        <v>480</v>
      </c>
      <c r="W264" s="1" t="s">
        <v>480</v>
      </c>
      <c r="X264" s="1" t="s">
        <v>480</v>
      </c>
      <c r="Y264" s="1" t="s">
        <v>480</v>
      </c>
      <c r="Z264" s="1" t="s">
        <v>480</v>
      </c>
      <c r="AA264" s="1" t="s">
        <v>480</v>
      </c>
      <c r="AB264" s="1" t="s">
        <v>480</v>
      </c>
      <c r="AC264" s="1" t="s">
        <v>480</v>
      </c>
      <c r="AD264" s="1" t="s">
        <v>480</v>
      </c>
      <c r="AE264" s="1" t="s">
        <v>480</v>
      </c>
      <c r="AF264" s="1" t="s">
        <v>480</v>
      </c>
      <c r="AG264" s="1" t="s">
        <v>480</v>
      </c>
      <c r="AH264" s="1" t="s">
        <v>480</v>
      </c>
      <c r="AI264" s="1" t="s">
        <v>480</v>
      </c>
      <c r="AJ264" s="1" t="s">
        <v>480</v>
      </c>
      <c r="AK264" s="1" t="s">
        <v>480</v>
      </c>
      <c r="AL264" s="1" t="s">
        <v>480</v>
      </c>
      <c r="AM264" s="1" t="s">
        <v>480</v>
      </c>
      <c r="AN264" s="1" t="s">
        <v>480</v>
      </c>
      <c r="AO264" s="1" t="s">
        <v>480</v>
      </c>
      <c r="AP264" s="1" t="s">
        <v>480</v>
      </c>
      <c r="AQ264" s="1" t="s">
        <v>480</v>
      </c>
      <c r="AR264" s="1" t="s">
        <v>480</v>
      </c>
      <c r="AS264" s="1" t="s">
        <v>480</v>
      </c>
      <c r="AT264" s="1">
        <f t="shared" si="39"/>
        <v>0</v>
      </c>
    </row>
    <row r="265" spans="1:46" x14ac:dyDescent="0.25">
      <c r="A265" s="1">
        <f>COUNTIF('Value Matchup'!$D$356:$D$423,'Team History'!B265)</f>
        <v>0</v>
      </c>
      <c r="B265" t="s">
        <v>352</v>
      </c>
      <c r="C265" s="1">
        <f t="shared" si="32"/>
        <v>2</v>
      </c>
      <c r="D265" s="1">
        <f t="shared" si="33"/>
        <v>0</v>
      </c>
      <c r="E265" s="1">
        <f t="shared" si="34"/>
        <v>0</v>
      </c>
      <c r="F265" s="1">
        <f t="shared" si="35"/>
        <v>0</v>
      </c>
      <c r="G265" s="1">
        <f t="shared" si="36"/>
        <v>0</v>
      </c>
      <c r="H265" s="1">
        <f t="shared" si="37"/>
        <v>0</v>
      </c>
      <c r="I265" s="64">
        <f t="shared" si="38"/>
        <v>7</v>
      </c>
      <c r="K265" s="90" t="s">
        <v>480</v>
      </c>
      <c r="L265" s="1" t="s">
        <v>480</v>
      </c>
      <c r="M265" s="1">
        <v>0</v>
      </c>
      <c r="N265" s="1" t="s">
        <v>480</v>
      </c>
      <c r="O265" s="1">
        <v>0</v>
      </c>
      <c r="P265" s="1" t="s">
        <v>480</v>
      </c>
      <c r="Q265" s="1" t="s">
        <v>480</v>
      </c>
      <c r="R265" s="1" t="s">
        <v>480</v>
      </c>
      <c r="S265" s="1" t="s">
        <v>480</v>
      </c>
      <c r="T265" s="1" t="s">
        <v>480</v>
      </c>
      <c r="U265" s="1" t="s">
        <v>480</v>
      </c>
      <c r="V265" s="1" t="s">
        <v>480</v>
      </c>
      <c r="W265" s="1" t="s">
        <v>480</v>
      </c>
      <c r="X265" s="1" t="s">
        <v>480</v>
      </c>
      <c r="Y265" s="1" t="s">
        <v>480</v>
      </c>
      <c r="Z265" s="1" t="s">
        <v>480</v>
      </c>
      <c r="AA265" s="1" t="s">
        <v>480</v>
      </c>
      <c r="AB265" s="1" t="s">
        <v>480</v>
      </c>
      <c r="AC265" s="1" t="s">
        <v>480</v>
      </c>
      <c r="AD265" s="1" t="s">
        <v>480</v>
      </c>
      <c r="AE265" s="1" t="s">
        <v>480</v>
      </c>
      <c r="AF265" s="1" t="s">
        <v>480</v>
      </c>
      <c r="AG265" s="1" t="s">
        <v>480</v>
      </c>
      <c r="AH265" s="1" t="s">
        <v>480</v>
      </c>
      <c r="AI265" s="1" t="s">
        <v>480</v>
      </c>
      <c r="AJ265" s="1" t="s">
        <v>480</v>
      </c>
      <c r="AK265" s="1">
        <v>0</v>
      </c>
      <c r="AL265" s="1" t="s">
        <v>480</v>
      </c>
      <c r="AM265" s="1" t="s">
        <v>480</v>
      </c>
      <c r="AN265" s="1" t="s">
        <v>480</v>
      </c>
      <c r="AO265" s="1" t="s">
        <v>480</v>
      </c>
      <c r="AP265" s="1">
        <v>1</v>
      </c>
      <c r="AQ265" s="1" t="s">
        <v>480</v>
      </c>
      <c r="AR265" s="1" t="s">
        <v>480</v>
      </c>
      <c r="AS265" s="1">
        <v>1</v>
      </c>
      <c r="AT265" s="1">
        <f t="shared" si="39"/>
        <v>5</v>
      </c>
    </row>
    <row r="266" spans="1:46" x14ac:dyDescent="0.25">
      <c r="A266" s="1">
        <f>COUNTIF('Value Matchup'!$D$356:$D$423,'Team History'!B266)</f>
        <v>0</v>
      </c>
      <c r="B266" t="s">
        <v>353</v>
      </c>
      <c r="C266" s="1">
        <f t="shared" si="32"/>
        <v>1</v>
      </c>
      <c r="D266" s="1">
        <f t="shared" si="33"/>
        <v>0</v>
      </c>
      <c r="E266" s="1">
        <f t="shared" si="34"/>
        <v>0</v>
      </c>
      <c r="F266" s="1">
        <f t="shared" si="35"/>
        <v>0</v>
      </c>
      <c r="G266" s="1">
        <f t="shared" si="36"/>
        <v>0</v>
      </c>
      <c r="H266" s="1">
        <f t="shared" si="37"/>
        <v>0</v>
      </c>
      <c r="I266" s="64">
        <f t="shared" si="38"/>
        <v>7</v>
      </c>
      <c r="K266" s="90" t="s">
        <v>480</v>
      </c>
      <c r="L266" s="1" t="s">
        <v>480</v>
      </c>
      <c r="M266" s="1" t="s">
        <v>480</v>
      </c>
      <c r="N266" s="1" t="s">
        <v>480</v>
      </c>
      <c r="O266" s="1" t="s">
        <v>480</v>
      </c>
      <c r="P266" s="1" t="s">
        <v>480</v>
      </c>
      <c r="Q266" s="1" t="s">
        <v>480</v>
      </c>
      <c r="R266" s="1" t="s">
        <v>480</v>
      </c>
      <c r="S266" s="1" t="s">
        <v>480</v>
      </c>
      <c r="T266" s="1" t="s">
        <v>480</v>
      </c>
      <c r="U266" s="1" t="s">
        <v>480</v>
      </c>
      <c r="V266" s="1">
        <v>0</v>
      </c>
      <c r="W266" s="1" t="s">
        <v>480</v>
      </c>
      <c r="X266" s="1">
        <v>0</v>
      </c>
      <c r="Y266" s="1" t="s">
        <v>480</v>
      </c>
      <c r="Z266" s="1" t="s">
        <v>480</v>
      </c>
      <c r="AA266" s="1" t="s">
        <v>480</v>
      </c>
      <c r="AB266" s="1" t="s">
        <v>480</v>
      </c>
      <c r="AC266" s="1" t="s">
        <v>480</v>
      </c>
      <c r="AD266" s="1" t="s">
        <v>480</v>
      </c>
      <c r="AE266" s="1" t="s">
        <v>480</v>
      </c>
      <c r="AF266" s="1">
        <v>0</v>
      </c>
      <c r="AG266" s="1">
        <v>0</v>
      </c>
      <c r="AH266" s="1" t="s">
        <v>480</v>
      </c>
      <c r="AI266" s="1" t="s">
        <v>480</v>
      </c>
      <c r="AJ266" s="1" t="s">
        <v>480</v>
      </c>
      <c r="AK266" s="1" t="s">
        <v>480</v>
      </c>
      <c r="AL266" s="1" t="s">
        <v>480</v>
      </c>
      <c r="AM266" s="1">
        <v>0</v>
      </c>
      <c r="AN266" s="1" t="s">
        <v>480</v>
      </c>
      <c r="AO266" s="1">
        <v>1</v>
      </c>
      <c r="AP266" s="1" t="s">
        <v>480</v>
      </c>
      <c r="AQ266" s="1" t="s">
        <v>480</v>
      </c>
      <c r="AR266" s="1" t="s">
        <v>480</v>
      </c>
      <c r="AS266" s="1" t="s">
        <v>480</v>
      </c>
      <c r="AT266" s="1">
        <f t="shared" si="39"/>
        <v>6</v>
      </c>
    </row>
    <row r="267" spans="1:46" x14ac:dyDescent="0.25">
      <c r="A267" s="1">
        <f>COUNTIF('Value Matchup'!$D$356:$D$423,'Team History'!B267)</f>
        <v>0</v>
      </c>
      <c r="B267" t="s">
        <v>354</v>
      </c>
      <c r="C267" s="1">
        <f t="shared" si="32"/>
        <v>1</v>
      </c>
      <c r="D267" s="1">
        <f t="shared" si="33"/>
        <v>1</v>
      </c>
      <c r="E267" s="1">
        <f t="shared" si="34"/>
        <v>1</v>
      </c>
      <c r="F267" s="1">
        <f t="shared" si="35"/>
        <v>1</v>
      </c>
      <c r="G267" s="1">
        <f t="shared" si="36"/>
        <v>0</v>
      </c>
      <c r="H267" s="1">
        <f t="shared" si="37"/>
        <v>0</v>
      </c>
      <c r="I267" s="64">
        <f t="shared" si="38"/>
        <v>13</v>
      </c>
      <c r="K267" s="90" t="s">
        <v>480</v>
      </c>
      <c r="L267" s="1" t="s">
        <v>480</v>
      </c>
      <c r="M267" s="1">
        <v>4</v>
      </c>
      <c r="N267" s="1" t="s">
        <v>480</v>
      </c>
      <c r="O267" s="1" t="s">
        <v>480</v>
      </c>
      <c r="P267" s="1" t="s">
        <v>480</v>
      </c>
      <c r="Q267" s="1" t="s">
        <v>480</v>
      </c>
      <c r="R267" s="1" t="s">
        <v>480</v>
      </c>
      <c r="S267" s="1" t="s">
        <v>480</v>
      </c>
      <c r="T267" s="1" t="s">
        <v>480</v>
      </c>
      <c r="U267" s="1" t="s">
        <v>480</v>
      </c>
      <c r="V267" s="1" t="s">
        <v>480</v>
      </c>
      <c r="W267" s="1" t="s">
        <v>480</v>
      </c>
      <c r="X267" s="1" t="s">
        <v>480</v>
      </c>
      <c r="Y267" s="1" t="s">
        <v>480</v>
      </c>
      <c r="Z267" s="1">
        <v>0</v>
      </c>
      <c r="AA267" s="1" t="s">
        <v>480</v>
      </c>
      <c r="AB267" s="1" t="s">
        <v>480</v>
      </c>
      <c r="AC267" s="1" t="s">
        <v>480</v>
      </c>
      <c r="AD267" s="1" t="s">
        <v>480</v>
      </c>
      <c r="AE267" s="1" t="s">
        <v>480</v>
      </c>
      <c r="AF267" s="1">
        <v>0</v>
      </c>
      <c r="AG267" s="1">
        <v>0</v>
      </c>
      <c r="AH267" s="1" t="s">
        <v>480</v>
      </c>
      <c r="AI267" s="1" t="s">
        <v>480</v>
      </c>
      <c r="AJ267" s="1" t="s">
        <v>480</v>
      </c>
      <c r="AK267" s="1" t="s">
        <v>480</v>
      </c>
      <c r="AL267" s="1" t="s">
        <v>480</v>
      </c>
      <c r="AM267" s="1" t="s">
        <v>480</v>
      </c>
      <c r="AN267" s="1" t="s">
        <v>480</v>
      </c>
      <c r="AO267" s="1">
        <v>0</v>
      </c>
      <c r="AP267" s="1" t="s">
        <v>480</v>
      </c>
      <c r="AQ267" s="1" t="s">
        <v>480</v>
      </c>
      <c r="AR267" s="1" t="s">
        <v>480</v>
      </c>
      <c r="AS267" s="1" t="s">
        <v>480</v>
      </c>
      <c r="AT267" s="1">
        <f t="shared" si="39"/>
        <v>5</v>
      </c>
    </row>
    <row r="268" spans="1:46" x14ac:dyDescent="0.25">
      <c r="A268" s="1">
        <f>COUNTIF('Value Matchup'!$D$356:$D$423,'Team History'!B268)</f>
        <v>0</v>
      </c>
      <c r="B268" t="s">
        <v>355</v>
      </c>
      <c r="C268" s="1">
        <f t="shared" si="32"/>
        <v>0</v>
      </c>
      <c r="D268" s="1">
        <f t="shared" si="33"/>
        <v>0</v>
      </c>
      <c r="E268" s="1">
        <f t="shared" si="34"/>
        <v>0</v>
      </c>
      <c r="F268" s="1">
        <f t="shared" si="35"/>
        <v>0</v>
      </c>
      <c r="G268" s="1">
        <f t="shared" si="36"/>
        <v>0</v>
      </c>
      <c r="H268" s="1">
        <f t="shared" si="37"/>
        <v>0</v>
      </c>
      <c r="I268" s="64">
        <f t="shared" si="38"/>
        <v>5</v>
      </c>
      <c r="K268" s="90" t="s">
        <v>480</v>
      </c>
      <c r="L268" s="1" t="s">
        <v>480</v>
      </c>
      <c r="M268" s="1" t="s">
        <v>480</v>
      </c>
      <c r="N268" s="1" t="s">
        <v>480</v>
      </c>
      <c r="O268" s="1" t="s">
        <v>480</v>
      </c>
      <c r="P268" s="1" t="s">
        <v>480</v>
      </c>
      <c r="Q268" s="1" t="s">
        <v>480</v>
      </c>
      <c r="R268" s="1" t="s">
        <v>480</v>
      </c>
      <c r="S268" s="1" t="s">
        <v>480</v>
      </c>
      <c r="T268" s="1" t="s">
        <v>480</v>
      </c>
      <c r="U268" s="1" t="s">
        <v>480</v>
      </c>
      <c r="V268" s="1" t="s">
        <v>480</v>
      </c>
      <c r="W268" s="1" t="s">
        <v>480</v>
      </c>
      <c r="X268" s="1" t="s">
        <v>480</v>
      </c>
      <c r="Y268" s="1" t="s">
        <v>480</v>
      </c>
      <c r="Z268" s="1" t="s">
        <v>480</v>
      </c>
      <c r="AA268" s="1">
        <v>0</v>
      </c>
      <c r="AB268" s="1" t="s">
        <v>480</v>
      </c>
      <c r="AC268" s="1" t="s">
        <v>480</v>
      </c>
      <c r="AD268" s="1">
        <v>0</v>
      </c>
      <c r="AE268" s="1" t="s">
        <v>480</v>
      </c>
      <c r="AF268" s="1">
        <v>0</v>
      </c>
      <c r="AG268" s="1" t="s">
        <v>480</v>
      </c>
      <c r="AH268" s="1">
        <v>0</v>
      </c>
      <c r="AI268" s="1" t="s">
        <v>480</v>
      </c>
      <c r="AJ268" s="1" t="s">
        <v>480</v>
      </c>
      <c r="AK268" s="1" t="s">
        <v>480</v>
      </c>
      <c r="AL268" s="1" t="s">
        <v>480</v>
      </c>
      <c r="AM268" s="1" t="s">
        <v>480</v>
      </c>
      <c r="AN268" s="1" t="s">
        <v>480</v>
      </c>
      <c r="AO268" s="1">
        <v>0</v>
      </c>
      <c r="AP268" s="1" t="s">
        <v>480</v>
      </c>
      <c r="AQ268" s="1" t="s">
        <v>480</v>
      </c>
      <c r="AR268" s="1" t="s">
        <v>480</v>
      </c>
      <c r="AS268" s="1" t="s">
        <v>480</v>
      </c>
      <c r="AT268" s="1">
        <f t="shared" si="39"/>
        <v>5</v>
      </c>
    </row>
    <row r="269" spans="1:46" x14ac:dyDescent="0.25">
      <c r="A269" s="1">
        <f>COUNTIF('Value Matchup'!$D$356:$D$423,'Team History'!B269)</f>
        <v>0</v>
      </c>
      <c r="B269" t="s">
        <v>356</v>
      </c>
      <c r="C269" s="1">
        <f t="shared" si="32"/>
        <v>0</v>
      </c>
      <c r="D269" s="1">
        <f t="shared" si="33"/>
        <v>0</v>
      </c>
      <c r="E269" s="1">
        <f t="shared" si="34"/>
        <v>0</v>
      </c>
      <c r="F269" s="1">
        <f t="shared" si="35"/>
        <v>0</v>
      </c>
      <c r="G269" s="1">
        <f t="shared" si="36"/>
        <v>0</v>
      </c>
      <c r="H269" s="1">
        <f t="shared" si="37"/>
        <v>0</v>
      </c>
      <c r="I269" s="64">
        <f t="shared" si="38"/>
        <v>0</v>
      </c>
      <c r="K269" s="90" t="s">
        <v>480</v>
      </c>
      <c r="L269" s="1" t="s">
        <v>480</v>
      </c>
      <c r="M269" s="1" t="s">
        <v>480</v>
      </c>
      <c r="N269" s="1" t="s">
        <v>480</v>
      </c>
      <c r="O269" s="1" t="s">
        <v>480</v>
      </c>
      <c r="P269" s="1" t="s">
        <v>480</v>
      </c>
      <c r="Q269" s="1" t="s">
        <v>480</v>
      </c>
      <c r="R269" s="1" t="s">
        <v>480</v>
      </c>
      <c r="S269" s="1" t="s">
        <v>480</v>
      </c>
      <c r="T269" s="1" t="s">
        <v>480</v>
      </c>
      <c r="U269" s="1" t="s">
        <v>480</v>
      </c>
      <c r="V269" s="1" t="s">
        <v>480</v>
      </c>
      <c r="W269" s="1" t="s">
        <v>480</v>
      </c>
      <c r="X269" s="1" t="s">
        <v>480</v>
      </c>
      <c r="Y269" s="1" t="s">
        <v>480</v>
      </c>
      <c r="Z269" s="1" t="s">
        <v>480</v>
      </c>
      <c r="AA269" s="1" t="s">
        <v>480</v>
      </c>
      <c r="AB269" s="1" t="s">
        <v>480</v>
      </c>
      <c r="AC269" s="1" t="s">
        <v>480</v>
      </c>
      <c r="AD269" s="1" t="s">
        <v>480</v>
      </c>
      <c r="AE269" s="1" t="s">
        <v>480</v>
      </c>
      <c r="AF269" s="1" t="s">
        <v>480</v>
      </c>
      <c r="AG269" s="1" t="s">
        <v>480</v>
      </c>
      <c r="AH269" s="1" t="s">
        <v>480</v>
      </c>
      <c r="AI269" s="1" t="s">
        <v>480</v>
      </c>
      <c r="AJ269" s="1" t="s">
        <v>480</v>
      </c>
      <c r="AK269" s="1" t="s">
        <v>480</v>
      </c>
      <c r="AL269" s="1" t="s">
        <v>480</v>
      </c>
      <c r="AM269" s="1" t="s">
        <v>480</v>
      </c>
      <c r="AN269" s="1" t="s">
        <v>480</v>
      </c>
      <c r="AO269" s="1" t="s">
        <v>480</v>
      </c>
      <c r="AP269" s="1" t="s">
        <v>480</v>
      </c>
      <c r="AQ269" s="1" t="s">
        <v>480</v>
      </c>
      <c r="AR269" s="1" t="s">
        <v>480</v>
      </c>
      <c r="AS269" s="1" t="s">
        <v>480</v>
      </c>
      <c r="AT269" s="1">
        <f t="shared" si="39"/>
        <v>0</v>
      </c>
    </row>
    <row r="270" spans="1:46" x14ac:dyDescent="0.25">
      <c r="A270" s="1">
        <f>COUNTIF('Value Matchup'!$D$356:$D$423,'Team History'!B270)</f>
        <v>0</v>
      </c>
      <c r="B270" t="s">
        <v>357</v>
      </c>
      <c r="C270" s="1">
        <f t="shared" si="32"/>
        <v>0</v>
      </c>
      <c r="D270" s="1">
        <f t="shared" si="33"/>
        <v>0</v>
      </c>
      <c r="E270" s="1">
        <f t="shared" si="34"/>
        <v>0</v>
      </c>
      <c r="F270" s="1">
        <f t="shared" si="35"/>
        <v>0</v>
      </c>
      <c r="G270" s="1">
        <f t="shared" si="36"/>
        <v>0</v>
      </c>
      <c r="H270" s="1">
        <f t="shared" si="37"/>
        <v>0</v>
      </c>
      <c r="I270" s="64">
        <f t="shared" si="38"/>
        <v>4</v>
      </c>
      <c r="K270" s="90" t="s">
        <v>480</v>
      </c>
      <c r="L270" s="1">
        <v>0</v>
      </c>
      <c r="M270" s="1" t="s">
        <v>480</v>
      </c>
      <c r="N270" s="1">
        <v>0</v>
      </c>
      <c r="O270" s="1" t="s">
        <v>480</v>
      </c>
      <c r="P270" s="1" t="s">
        <v>480</v>
      </c>
      <c r="Q270" s="1">
        <v>0</v>
      </c>
      <c r="R270" s="1">
        <v>0</v>
      </c>
      <c r="S270" s="1" t="s">
        <v>480</v>
      </c>
      <c r="T270" s="1" t="s">
        <v>480</v>
      </c>
      <c r="U270" s="1" t="s">
        <v>480</v>
      </c>
      <c r="V270" s="1" t="s">
        <v>480</v>
      </c>
      <c r="W270" s="1" t="s">
        <v>480</v>
      </c>
      <c r="X270" s="1" t="s">
        <v>480</v>
      </c>
      <c r="Y270" s="1" t="s">
        <v>480</v>
      </c>
      <c r="Z270" s="1" t="s">
        <v>480</v>
      </c>
      <c r="AA270" s="1" t="s">
        <v>480</v>
      </c>
      <c r="AB270" s="1" t="s">
        <v>480</v>
      </c>
      <c r="AC270" s="1" t="s">
        <v>480</v>
      </c>
      <c r="AD270" s="1" t="s">
        <v>480</v>
      </c>
      <c r="AE270" s="1" t="s">
        <v>480</v>
      </c>
      <c r="AF270" s="1" t="s">
        <v>480</v>
      </c>
      <c r="AG270" s="1" t="s">
        <v>480</v>
      </c>
      <c r="AH270" s="1" t="s">
        <v>480</v>
      </c>
      <c r="AI270" s="1" t="s">
        <v>480</v>
      </c>
      <c r="AJ270" s="1" t="s">
        <v>480</v>
      </c>
      <c r="AK270" s="1" t="s">
        <v>480</v>
      </c>
      <c r="AL270" s="1" t="s">
        <v>480</v>
      </c>
      <c r="AM270" s="1" t="s">
        <v>480</v>
      </c>
      <c r="AN270" s="1" t="s">
        <v>480</v>
      </c>
      <c r="AO270" s="1" t="s">
        <v>480</v>
      </c>
      <c r="AP270" s="1" t="s">
        <v>480</v>
      </c>
      <c r="AQ270" s="1" t="s">
        <v>480</v>
      </c>
      <c r="AR270" s="1" t="s">
        <v>480</v>
      </c>
      <c r="AS270" s="1" t="s">
        <v>480</v>
      </c>
      <c r="AT270" s="1">
        <f t="shared" si="39"/>
        <v>4</v>
      </c>
    </row>
    <row r="271" spans="1:46" x14ac:dyDescent="0.25">
      <c r="A271" s="1">
        <f>COUNTIF('Value Matchup'!$D$356:$D$423,'Team History'!B271)</f>
        <v>0</v>
      </c>
      <c r="B271" t="s">
        <v>358</v>
      </c>
      <c r="C271" s="1">
        <f t="shared" si="32"/>
        <v>1</v>
      </c>
      <c r="D271" s="1">
        <f t="shared" si="33"/>
        <v>0</v>
      </c>
      <c r="E271" s="1">
        <f t="shared" si="34"/>
        <v>0</v>
      </c>
      <c r="F271" s="1">
        <f t="shared" si="35"/>
        <v>0</v>
      </c>
      <c r="G271" s="1">
        <f t="shared" si="36"/>
        <v>0</v>
      </c>
      <c r="H271" s="1">
        <f t="shared" si="37"/>
        <v>0</v>
      </c>
      <c r="I271" s="64">
        <f t="shared" si="38"/>
        <v>5</v>
      </c>
      <c r="K271" s="90" t="s">
        <v>480</v>
      </c>
      <c r="L271" s="1" t="s">
        <v>480</v>
      </c>
      <c r="M271" s="1" t="s">
        <v>480</v>
      </c>
      <c r="N271" s="1" t="s">
        <v>480</v>
      </c>
      <c r="O271" s="1" t="s">
        <v>480</v>
      </c>
      <c r="P271" s="1" t="s">
        <v>480</v>
      </c>
      <c r="Q271" s="1" t="s">
        <v>480</v>
      </c>
      <c r="R271" s="1">
        <v>1</v>
      </c>
      <c r="S271" s="1" t="s">
        <v>480</v>
      </c>
      <c r="T271" s="1" t="s">
        <v>480</v>
      </c>
      <c r="U271" s="1" t="s">
        <v>480</v>
      </c>
      <c r="V271" s="1" t="s">
        <v>480</v>
      </c>
      <c r="W271" s="1" t="s">
        <v>480</v>
      </c>
      <c r="X271" s="1" t="s">
        <v>480</v>
      </c>
      <c r="Y271" s="1" t="s">
        <v>480</v>
      </c>
      <c r="Z271" s="1" t="s">
        <v>480</v>
      </c>
      <c r="AA271" s="1" t="s">
        <v>480</v>
      </c>
      <c r="AB271" s="1" t="s">
        <v>480</v>
      </c>
      <c r="AC271" s="1" t="s">
        <v>480</v>
      </c>
      <c r="AD271" s="1" t="s">
        <v>480</v>
      </c>
      <c r="AE271" s="1" t="s">
        <v>480</v>
      </c>
      <c r="AF271" s="1" t="s">
        <v>480</v>
      </c>
      <c r="AG271" s="1" t="s">
        <v>480</v>
      </c>
      <c r="AH271" s="1" t="s">
        <v>480</v>
      </c>
      <c r="AI271" s="1" t="s">
        <v>480</v>
      </c>
      <c r="AJ271" s="1" t="s">
        <v>480</v>
      </c>
      <c r="AK271" s="1" t="s">
        <v>480</v>
      </c>
      <c r="AL271" s="1">
        <v>0</v>
      </c>
      <c r="AM271" s="1" t="s">
        <v>480</v>
      </c>
      <c r="AN271" s="1">
        <v>0</v>
      </c>
      <c r="AO271" s="1" t="s">
        <v>480</v>
      </c>
      <c r="AP271" s="1" t="s">
        <v>480</v>
      </c>
      <c r="AQ271" s="1" t="s">
        <v>480</v>
      </c>
      <c r="AR271" s="1" t="s">
        <v>480</v>
      </c>
      <c r="AS271" s="1" t="s">
        <v>480</v>
      </c>
      <c r="AT271" s="1">
        <f t="shared" si="39"/>
        <v>3</v>
      </c>
    </row>
    <row r="272" spans="1:46" x14ac:dyDescent="0.25">
      <c r="A272" s="1">
        <f>COUNTIF('Value Matchup'!$D$356:$D$423,'Team History'!B272)</f>
        <v>0</v>
      </c>
      <c r="B272" t="s">
        <v>359</v>
      </c>
      <c r="C272" s="1">
        <f t="shared" si="32"/>
        <v>0</v>
      </c>
      <c r="D272" s="1">
        <f t="shared" si="33"/>
        <v>0</v>
      </c>
      <c r="E272" s="1">
        <f t="shared" si="34"/>
        <v>0</v>
      </c>
      <c r="F272" s="1">
        <f t="shared" si="35"/>
        <v>0</v>
      </c>
      <c r="G272" s="1">
        <f t="shared" si="36"/>
        <v>0</v>
      </c>
      <c r="H272" s="1">
        <f t="shared" si="37"/>
        <v>0</v>
      </c>
      <c r="I272" s="64">
        <f t="shared" si="38"/>
        <v>1</v>
      </c>
      <c r="K272" s="90" t="s">
        <v>480</v>
      </c>
      <c r="L272" s="1" t="s">
        <v>480</v>
      </c>
      <c r="M272" s="1" t="s">
        <v>480</v>
      </c>
      <c r="N272" s="1" t="s">
        <v>480</v>
      </c>
      <c r="O272" s="1" t="s">
        <v>480</v>
      </c>
      <c r="P272" s="1" t="s">
        <v>480</v>
      </c>
      <c r="Q272" s="1" t="s">
        <v>480</v>
      </c>
      <c r="R272" s="1" t="s">
        <v>480</v>
      </c>
      <c r="S272" s="1" t="s">
        <v>480</v>
      </c>
      <c r="T272" s="1" t="s">
        <v>480</v>
      </c>
      <c r="U272" s="1" t="s">
        <v>480</v>
      </c>
      <c r="V272" s="1" t="s">
        <v>480</v>
      </c>
      <c r="W272" s="1" t="s">
        <v>480</v>
      </c>
      <c r="X272" s="1" t="s">
        <v>480</v>
      </c>
      <c r="Y272" s="1" t="s">
        <v>480</v>
      </c>
      <c r="Z272" s="1" t="s">
        <v>480</v>
      </c>
      <c r="AA272" s="1" t="s">
        <v>480</v>
      </c>
      <c r="AB272" s="1" t="s">
        <v>480</v>
      </c>
      <c r="AC272" s="1" t="s">
        <v>480</v>
      </c>
      <c r="AD272" s="1">
        <v>0</v>
      </c>
      <c r="AE272" s="1" t="s">
        <v>480</v>
      </c>
      <c r="AF272" s="1" t="s">
        <v>480</v>
      </c>
      <c r="AG272" s="1" t="s">
        <v>480</v>
      </c>
      <c r="AH272" s="1" t="s">
        <v>480</v>
      </c>
      <c r="AI272" s="1" t="s">
        <v>480</v>
      </c>
      <c r="AJ272" s="1" t="s">
        <v>480</v>
      </c>
      <c r="AK272" s="1" t="s">
        <v>480</v>
      </c>
      <c r="AL272" s="1" t="s">
        <v>480</v>
      </c>
      <c r="AM272" s="1" t="s">
        <v>480</v>
      </c>
      <c r="AN272" s="1" t="s">
        <v>480</v>
      </c>
      <c r="AO272" s="1" t="s">
        <v>480</v>
      </c>
      <c r="AP272" s="1" t="s">
        <v>480</v>
      </c>
      <c r="AQ272" s="1" t="s">
        <v>480</v>
      </c>
      <c r="AR272" s="1" t="s">
        <v>480</v>
      </c>
      <c r="AS272" s="1" t="s">
        <v>480</v>
      </c>
      <c r="AT272" s="1">
        <f t="shared" si="39"/>
        <v>1</v>
      </c>
    </row>
    <row r="273" spans="1:46" x14ac:dyDescent="0.25">
      <c r="A273" s="1">
        <f>COUNTIF('Value Matchup'!$D$356:$D$423,'Team History'!B273)</f>
        <v>0</v>
      </c>
      <c r="B273" t="s">
        <v>360</v>
      </c>
      <c r="C273" s="1">
        <f t="shared" si="32"/>
        <v>0</v>
      </c>
      <c r="D273" s="1">
        <f t="shared" si="33"/>
        <v>0</v>
      </c>
      <c r="E273" s="1">
        <f t="shared" si="34"/>
        <v>0</v>
      </c>
      <c r="F273" s="1">
        <f t="shared" si="35"/>
        <v>0</v>
      </c>
      <c r="G273" s="1">
        <f t="shared" si="36"/>
        <v>0</v>
      </c>
      <c r="H273" s="1">
        <f t="shared" si="37"/>
        <v>0</v>
      </c>
      <c r="I273" s="64">
        <f t="shared" si="38"/>
        <v>1</v>
      </c>
      <c r="K273" s="90" t="s">
        <v>480</v>
      </c>
      <c r="L273" s="1" t="s">
        <v>480</v>
      </c>
      <c r="M273" s="1" t="s">
        <v>480</v>
      </c>
      <c r="N273" s="1" t="s">
        <v>480</v>
      </c>
      <c r="O273" s="1" t="s">
        <v>480</v>
      </c>
      <c r="P273" s="1" t="s">
        <v>480</v>
      </c>
      <c r="Q273" s="1" t="s">
        <v>480</v>
      </c>
      <c r="R273" s="1" t="s">
        <v>480</v>
      </c>
      <c r="S273" s="1" t="s">
        <v>480</v>
      </c>
      <c r="T273" s="1" t="s">
        <v>480</v>
      </c>
      <c r="U273" s="1" t="s">
        <v>480</v>
      </c>
      <c r="V273" s="1" t="s">
        <v>480</v>
      </c>
      <c r="W273" s="1" t="s">
        <v>480</v>
      </c>
      <c r="X273" s="1" t="s">
        <v>480</v>
      </c>
      <c r="Y273" s="1">
        <v>0</v>
      </c>
      <c r="Z273" s="1" t="s">
        <v>480</v>
      </c>
      <c r="AA273" s="1" t="s">
        <v>480</v>
      </c>
      <c r="AB273" s="1" t="s">
        <v>480</v>
      </c>
      <c r="AC273" s="1" t="s">
        <v>480</v>
      </c>
      <c r="AD273" s="1" t="s">
        <v>480</v>
      </c>
      <c r="AE273" s="1" t="s">
        <v>480</v>
      </c>
      <c r="AF273" s="1" t="s">
        <v>480</v>
      </c>
      <c r="AG273" s="1" t="s">
        <v>480</v>
      </c>
      <c r="AH273" s="1" t="s">
        <v>480</v>
      </c>
      <c r="AI273" s="1" t="s">
        <v>480</v>
      </c>
      <c r="AJ273" s="1" t="s">
        <v>480</v>
      </c>
      <c r="AK273" s="1" t="s">
        <v>480</v>
      </c>
      <c r="AL273" s="1" t="s">
        <v>480</v>
      </c>
      <c r="AM273" s="1" t="s">
        <v>480</v>
      </c>
      <c r="AN273" s="1" t="s">
        <v>480</v>
      </c>
      <c r="AO273" s="1" t="s">
        <v>480</v>
      </c>
      <c r="AP273" s="1" t="s">
        <v>480</v>
      </c>
      <c r="AQ273" s="1" t="s">
        <v>480</v>
      </c>
      <c r="AR273" s="1" t="s">
        <v>480</v>
      </c>
      <c r="AS273" s="1" t="s">
        <v>480</v>
      </c>
      <c r="AT273" s="1">
        <f t="shared" si="39"/>
        <v>1</v>
      </c>
    </row>
    <row r="274" spans="1:46" x14ac:dyDescent="0.25">
      <c r="A274" s="1">
        <f>COUNTIF('Value Matchup'!$D$356:$D$423,'Team History'!B274)</f>
        <v>0</v>
      </c>
      <c r="B274" t="s">
        <v>361</v>
      </c>
      <c r="C274" s="1">
        <f t="shared" si="32"/>
        <v>1</v>
      </c>
      <c r="D274" s="1">
        <f t="shared" si="33"/>
        <v>0</v>
      </c>
      <c r="E274" s="1">
        <f t="shared" si="34"/>
        <v>0</v>
      </c>
      <c r="F274" s="1">
        <f t="shared" si="35"/>
        <v>0</v>
      </c>
      <c r="G274" s="1">
        <f t="shared" si="36"/>
        <v>0</v>
      </c>
      <c r="H274" s="1">
        <f t="shared" si="37"/>
        <v>0</v>
      </c>
      <c r="I274" s="64">
        <f t="shared" si="38"/>
        <v>9</v>
      </c>
      <c r="K274" s="90" t="s">
        <v>480</v>
      </c>
      <c r="L274" s="1" t="s">
        <v>480</v>
      </c>
      <c r="M274" s="1" t="s">
        <v>480</v>
      </c>
      <c r="N274" s="1">
        <v>0</v>
      </c>
      <c r="O274" s="1" t="s">
        <v>480</v>
      </c>
      <c r="P274" s="1" t="s">
        <v>480</v>
      </c>
      <c r="Q274" s="1">
        <v>0</v>
      </c>
      <c r="R274" s="1" t="s">
        <v>480</v>
      </c>
      <c r="S274" s="1" t="s">
        <v>480</v>
      </c>
      <c r="T274" s="1" t="s">
        <v>480</v>
      </c>
      <c r="U274" s="1" t="s">
        <v>480</v>
      </c>
      <c r="V274" s="1" t="s">
        <v>480</v>
      </c>
      <c r="W274" s="1" t="s">
        <v>480</v>
      </c>
      <c r="X274" s="1">
        <v>0</v>
      </c>
      <c r="Y274" s="1" t="s">
        <v>480</v>
      </c>
      <c r="Z274" s="1" t="s">
        <v>480</v>
      </c>
      <c r="AA274" s="1" t="s">
        <v>480</v>
      </c>
      <c r="AB274" s="1" t="s">
        <v>480</v>
      </c>
      <c r="AC274" s="1" t="s">
        <v>480</v>
      </c>
      <c r="AD274" s="1" t="s">
        <v>480</v>
      </c>
      <c r="AE274" s="1" t="s">
        <v>480</v>
      </c>
      <c r="AF274" s="1" t="s">
        <v>480</v>
      </c>
      <c r="AG274" s="1" t="s">
        <v>480</v>
      </c>
      <c r="AH274" s="1" t="s">
        <v>480</v>
      </c>
      <c r="AI274" s="1" t="s">
        <v>480</v>
      </c>
      <c r="AJ274" s="1" t="s">
        <v>480</v>
      </c>
      <c r="AK274" s="1">
        <v>1</v>
      </c>
      <c r="AL274" s="1" t="s">
        <v>480</v>
      </c>
      <c r="AM274" s="1" t="s">
        <v>480</v>
      </c>
      <c r="AN274" s="1" t="s">
        <v>480</v>
      </c>
      <c r="AO274" s="1">
        <v>0</v>
      </c>
      <c r="AP274" s="1">
        <v>0</v>
      </c>
      <c r="AQ274" s="1">
        <v>0</v>
      </c>
      <c r="AR274" s="1" t="s">
        <v>480</v>
      </c>
      <c r="AS274" s="1">
        <v>0</v>
      </c>
      <c r="AT274" s="1">
        <f t="shared" si="39"/>
        <v>8</v>
      </c>
    </row>
    <row r="275" spans="1:46" x14ac:dyDescent="0.25">
      <c r="A275" s="1">
        <f>COUNTIF('Value Matchup'!$D$356:$D$423,'Team History'!B275)</f>
        <v>0</v>
      </c>
      <c r="B275" t="s">
        <v>362</v>
      </c>
      <c r="C275" s="1">
        <f t="shared" si="32"/>
        <v>3</v>
      </c>
      <c r="D275" s="1">
        <f t="shared" si="33"/>
        <v>2</v>
      </c>
      <c r="E275" s="1">
        <f t="shared" si="34"/>
        <v>0</v>
      </c>
      <c r="F275" s="1">
        <f t="shared" si="35"/>
        <v>0</v>
      </c>
      <c r="G275" s="1">
        <f t="shared" si="36"/>
        <v>0</v>
      </c>
      <c r="H275" s="1">
        <f t="shared" si="37"/>
        <v>0</v>
      </c>
      <c r="I275" s="64">
        <f t="shared" si="38"/>
        <v>14</v>
      </c>
      <c r="K275" s="90" t="s">
        <v>480</v>
      </c>
      <c r="L275" s="1" t="s">
        <v>480</v>
      </c>
      <c r="M275" s="1" t="s">
        <v>480</v>
      </c>
      <c r="N275" s="1" t="s">
        <v>480</v>
      </c>
      <c r="O275" s="1" t="s">
        <v>480</v>
      </c>
      <c r="P275" s="1" t="s">
        <v>480</v>
      </c>
      <c r="Q275" s="1" t="s">
        <v>480</v>
      </c>
      <c r="R275" s="1" t="s">
        <v>480</v>
      </c>
      <c r="S275" s="1" t="s">
        <v>480</v>
      </c>
      <c r="T275" s="1" t="s">
        <v>480</v>
      </c>
      <c r="U275" s="1" t="s">
        <v>480</v>
      </c>
      <c r="V275" s="1" t="s">
        <v>480</v>
      </c>
      <c r="W275" s="1">
        <v>2</v>
      </c>
      <c r="X275" s="1">
        <v>0</v>
      </c>
      <c r="Y275" s="1">
        <v>1</v>
      </c>
      <c r="Z275" s="1">
        <v>0</v>
      </c>
      <c r="AA275" s="1">
        <v>0</v>
      </c>
      <c r="AB275" s="1">
        <v>2</v>
      </c>
      <c r="AC275" s="1" t="s">
        <v>480</v>
      </c>
      <c r="AD275" s="1" t="s">
        <v>480</v>
      </c>
      <c r="AE275" s="1" t="s">
        <v>480</v>
      </c>
      <c r="AF275" s="1" t="s">
        <v>480</v>
      </c>
      <c r="AG275" s="1" t="s">
        <v>480</v>
      </c>
      <c r="AH275" s="1" t="s">
        <v>480</v>
      </c>
      <c r="AI275" s="1">
        <v>0</v>
      </c>
      <c r="AJ275" s="1">
        <v>0</v>
      </c>
      <c r="AK275" s="1">
        <v>0</v>
      </c>
      <c r="AL275" s="1" t="s">
        <v>480</v>
      </c>
      <c r="AM275" s="1" t="s">
        <v>480</v>
      </c>
      <c r="AN275" s="1" t="s">
        <v>480</v>
      </c>
      <c r="AO275" s="1" t="s">
        <v>480</v>
      </c>
      <c r="AP275" s="1" t="s">
        <v>480</v>
      </c>
      <c r="AQ275" s="1" t="s">
        <v>480</v>
      </c>
      <c r="AR275" s="1" t="s">
        <v>480</v>
      </c>
      <c r="AS275" s="1" t="s">
        <v>480</v>
      </c>
      <c r="AT275" s="1">
        <f t="shared" si="39"/>
        <v>9</v>
      </c>
    </row>
    <row r="276" spans="1:46" x14ac:dyDescent="0.25">
      <c r="A276" s="1">
        <f>COUNTIF('Value Matchup'!$D$356:$D$423,'Team History'!B276)</f>
        <v>0</v>
      </c>
      <c r="B276" t="s">
        <v>363</v>
      </c>
      <c r="C276" s="1">
        <f t="shared" si="32"/>
        <v>0</v>
      </c>
      <c r="D276" s="1">
        <f t="shared" si="33"/>
        <v>0</v>
      </c>
      <c r="E276" s="1">
        <f t="shared" si="34"/>
        <v>0</v>
      </c>
      <c r="F276" s="1">
        <f t="shared" si="35"/>
        <v>0</v>
      </c>
      <c r="G276" s="1">
        <f t="shared" si="36"/>
        <v>0</v>
      </c>
      <c r="H276" s="1">
        <f t="shared" si="37"/>
        <v>0</v>
      </c>
      <c r="I276" s="64">
        <f t="shared" si="38"/>
        <v>3</v>
      </c>
      <c r="K276" s="90" t="s">
        <v>480</v>
      </c>
      <c r="L276" s="1" t="s">
        <v>480</v>
      </c>
      <c r="M276" s="1" t="s">
        <v>480</v>
      </c>
      <c r="N276" s="1" t="s">
        <v>480</v>
      </c>
      <c r="O276" s="1" t="s">
        <v>480</v>
      </c>
      <c r="P276" s="1" t="s">
        <v>480</v>
      </c>
      <c r="Q276" s="1" t="s">
        <v>480</v>
      </c>
      <c r="R276" s="1">
        <v>0</v>
      </c>
      <c r="S276" s="1" t="s">
        <v>480</v>
      </c>
      <c r="T276" s="1" t="s">
        <v>480</v>
      </c>
      <c r="U276" s="1" t="s">
        <v>480</v>
      </c>
      <c r="V276" s="1" t="s">
        <v>480</v>
      </c>
      <c r="W276" s="1" t="s">
        <v>480</v>
      </c>
      <c r="X276" s="1" t="s">
        <v>480</v>
      </c>
      <c r="Y276" s="1" t="s">
        <v>480</v>
      </c>
      <c r="Z276" s="1" t="s">
        <v>480</v>
      </c>
      <c r="AA276" s="1" t="s">
        <v>480</v>
      </c>
      <c r="AB276" s="1" t="s">
        <v>480</v>
      </c>
      <c r="AC276" s="1" t="s">
        <v>480</v>
      </c>
      <c r="AD276" s="1" t="s">
        <v>480</v>
      </c>
      <c r="AE276" s="1" t="s">
        <v>480</v>
      </c>
      <c r="AF276" s="1" t="s">
        <v>480</v>
      </c>
      <c r="AG276" s="1" t="s">
        <v>480</v>
      </c>
      <c r="AH276" s="1" t="s">
        <v>480</v>
      </c>
      <c r="AI276" s="1" t="s">
        <v>480</v>
      </c>
      <c r="AJ276" s="1" t="s">
        <v>480</v>
      </c>
      <c r="AK276" s="1" t="s">
        <v>480</v>
      </c>
      <c r="AL276" s="1" t="s">
        <v>480</v>
      </c>
      <c r="AM276" s="1">
        <v>0</v>
      </c>
      <c r="AN276" s="1">
        <v>0</v>
      </c>
      <c r="AO276" s="1" t="s">
        <v>480</v>
      </c>
      <c r="AP276" s="1" t="s">
        <v>480</v>
      </c>
      <c r="AQ276" s="1" t="s">
        <v>480</v>
      </c>
      <c r="AR276" s="1" t="s">
        <v>480</v>
      </c>
      <c r="AS276" s="1" t="s">
        <v>480</v>
      </c>
      <c r="AT276" s="1">
        <f t="shared" si="39"/>
        <v>3</v>
      </c>
    </row>
    <row r="277" spans="1:46" x14ac:dyDescent="0.25">
      <c r="A277" s="1">
        <f>COUNTIF('Value Matchup'!$D$356:$D$423,'Team History'!B277)</f>
        <v>0</v>
      </c>
      <c r="B277" t="s">
        <v>364</v>
      </c>
      <c r="C277" s="1">
        <f t="shared" si="32"/>
        <v>0</v>
      </c>
      <c r="D277" s="1">
        <f t="shared" si="33"/>
        <v>0</v>
      </c>
      <c r="E277" s="1">
        <f t="shared" si="34"/>
        <v>0</v>
      </c>
      <c r="F277" s="1">
        <f t="shared" si="35"/>
        <v>0</v>
      </c>
      <c r="G277" s="1">
        <f t="shared" si="36"/>
        <v>0</v>
      </c>
      <c r="H277" s="1">
        <f t="shared" si="37"/>
        <v>0</v>
      </c>
      <c r="I277" s="64">
        <f t="shared" si="38"/>
        <v>1</v>
      </c>
      <c r="K277" s="90" t="s">
        <v>480</v>
      </c>
      <c r="L277" s="1" t="s">
        <v>480</v>
      </c>
      <c r="M277" s="1" t="s">
        <v>480</v>
      </c>
      <c r="N277" s="1" t="s">
        <v>480</v>
      </c>
      <c r="O277" s="1" t="s">
        <v>480</v>
      </c>
      <c r="P277" s="1" t="s">
        <v>480</v>
      </c>
      <c r="Q277" s="1" t="s">
        <v>480</v>
      </c>
      <c r="R277" s="1" t="s">
        <v>480</v>
      </c>
      <c r="S277" s="1" t="s">
        <v>480</v>
      </c>
      <c r="T277" s="1" t="s">
        <v>480</v>
      </c>
      <c r="U277" s="1" t="s">
        <v>480</v>
      </c>
      <c r="V277" s="1" t="s">
        <v>480</v>
      </c>
      <c r="W277" s="1" t="s">
        <v>480</v>
      </c>
      <c r="X277" s="1" t="s">
        <v>480</v>
      </c>
      <c r="Y277" s="1" t="s">
        <v>480</v>
      </c>
      <c r="Z277" s="1" t="s">
        <v>480</v>
      </c>
      <c r="AA277" s="1" t="s">
        <v>480</v>
      </c>
      <c r="AB277" s="1" t="s">
        <v>480</v>
      </c>
      <c r="AC277" s="1">
        <v>0</v>
      </c>
      <c r="AD277" s="1" t="s">
        <v>480</v>
      </c>
      <c r="AE277" s="1" t="s">
        <v>480</v>
      </c>
      <c r="AF277" s="1" t="s">
        <v>480</v>
      </c>
      <c r="AG277" s="1" t="s">
        <v>480</v>
      </c>
      <c r="AH277" s="1" t="s">
        <v>480</v>
      </c>
      <c r="AI277" s="1" t="s">
        <v>480</v>
      </c>
      <c r="AJ277" s="1" t="s">
        <v>480</v>
      </c>
      <c r="AK277" s="1" t="s">
        <v>480</v>
      </c>
      <c r="AL277" s="1" t="s">
        <v>480</v>
      </c>
      <c r="AM277" s="1" t="s">
        <v>480</v>
      </c>
      <c r="AN277" s="1" t="s">
        <v>480</v>
      </c>
      <c r="AO277" s="1" t="s">
        <v>480</v>
      </c>
      <c r="AP277" s="1" t="s">
        <v>480</v>
      </c>
      <c r="AQ277" s="1" t="s">
        <v>480</v>
      </c>
      <c r="AR277" s="1" t="s">
        <v>480</v>
      </c>
      <c r="AS277" s="1" t="s">
        <v>480</v>
      </c>
      <c r="AT277" s="1">
        <f t="shared" si="39"/>
        <v>1</v>
      </c>
    </row>
    <row r="278" spans="1:46" x14ac:dyDescent="0.25">
      <c r="A278" s="1">
        <f>COUNTIF('Value Matchup'!$D$356:$D$423,'Team History'!B278)</f>
        <v>1</v>
      </c>
      <c r="B278" t="s">
        <v>365</v>
      </c>
      <c r="C278" s="1">
        <f t="shared" si="32"/>
        <v>0</v>
      </c>
      <c r="D278" s="1">
        <f t="shared" si="33"/>
        <v>0</v>
      </c>
      <c r="E278" s="1">
        <f t="shared" si="34"/>
        <v>0</v>
      </c>
      <c r="F278" s="1">
        <f t="shared" si="35"/>
        <v>0</v>
      </c>
      <c r="G278" s="1">
        <f t="shared" si="36"/>
        <v>0</v>
      </c>
      <c r="H278" s="1">
        <f t="shared" si="37"/>
        <v>0</v>
      </c>
      <c r="I278" s="64">
        <f t="shared" si="38"/>
        <v>3</v>
      </c>
      <c r="K278" s="90" t="s">
        <v>480</v>
      </c>
      <c r="L278" s="1">
        <v>0</v>
      </c>
      <c r="M278" s="1" t="s">
        <v>480</v>
      </c>
      <c r="N278" s="1" t="s">
        <v>480</v>
      </c>
      <c r="O278" s="1" t="s">
        <v>480</v>
      </c>
      <c r="P278" s="1" t="s">
        <v>480</v>
      </c>
      <c r="Q278" s="1" t="s">
        <v>480</v>
      </c>
      <c r="R278" s="1">
        <v>0</v>
      </c>
      <c r="S278" s="1" t="s">
        <v>480</v>
      </c>
      <c r="T278" s="1" t="s">
        <v>480</v>
      </c>
      <c r="U278" s="1" t="s">
        <v>480</v>
      </c>
      <c r="V278" s="1" t="s">
        <v>480</v>
      </c>
      <c r="W278" s="1" t="s">
        <v>480</v>
      </c>
      <c r="X278" s="1" t="s">
        <v>480</v>
      </c>
      <c r="Y278" s="1" t="s">
        <v>480</v>
      </c>
      <c r="Z278" s="1" t="s">
        <v>480</v>
      </c>
      <c r="AA278" s="1" t="s">
        <v>480</v>
      </c>
      <c r="AB278" s="1" t="s">
        <v>480</v>
      </c>
      <c r="AC278" s="1" t="s">
        <v>480</v>
      </c>
      <c r="AD278" s="1">
        <v>0</v>
      </c>
      <c r="AE278" s="1" t="s">
        <v>480</v>
      </c>
      <c r="AF278" s="1" t="s">
        <v>480</v>
      </c>
      <c r="AG278" s="1" t="s">
        <v>480</v>
      </c>
      <c r="AH278" s="1" t="s">
        <v>480</v>
      </c>
      <c r="AI278" s="1" t="s">
        <v>480</v>
      </c>
      <c r="AJ278" s="1" t="s">
        <v>480</v>
      </c>
      <c r="AK278" s="1" t="s">
        <v>480</v>
      </c>
      <c r="AL278" s="1" t="s">
        <v>480</v>
      </c>
      <c r="AM278" s="1" t="s">
        <v>480</v>
      </c>
      <c r="AN278" s="1" t="s">
        <v>480</v>
      </c>
      <c r="AO278" s="1" t="s">
        <v>480</v>
      </c>
      <c r="AP278" s="1" t="s">
        <v>480</v>
      </c>
      <c r="AQ278" s="1" t="s">
        <v>480</v>
      </c>
      <c r="AR278" s="1" t="s">
        <v>480</v>
      </c>
      <c r="AS278" s="1" t="s">
        <v>480</v>
      </c>
      <c r="AT278" s="1">
        <f t="shared" si="39"/>
        <v>3</v>
      </c>
    </row>
    <row r="279" spans="1:46" x14ac:dyDescent="0.25">
      <c r="A279" s="1">
        <f>COUNTIF('Value Matchup'!$D$356:$D$423,'Team History'!B279)</f>
        <v>0</v>
      </c>
      <c r="B279" t="s">
        <v>366</v>
      </c>
      <c r="C279" s="1">
        <f t="shared" si="32"/>
        <v>0</v>
      </c>
      <c r="D279" s="1">
        <f t="shared" si="33"/>
        <v>0</v>
      </c>
      <c r="E279" s="1">
        <f t="shared" si="34"/>
        <v>0</v>
      </c>
      <c r="F279" s="1">
        <f t="shared" si="35"/>
        <v>0</v>
      </c>
      <c r="G279" s="1">
        <f t="shared" si="36"/>
        <v>0</v>
      </c>
      <c r="H279" s="1">
        <f t="shared" si="37"/>
        <v>0</v>
      </c>
      <c r="I279" s="64">
        <f t="shared" si="38"/>
        <v>0</v>
      </c>
      <c r="K279" s="90" t="s">
        <v>480</v>
      </c>
      <c r="L279" s="1" t="s">
        <v>480</v>
      </c>
      <c r="M279" s="1" t="s">
        <v>480</v>
      </c>
      <c r="N279" s="1" t="s">
        <v>480</v>
      </c>
      <c r="O279" s="1" t="s">
        <v>480</v>
      </c>
      <c r="P279" s="1" t="s">
        <v>480</v>
      </c>
      <c r="Q279" s="1" t="s">
        <v>480</v>
      </c>
      <c r="R279" s="1" t="s">
        <v>480</v>
      </c>
      <c r="S279" s="1" t="s">
        <v>480</v>
      </c>
      <c r="T279" s="1" t="s">
        <v>480</v>
      </c>
      <c r="U279" s="1" t="s">
        <v>480</v>
      </c>
      <c r="V279" s="1" t="s">
        <v>480</v>
      </c>
      <c r="W279" s="1" t="s">
        <v>480</v>
      </c>
      <c r="X279" s="1" t="s">
        <v>480</v>
      </c>
      <c r="Y279" s="1" t="s">
        <v>480</v>
      </c>
      <c r="Z279" s="1" t="s">
        <v>480</v>
      </c>
      <c r="AA279" s="1" t="s">
        <v>480</v>
      </c>
      <c r="AB279" s="1" t="s">
        <v>480</v>
      </c>
      <c r="AC279" s="1" t="s">
        <v>480</v>
      </c>
      <c r="AD279" s="1" t="s">
        <v>480</v>
      </c>
      <c r="AE279" s="1" t="s">
        <v>480</v>
      </c>
      <c r="AF279" s="1" t="s">
        <v>480</v>
      </c>
      <c r="AG279" s="1" t="s">
        <v>480</v>
      </c>
      <c r="AH279" s="1" t="s">
        <v>480</v>
      </c>
      <c r="AI279" s="1" t="s">
        <v>480</v>
      </c>
      <c r="AJ279" s="1" t="s">
        <v>480</v>
      </c>
      <c r="AK279" s="1" t="s">
        <v>480</v>
      </c>
      <c r="AL279" s="1" t="s">
        <v>480</v>
      </c>
      <c r="AM279" s="1" t="s">
        <v>480</v>
      </c>
      <c r="AN279" s="1" t="s">
        <v>480</v>
      </c>
      <c r="AO279" s="1" t="s">
        <v>480</v>
      </c>
      <c r="AP279" s="1" t="s">
        <v>480</v>
      </c>
      <c r="AQ279" s="1" t="s">
        <v>480</v>
      </c>
      <c r="AR279" s="1" t="s">
        <v>480</v>
      </c>
      <c r="AS279" s="1" t="s">
        <v>480</v>
      </c>
      <c r="AT279" s="1">
        <f t="shared" si="39"/>
        <v>0</v>
      </c>
    </row>
    <row r="280" spans="1:46" x14ac:dyDescent="0.25">
      <c r="A280" s="1">
        <f>COUNTIF('Value Matchup'!$D$356:$D$423,'Team History'!B280)</f>
        <v>0</v>
      </c>
      <c r="B280" t="s">
        <v>367</v>
      </c>
      <c r="C280" s="1">
        <f t="shared" si="32"/>
        <v>0</v>
      </c>
      <c r="D280" s="1">
        <f t="shared" si="33"/>
        <v>0</v>
      </c>
      <c r="E280" s="1">
        <f t="shared" si="34"/>
        <v>0</v>
      </c>
      <c r="F280" s="1">
        <f t="shared" si="35"/>
        <v>0</v>
      </c>
      <c r="G280" s="1">
        <f t="shared" si="36"/>
        <v>0</v>
      </c>
      <c r="H280" s="1">
        <f t="shared" si="37"/>
        <v>0</v>
      </c>
      <c r="I280" s="64">
        <f t="shared" si="38"/>
        <v>1</v>
      </c>
      <c r="K280" s="90" t="s">
        <v>480</v>
      </c>
      <c r="L280" s="1" t="s">
        <v>480</v>
      </c>
      <c r="M280" s="1" t="s">
        <v>480</v>
      </c>
      <c r="N280" s="1" t="s">
        <v>480</v>
      </c>
      <c r="O280" s="1" t="s">
        <v>480</v>
      </c>
      <c r="P280" s="1" t="s">
        <v>480</v>
      </c>
      <c r="Q280" s="1" t="s">
        <v>480</v>
      </c>
      <c r="R280" s="1" t="s">
        <v>480</v>
      </c>
      <c r="S280" s="1" t="s">
        <v>480</v>
      </c>
      <c r="T280" s="1" t="s">
        <v>480</v>
      </c>
      <c r="U280" s="1" t="s">
        <v>480</v>
      </c>
      <c r="V280" s="1" t="s">
        <v>480</v>
      </c>
      <c r="W280" s="1" t="s">
        <v>480</v>
      </c>
      <c r="X280" s="1" t="s">
        <v>480</v>
      </c>
      <c r="Y280" s="1" t="s">
        <v>480</v>
      </c>
      <c r="Z280" s="1" t="s">
        <v>480</v>
      </c>
      <c r="AA280" s="1" t="s">
        <v>480</v>
      </c>
      <c r="AB280" s="1" t="s">
        <v>480</v>
      </c>
      <c r="AC280" s="1" t="s">
        <v>480</v>
      </c>
      <c r="AD280" s="1" t="s">
        <v>480</v>
      </c>
      <c r="AE280" s="1" t="s">
        <v>480</v>
      </c>
      <c r="AF280" s="1" t="s">
        <v>480</v>
      </c>
      <c r="AG280" s="1" t="s">
        <v>480</v>
      </c>
      <c r="AH280" s="1" t="s">
        <v>480</v>
      </c>
      <c r="AI280" s="1" t="s">
        <v>480</v>
      </c>
      <c r="AJ280" s="1" t="s">
        <v>480</v>
      </c>
      <c r="AK280" s="1" t="s">
        <v>480</v>
      </c>
      <c r="AL280" s="1" t="s">
        <v>480</v>
      </c>
      <c r="AM280" s="1">
        <v>0</v>
      </c>
      <c r="AN280" s="1" t="s">
        <v>480</v>
      </c>
      <c r="AO280" s="1" t="s">
        <v>480</v>
      </c>
      <c r="AP280" s="1" t="s">
        <v>480</v>
      </c>
      <c r="AQ280" s="1" t="s">
        <v>480</v>
      </c>
      <c r="AR280" s="1" t="s">
        <v>480</v>
      </c>
      <c r="AS280" s="1" t="s">
        <v>480</v>
      </c>
      <c r="AT280" s="1">
        <f t="shared" si="39"/>
        <v>1</v>
      </c>
    </row>
    <row r="281" spans="1:46" x14ac:dyDescent="0.25">
      <c r="A281" s="1">
        <f>COUNTIF('Value Matchup'!$D$356:$D$423,'Team History'!B281)</f>
        <v>0</v>
      </c>
      <c r="B281" t="s">
        <v>368</v>
      </c>
      <c r="C281" s="1">
        <f t="shared" si="32"/>
        <v>8</v>
      </c>
      <c r="D281" s="1">
        <f t="shared" si="33"/>
        <v>3</v>
      </c>
      <c r="E281" s="1">
        <f t="shared" si="34"/>
        <v>3</v>
      </c>
      <c r="F281" s="1">
        <f t="shared" si="35"/>
        <v>1</v>
      </c>
      <c r="G281" s="1">
        <f t="shared" si="36"/>
        <v>0</v>
      </c>
      <c r="H281" s="1">
        <f t="shared" si="37"/>
        <v>0</v>
      </c>
      <c r="I281" s="64">
        <f t="shared" si="38"/>
        <v>30</v>
      </c>
      <c r="K281" s="90">
        <v>0</v>
      </c>
      <c r="L281" s="1" t="s">
        <v>480</v>
      </c>
      <c r="M281" s="1" t="s">
        <v>480</v>
      </c>
      <c r="N281" s="1" t="s">
        <v>480</v>
      </c>
      <c r="O281" s="1">
        <v>0</v>
      </c>
      <c r="P281" s="1" t="s">
        <v>480</v>
      </c>
      <c r="Q281" s="1" t="s">
        <v>480</v>
      </c>
      <c r="R281" s="1" t="s">
        <v>480</v>
      </c>
      <c r="S281" s="1">
        <v>0</v>
      </c>
      <c r="T281" s="1" t="s">
        <v>480</v>
      </c>
      <c r="U281" s="1" t="s">
        <v>480</v>
      </c>
      <c r="V281" s="1" t="s">
        <v>480</v>
      </c>
      <c r="W281" s="1" t="s">
        <v>480</v>
      </c>
      <c r="X281" s="1" t="s">
        <v>480</v>
      </c>
      <c r="Y281" s="1" t="s">
        <v>480</v>
      </c>
      <c r="Z281" s="1" t="s">
        <v>480</v>
      </c>
      <c r="AA281" s="1" t="s">
        <v>480</v>
      </c>
      <c r="AB281" s="1">
        <v>0</v>
      </c>
      <c r="AC281" s="1" t="s">
        <v>480</v>
      </c>
      <c r="AD281" s="1">
        <v>1</v>
      </c>
      <c r="AE281" s="1">
        <v>3</v>
      </c>
      <c r="AF281" s="1">
        <v>0</v>
      </c>
      <c r="AG281" s="1" t="s">
        <v>480</v>
      </c>
      <c r="AH281" s="1" t="s">
        <v>480</v>
      </c>
      <c r="AI281" s="1" t="s">
        <v>480</v>
      </c>
      <c r="AJ281" s="1" t="s">
        <v>480</v>
      </c>
      <c r="AK281" s="1">
        <v>1</v>
      </c>
      <c r="AL281" s="1">
        <v>0</v>
      </c>
      <c r="AM281" s="1">
        <v>3</v>
      </c>
      <c r="AN281" s="1">
        <v>1</v>
      </c>
      <c r="AO281" s="1" t="s">
        <v>480</v>
      </c>
      <c r="AP281" s="1">
        <v>0</v>
      </c>
      <c r="AQ281" s="1">
        <v>1</v>
      </c>
      <c r="AR281" s="1">
        <v>1</v>
      </c>
      <c r="AS281" s="1">
        <v>4</v>
      </c>
      <c r="AT281" s="1">
        <f t="shared" si="39"/>
        <v>15</v>
      </c>
    </row>
    <row r="282" spans="1:46" x14ac:dyDescent="0.25">
      <c r="A282" s="1">
        <f>COUNTIF('Value Matchup'!$D$356:$D$423,'Team History'!B282)</f>
        <v>0</v>
      </c>
      <c r="B282" t="s">
        <v>369</v>
      </c>
      <c r="C282" s="1">
        <f t="shared" si="32"/>
        <v>12</v>
      </c>
      <c r="D282" s="1">
        <f t="shared" si="33"/>
        <v>5</v>
      </c>
      <c r="E282" s="1">
        <f t="shared" si="34"/>
        <v>2</v>
      </c>
      <c r="F282" s="1">
        <f t="shared" si="35"/>
        <v>1</v>
      </c>
      <c r="G282" s="1">
        <f t="shared" si="36"/>
        <v>0</v>
      </c>
      <c r="H282" s="1">
        <f t="shared" si="37"/>
        <v>0</v>
      </c>
      <c r="I282" s="64">
        <f t="shared" si="38"/>
        <v>38</v>
      </c>
      <c r="K282" s="90" t="s">
        <v>480</v>
      </c>
      <c r="L282" s="1" t="s">
        <v>480</v>
      </c>
      <c r="M282" s="1" t="s">
        <v>480</v>
      </c>
      <c r="N282" s="1" t="s">
        <v>480</v>
      </c>
      <c r="O282" s="1" t="s">
        <v>480</v>
      </c>
      <c r="P282" s="1">
        <v>2</v>
      </c>
      <c r="Q282" s="1" t="s">
        <v>480</v>
      </c>
      <c r="R282" s="1" t="s">
        <v>480</v>
      </c>
      <c r="S282" s="1" t="s">
        <v>480</v>
      </c>
      <c r="T282" s="1" t="s">
        <v>480</v>
      </c>
      <c r="U282" s="1" t="s">
        <v>480</v>
      </c>
      <c r="V282" s="1">
        <v>2</v>
      </c>
      <c r="W282" s="1">
        <v>0</v>
      </c>
      <c r="X282" s="1" t="s">
        <v>480</v>
      </c>
      <c r="Y282" s="1">
        <v>0</v>
      </c>
      <c r="Z282" s="1">
        <v>1</v>
      </c>
      <c r="AA282" s="1">
        <v>1</v>
      </c>
      <c r="AB282" s="1">
        <v>1</v>
      </c>
      <c r="AC282" s="1">
        <v>3</v>
      </c>
      <c r="AD282" s="1">
        <v>1</v>
      </c>
      <c r="AE282" s="1">
        <v>1</v>
      </c>
      <c r="AF282" s="1">
        <v>4</v>
      </c>
      <c r="AG282" s="1">
        <v>2</v>
      </c>
      <c r="AH282" s="1">
        <v>1</v>
      </c>
      <c r="AI282" s="1">
        <v>1</v>
      </c>
      <c r="AJ282" s="1" t="s">
        <v>480</v>
      </c>
      <c r="AK282" s="1" t="s">
        <v>480</v>
      </c>
      <c r="AL282" s="1">
        <v>0</v>
      </c>
      <c r="AM282" s="1" t="s">
        <v>480</v>
      </c>
      <c r="AN282" s="1" t="s">
        <v>480</v>
      </c>
      <c r="AO282" s="1">
        <v>0</v>
      </c>
      <c r="AP282" s="1" t="s">
        <v>480</v>
      </c>
      <c r="AQ282" s="1" t="s">
        <v>480</v>
      </c>
      <c r="AR282" s="1" t="s">
        <v>480</v>
      </c>
      <c r="AS282" s="1" t="s">
        <v>480</v>
      </c>
      <c r="AT282" s="1">
        <f t="shared" si="39"/>
        <v>16</v>
      </c>
    </row>
    <row r="283" spans="1:46" x14ac:dyDescent="0.25">
      <c r="A283" s="1">
        <f>COUNTIF('Value Matchup'!$D$356:$D$423,'Team History'!B283)</f>
        <v>0</v>
      </c>
      <c r="B283" t="s">
        <v>370</v>
      </c>
      <c r="C283" s="1">
        <f t="shared" si="32"/>
        <v>2</v>
      </c>
      <c r="D283" s="1">
        <f t="shared" si="33"/>
        <v>0</v>
      </c>
      <c r="E283" s="1">
        <f t="shared" si="34"/>
        <v>0</v>
      </c>
      <c r="F283" s="1">
        <f t="shared" si="35"/>
        <v>0</v>
      </c>
      <c r="G283" s="1">
        <f t="shared" si="36"/>
        <v>0</v>
      </c>
      <c r="H283" s="1">
        <f t="shared" si="37"/>
        <v>0</v>
      </c>
      <c r="I283" s="64">
        <f t="shared" si="38"/>
        <v>9</v>
      </c>
      <c r="K283" s="90" t="s">
        <v>480</v>
      </c>
      <c r="L283" s="1">
        <v>0</v>
      </c>
      <c r="M283" s="1" t="s">
        <v>480</v>
      </c>
      <c r="N283" s="1">
        <v>1</v>
      </c>
      <c r="O283" s="1">
        <v>0</v>
      </c>
      <c r="P283" s="1">
        <v>1</v>
      </c>
      <c r="Q283" s="1" t="s">
        <v>480</v>
      </c>
      <c r="R283" s="1" t="s">
        <v>480</v>
      </c>
      <c r="S283" s="1" t="s">
        <v>480</v>
      </c>
      <c r="T283" s="1" t="s">
        <v>480</v>
      </c>
      <c r="U283" s="1">
        <v>0</v>
      </c>
      <c r="V283" s="1" t="s">
        <v>480</v>
      </c>
      <c r="W283" s="1" t="s">
        <v>480</v>
      </c>
      <c r="X283" s="1" t="s">
        <v>480</v>
      </c>
      <c r="Y283" s="1" t="s">
        <v>480</v>
      </c>
      <c r="Z283" s="1" t="s">
        <v>480</v>
      </c>
      <c r="AA283" s="1" t="s">
        <v>480</v>
      </c>
      <c r="AB283" s="1" t="s">
        <v>480</v>
      </c>
      <c r="AC283" s="1" t="s">
        <v>480</v>
      </c>
      <c r="AD283" s="1" t="s">
        <v>480</v>
      </c>
      <c r="AE283" s="1" t="s">
        <v>480</v>
      </c>
      <c r="AF283" s="1" t="s">
        <v>480</v>
      </c>
      <c r="AG283" s="1" t="s">
        <v>480</v>
      </c>
      <c r="AH283" s="1" t="s">
        <v>480</v>
      </c>
      <c r="AI283" s="1" t="s">
        <v>480</v>
      </c>
      <c r="AJ283" s="1" t="s">
        <v>480</v>
      </c>
      <c r="AK283" s="1" t="s">
        <v>480</v>
      </c>
      <c r="AL283" s="1" t="s">
        <v>480</v>
      </c>
      <c r="AM283" s="1" t="s">
        <v>480</v>
      </c>
      <c r="AN283" s="1" t="s">
        <v>480</v>
      </c>
      <c r="AO283" s="1" t="s">
        <v>480</v>
      </c>
      <c r="AP283" s="1" t="s">
        <v>480</v>
      </c>
      <c r="AQ283" s="1" t="s">
        <v>480</v>
      </c>
      <c r="AR283" s="1" t="s">
        <v>480</v>
      </c>
      <c r="AS283" s="1" t="s">
        <v>480</v>
      </c>
      <c r="AT283" s="1">
        <f t="shared" si="39"/>
        <v>5</v>
      </c>
    </row>
    <row r="284" spans="1:46" x14ac:dyDescent="0.25">
      <c r="A284" s="1">
        <f>COUNTIF('Value Matchup'!$D$356:$D$423,'Team History'!B284)</f>
        <v>0</v>
      </c>
      <c r="B284" t="s">
        <v>371</v>
      </c>
      <c r="C284" s="1">
        <f t="shared" si="32"/>
        <v>0</v>
      </c>
      <c r="D284" s="1">
        <f t="shared" si="33"/>
        <v>0</v>
      </c>
      <c r="E284" s="1">
        <f t="shared" si="34"/>
        <v>0</v>
      </c>
      <c r="F284" s="1">
        <f t="shared" si="35"/>
        <v>0</v>
      </c>
      <c r="G284" s="1">
        <f t="shared" si="36"/>
        <v>0</v>
      </c>
      <c r="H284" s="1">
        <f t="shared" si="37"/>
        <v>0</v>
      </c>
      <c r="I284" s="64">
        <f t="shared" si="38"/>
        <v>0</v>
      </c>
      <c r="K284" s="90" t="s">
        <v>480</v>
      </c>
      <c r="L284" s="1" t="s">
        <v>480</v>
      </c>
      <c r="M284" s="1" t="s">
        <v>480</v>
      </c>
      <c r="N284" s="1" t="s">
        <v>480</v>
      </c>
      <c r="O284" s="1" t="s">
        <v>480</v>
      </c>
      <c r="P284" s="1" t="s">
        <v>480</v>
      </c>
      <c r="Q284" s="1" t="s">
        <v>480</v>
      </c>
      <c r="R284" s="1" t="s">
        <v>480</v>
      </c>
      <c r="S284" s="1" t="s">
        <v>480</v>
      </c>
      <c r="T284" s="1" t="s">
        <v>480</v>
      </c>
      <c r="U284" s="1" t="s">
        <v>480</v>
      </c>
      <c r="V284" s="1" t="s">
        <v>480</v>
      </c>
      <c r="W284" s="1" t="s">
        <v>480</v>
      </c>
      <c r="X284" s="1" t="s">
        <v>480</v>
      </c>
      <c r="Y284" s="1" t="s">
        <v>480</v>
      </c>
      <c r="Z284" s="1" t="s">
        <v>480</v>
      </c>
      <c r="AA284" s="1" t="s">
        <v>480</v>
      </c>
      <c r="AB284" s="1" t="s">
        <v>480</v>
      </c>
      <c r="AC284" s="1" t="s">
        <v>480</v>
      </c>
      <c r="AD284" s="1" t="s">
        <v>480</v>
      </c>
      <c r="AE284" s="1" t="s">
        <v>480</v>
      </c>
      <c r="AF284" s="1" t="s">
        <v>480</v>
      </c>
      <c r="AG284" s="1" t="s">
        <v>480</v>
      </c>
      <c r="AH284" s="1" t="s">
        <v>480</v>
      </c>
      <c r="AI284" s="1" t="s">
        <v>480</v>
      </c>
      <c r="AJ284" s="1" t="s">
        <v>480</v>
      </c>
      <c r="AK284" s="1" t="s">
        <v>480</v>
      </c>
      <c r="AL284" s="1" t="s">
        <v>480</v>
      </c>
      <c r="AM284" s="1" t="s">
        <v>480</v>
      </c>
      <c r="AN284" s="1" t="s">
        <v>480</v>
      </c>
      <c r="AO284" s="1" t="s">
        <v>480</v>
      </c>
      <c r="AP284" s="1" t="s">
        <v>480</v>
      </c>
      <c r="AQ284" s="1" t="s">
        <v>480</v>
      </c>
      <c r="AR284" s="1" t="s">
        <v>480</v>
      </c>
      <c r="AS284" s="1" t="s">
        <v>480</v>
      </c>
      <c r="AT284" s="1">
        <f t="shared" si="39"/>
        <v>0</v>
      </c>
    </row>
    <row r="285" spans="1:46" x14ac:dyDescent="0.25">
      <c r="A285" s="1">
        <f>COUNTIF('Value Matchup'!$D$356:$D$423,'Team History'!B285)</f>
        <v>0</v>
      </c>
      <c r="B285" t="s">
        <v>90</v>
      </c>
      <c r="C285" s="1">
        <f t="shared" si="32"/>
        <v>0</v>
      </c>
      <c r="D285" s="1">
        <f t="shared" si="33"/>
        <v>0</v>
      </c>
      <c r="E285" s="1">
        <f t="shared" si="34"/>
        <v>0</v>
      </c>
      <c r="F285" s="1">
        <f t="shared" si="35"/>
        <v>0</v>
      </c>
      <c r="G285" s="1">
        <f t="shared" si="36"/>
        <v>0</v>
      </c>
      <c r="H285" s="1">
        <f t="shared" si="37"/>
        <v>0</v>
      </c>
      <c r="I285" s="64">
        <f t="shared" si="38"/>
        <v>1</v>
      </c>
      <c r="K285" s="90" t="s">
        <v>480</v>
      </c>
      <c r="L285" s="1" t="s">
        <v>480</v>
      </c>
      <c r="M285" s="1" t="s">
        <v>480</v>
      </c>
      <c r="N285" s="1">
        <v>0</v>
      </c>
      <c r="O285" s="1" t="s">
        <v>480</v>
      </c>
      <c r="P285" s="1" t="s">
        <v>480</v>
      </c>
      <c r="Q285" s="1" t="s">
        <v>480</v>
      </c>
      <c r="R285" s="1" t="s">
        <v>480</v>
      </c>
      <c r="S285" s="1" t="s">
        <v>480</v>
      </c>
      <c r="T285" s="1" t="s">
        <v>480</v>
      </c>
      <c r="U285" s="1" t="s">
        <v>480</v>
      </c>
      <c r="V285" s="1" t="s">
        <v>480</v>
      </c>
      <c r="W285" s="1" t="s">
        <v>480</v>
      </c>
      <c r="X285" s="1" t="s">
        <v>480</v>
      </c>
      <c r="Y285" s="1" t="s">
        <v>480</v>
      </c>
      <c r="Z285" s="1" t="s">
        <v>480</v>
      </c>
      <c r="AA285" s="1" t="s">
        <v>480</v>
      </c>
      <c r="AB285" s="1" t="s">
        <v>480</v>
      </c>
      <c r="AC285" s="1" t="s">
        <v>480</v>
      </c>
      <c r="AD285" s="1" t="s">
        <v>480</v>
      </c>
      <c r="AE285" s="1" t="s">
        <v>480</v>
      </c>
      <c r="AF285" s="1" t="s">
        <v>480</v>
      </c>
      <c r="AG285" s="1" t="s">
        <v>480</v>
      </c>
      <c r="AH285" s="1" t="s">
        <v>480</v>
      </c>
      <c r="AI285" s="1" t="s">
        <v>480</v>
      </c>
      <c r="AJ285" s="1" t="s">
        <v>480</v>
      </c>
      <c r="AK285" s="1" t="s">
        <v>480</v>
      </c>
      <c r="AL285" s="1" t="s">
        <v>480</v>
      </c>
      <c r="AM285" s="1" t="s">
        <v>480</v>
      </c>
      <c r="AN285" s="1" t="s">
        <v>480</v>
      </c>
      <c r="AO285" s="1" t="s">
        <v>480</v>
      </c>
      <c r="AP285" s="1" t="s">
        <v>480</v>
      </c>
      <c r="AQ285" s="1" t="s">
        <v>480</v>
      </c>
      <c r="AR285" s="1" t="s">
        <v>480</v>
      </c>
      <c r="AS285" s="1" t="s">
        <v>480</v>
      </c>
      <c r="AT285" s="1">
        <f t="shared" si="39"/>
        <v>1</v>
      </c>
    </row>
    <row r="286" spans="1:46" x14ac:dyDescent="0.25">
      <c r="A286" s="1">
        <f>COUNTIF('Value Matchup'!$D$356:$D$423,'Team History'!B286)</f>
        <v>1</v>
      </c>
      <c r="B286" t="s">
        <v>86</v>
      </c>
      <c r="C286" s="1">
        <f t="shared" si="32"/>
        <v>22</v>
      </c>
      <c r="D286" s="1">
        <f t="shared" si="33"/>
        <v>14</v>
      </c>
      <c r="E286" s="1">
        <f t="shared" si="34"/>
        <v>6</v>
      </c>
      <c r="F286" s="1">
        <f t="shared" si="35"/>
        <v>4</v>
      </c>
      <c r="G286" s="1">
        <f t="shared" si="36"/>
        <v>2</v>
      </c>
      <c r="H286" s="1">
        <f t="shared" si="37"/>
        <v>0</v>
      </c>
      <c r="I286" s="64">
        <f t="shared" si="38"/>
        <v>92</v>
      </c>
      <c r="K286" s="90">
        <v>0</v>
      </c>
      <c r="L286" s="1">
        <v>2</v>
      </c>
      <c r="M286" s="1" t="s">
        <v>480</v>
      </c>
      <c r="N286" s="1">
        <v>4</v>
      </c>
      <c r="O286" s="1" t="s">
        <v>480</v>
      </c>
      <c r="P286" s="1">
        <v>1</v>
      </c>
      <c r="Q286" s="1">
        <v>4</v>
      </c>
      <c r="R286" s="1">
        <v>3</v>
      </c>
      <c r="S286" s="1">
        <v>1</v>
      </c>
      <c r="T286" s="1">
        <v>2</v>
      </c>
      <c r="U286" s="1">
        <v>2</v>
      </c>
      <c r="V286" s="1" t="s">
        <v>480</v>
      </c>
      <c r="W286" s="1" t="s">
        <v>480</v>
      </c>
      <c r="X286" s="1">
        <v>0</v>
      </c>
      <c r="Y286" s="1">
        <v>0</v>
      </c>
      <c r="Z286" s="1">
        <v>2</v>
      </c>
      <c r="AA286" s="1" t="s">
        <v>480</v>
      </c>
      <c r="AB286" s="1" t="s">
        <v>480</v>
      </c>
      <c r="AC286" s="1">
        <v>1</v>
      </c>
      <c r="AD286" s="1">
        <v>2</v>
      </c>
      <c r="AE286" s="1">
        <v>0</v>
      </c>
      <c r="AF286" s="1">
        <v>2</v>
      </c>
      <c r="AG286" s="1" t="s">
        <v>480</v>
      </c>
      <c r="AH286" s="1">
        <v>5</v>
      </c>
      <c r="AI286" s="1">
        <v>1</v>
      </c>
      <c r="AJ286" s="1">
        <v>2</v>
      </c>
      <c r="AK286" s="1" t="s">
        <v>480</v>
      </c>
      <c r="AL286" s="1">
        <v>1</v>
      </c>
      <c r="AM286" s="1">
        <v>0</v>
      </c>
      <c r="AN286" s="1">
        <v>2</v>
      </c>
      <c r="AO286" s="1">
        <v>3</v>
      </c>
      <c r="AP286" s="1">
        <v>1</v>
      </c>
      <c r="AQ286" s="1">
        <v>5</v>
      </c>
      <c r="AR286" s="1">
        <v>1</v>
      </c>
      <c r="AS286" s="1">
        <v>1</v>
      </c>
      <c r="AT286" s="1">
        <f t="shared" si="39"/>
        <v>27</v>
      </c>
    </row>
    <row r="287" spans="1:46" x14ac:dyDescent="0.25">
      <c r="A287" s="1">
        <f>COUNTIF('Value Matchup'!$D$356:$D$423,'Team History'!B287)</f>
        <v>0</v>
      </c>
      <c r="B287" t="s">
        <v>372</v>
      </c>
      <c r="C287" s="1">
        <f t="shared" si="32"/>
        <v>1</v>
      </c>
      <c r="D287" s="1">
        <f t="shared" si="33"/>
        <v>0</v>
      </c>
      <c r="E287" s="1">
        <f t="shared" si="34"/>
        <v>0</v>
      </c>
      <c r="F287" s="1">
        <f t="shared" si="35"/>
        <v>0</v>
      </c>
      <c r="G287" s="1">
        <f t="shared" si="36"/>
        <v>0</v>
      </c>
      <c r="H287" s="1">
        <f t="shared" si="37"/>
        <v>0</v>
      </c>
      <c r="I287" s="64">
        <f t="shared" si="38"/>
        <v>4</v>
      </c>
      <c r="K287" s="90" t="s">
        <v>480</v>
      </c>
      <c r="L287" s="1">
        <v>0</v>
      </c>
      <c r="M287" s="1" t="s">
        <v>480</v>
      </c>
      <c r="N287" s="1" t="s">
        <v>480</v>
      </c>
      <c r="O287" s="1" t="s">
        <v>480</v>
      </c>
      <c r="P287" s="1" t="s">
        <v>480</v>
      </c>
      <c r="Q287" s="1" t="s">
        <v>480</v>
      </c>
      <c r="R287" s="1" t="s">
        <v>480</v>
      </c>
      <c r="S287" s="1" t="s">
        <v>480</v>
      </c>
      <c r="T287" s="1" t="s">
        <v>480</v>
      </c>
      <c r="U287" s="1" t="s">
        <v>480</v>
      </c>
      <c r="V287" s="1" t="s">
        <v>480</v>
      </c>
      <c r="W287" s="1" t="s">
        <v>480</v>
      </c>
      <c r="X287" s="1" t="s">
        <v>480</v>
      </c>
      <c r="Y287" s="1" t="s">
        <v>480</v>
      </c>
      <c r="Z287" s="1" t="s">
        <v>480</v>
      </c>
      <c r="AA287" s="1" t="s">
        <v>480</v>
      </c>
      <c r="AB287" s="1" t="s">
        <v>480</v>
      </c>
      <c r="AC287" s="1" t="s">
        <v>480</v>
      </c>
      <c r="AD287" s="1" t="s">
        <v>480</v>
      </c>
      <c r="AE287" s="1" t="s">
        <v>480</v>
      </c>
      <c r="AF287" s="1">
        <v>0</v>
      </c>
      <c r="AG287" s="1" t="s">
        <v>480</v>
      </c>
      <c r="AH287" s="1" t="s">
        <v>480</v>
      </c>
      <c r="AI287" s="1" t="s">
        <v>480</v>
      </c>
      <c r="AJ287" s="1" t="s">
        <v>480</v>
      </c>
      <c r="AK287" s="1" t="s">
        <v>480</v>
      </c>
      <c r="AL287" s="1" t="s">
        <v>480</v>
      </c>
      <c r="AM287" s="1" t="s">
        <v>480</v>
      </c>
      <c r="AN287" s="1" t="s">
        <v>480</v>
      </c>
      <c r="AO287" s="1" t="s">
        <v>480</v>
      </c>
      <c r="AP287" s="1" t="s">
        <v>480</v>
      </c>
      <c r="AQ287" s="1">
        <v>1</v>
      </c>
      <c r="AR287" s="1" t="s">
        <v>480</v>
      </c>
      <c r="AS287" s="1" t="s">
        <v>480</v>
      </c>
      <c r="AT287" s="1">
        <f t="shared" si="39"/>
        <v>3</v>
      </c>
    </row>
    <row r="288" spans="1:46" x14ac:dyDescent="0.25">
      <c r="A288" s="1">
        <f>COUNTIF('Value Matchup'!$D$356:$D$423,'Team History'!B288)</f>
        <v>0</v>
      </c>
      <c r="B288" t="s">
        <v>373</v>
      </c>
      <c r="C288" s="1">
        <f t="shared" si="32"/>
        <v>14</v>
      </c>
      <c r="D288" s="1">
        <f t="shared" si="33"/>
        <v>5</v>
      </c>
      <c r="E288" s="1">
        <f t="shared" si="34"/>
        <v>5</v>
      </c>
      <c r="F288" s="1">
        <f t="shared" si="35"/>
        <v>0</v>
      </c>
      <c r="G288" s="1">
        <f t="shared" si="36"/>
        <v>0</v>
      </c>
      <c r="H288" s="1">
        <f t="shared" si="37"/>
        <v>0</v>
      </c>
      <c r="I288" s="64">
        <f t="shared" si="38"/>
        <v>50</v>
      </c>
      <c r="K288" s="90">
        <v>0</v>
      </c>
      <c r="L288" s="1" t="s">
        <v>480</v>
      </c>
      <c r="M288" s="1" t="s">
        <v>480</v>
      </c>
      <c r="N288" s="1">
        <v>0</v>
      </c>
      <c r="O288" s="1" t="s">
        <v>480</v>
      </c>
      <c r="P288" s="1" t="s">
        <v>480</v>
      </c>
      <c r="Q288" s="1">
        <v>1</v>
      </c>
      <c r="R288" s="1">
        <v>0</v>
      </c>
      <c r="S288" s="1">
        <v>1</v>
      </c>
      <c r="T288" s="1">
        <v>0</v>
      </c>
      <c r="U288" s="1">
        <v>0</v>
      </c>
      <c r="V288" s="1">
        <v>0</v>
      </c>
      <c r="W288" s="1" t="s">
        <v>480</v>
      </c>
      <c r="X288" s="1" t="s">
        <v>480</v>
      </c>
      <c r="Y288" s="1" t="s">
        <v>480</v>
      </c>
      <c r="Z288" s="1" t="s">
        <v>480</v>
      </c>
      <c r="AA288" s="1" t="s">
        <v>480</v>
      </c>
      <c r="AB288" s="1" t="s">
        <v>480</v>
      </c>
      <c r="AC288" s="1">
        <v>3</v>
      </c>
      <c r="AD288" s="1">
        <v>1</v>
      </c>
      <c r="AE288" s="1">
        <v>3</v>
      </c>
      <c r="AF288" s="1">
        <v>0</v>
      </c>
      <c r="AG288" s="1">
        <v>1</v>
      </c>
      <c r="AH288" s="1">
        <v>1</v>
      </c>
      <c r="AI288" s="1">
        <v>0</v>
      </c>
      <c r="AJ288" s="1">
        <v>1</v>
      </c>
      <c r="AK288" s="1">
        <v>3</v>
      </c>
      <c r="AL288" s="1">
        <v>0</v>
      </c>
      <c r="AM288" s="1">
        <v>3</v>
      </c>
      <c r="AN288" s="1">
        <v>0</v>
      </c>
      <c r="AO288" s="1" t="s">
        <v>480</v>
      </c>
      <c r="AP288" s="1">
        <v>3</v>
      </c>
      <c r="AQ288" s="1">
        <v>1</v>
      </c>
      <c r="AR288" s="1">
        <v>1</v>
      </c>
      <c r="AS288" s="1">
        <v>1</v>
      </c>
      <c r="AT288" s="1">
        <f t="shared" si="39"/>
        <v>24</v>
      </c>
    </row>
    <row r="289" spans="1:46" x14ac:dyDescent="0.25">
      <c r="A289" s="1">
        <f>COUNTIF('Value Matchup'!$D$356:$D$423,'Team History'!B289)</f>
        <v>1</v>
      </c>
      <c r="B289" t="s">
        <v>374</v>
      </c>
      <c r="C289" s="1">
        <f t="shared" si="32"/>
        <v>9</v>
      </c>
      <c r="D289" s="1">
        <f t="shared" si="33"/>
        <v>6</v>
      </c>
      <c r="E289" s="1">
        <f t="shared" si="34"/>
        <v>1</v>
      </c>
      <c r="F289" s="1">
        <f t="shared" si="35"/>
        <v>0</v>
      </c>
      <c r="G289" s="1">
        <f t="shared" si="36"/>
        <v>0</v>
      </c>
      <c r="H289" s="1">
        <f t="shared" si="37"/>
        <v>0</v>
      </c>
      <c r="I289" s="64">
        <f t="shared" si="38"/>
        <v>38</v>
      </c>
      <c r="K289" s="90">
        <v>2</v>
      </c>
      <c r="L289" s="1">
        <v>1</v>
      </c>
      <c r="M289" s="1" t="s">
        <v>480</v>
      </c>
      <c r="N289" s="1" t="s">
        <v>480</v>
      </c>
      <c r="O289" s="1" t="s">
        <v>480</v>
      </c>
      <c r="P289" s="1">
        <v>2</v>
      </c>
      <c r="Q289" s="1" t="s">
        <v>480</v>
      </c>
      <c r="R289" s="1" t="s">
        <v>480</v>
      </c>
      <c r="S289" s="1">
        <v>0</v>
      </c>
      <c r="T289" s="1">
        <v>3</v>
      </c>
      <c r="U289" s="1">
        <v>0</v>
      </c>
      <c r="V289" s="1">
        <v>2</v>
      </c>
      <c r="W289" s="1">
        <v>2</v>
      </c>
      <c r="X289" s="1">
        <v>1</v>
      </c>
      <c r="Y289" s="1" t="s">
        <v>480</v>
      </c>
      <c r="Z289" s="1" t="s">
        <v>480</v>
      </c>
      <c r="AA289" s="1" t="s">
        <v>480</v>
      </c>
      <c r="AB289" s="1" t="s">
        <v>480</v>
      </c>
      <c r="AC289" s="1">
        <v>0</v>
      </c>
      <c r="AD289" s="1">
        <v>2</v>
      </c>
      <c r="AE289" s="1">
        <v>1</v>
      </c>
      <c r="AF289" s="1">
        <v>0</v>
      </c>
      <c r="AG289" s="1" t="s">
        <v>480</v>
      </c>
      <c r="AH289" s="1" t="s">
        <v>480</v>
      </c>
      <c r="AI289" s="1" t="s">
        <v>480</v>
      </c>
      <c r="AJ289" s="1" t="s">
        <v>480</v>
      </c>
      <c r="AK289" s="1" t="s">
        <v>480</v>
      </c>
      <c r="AL289" s="1" t="s">
        <v>480</v>
      </c>
      <c r="AM289" s="1" t="s">
        <v>480</v>
      </c>
      <c r="AN289" s="1" t="s">
        <v>480</v>
      </c>
      <c r="AO289" s="1">
        <v>0</v>
      </c>
      <c r="AP289" s="1" t="s">
        <v>480</v>
      </c>
      <c r="AQ289" s="1" t="s">
        <v>480</v>
      </c>
      <c r="AR289" s="1" t="s">
        <v>480</v>
      </c>
      <c r="AS289" s="1" t="s">
        <v>480</v>
      </c>
      <c r="AT289" s="1">
        <f t="shared" si="39"/>
        <v>14</v>
      </c>
    </row>
    <row r="290" spans="1:46" x14ac:dyDescent="0.25">
      <c r="A290" s="1">
        <f>COUNTIF('Value Matchup'!$D$356:$D$423,'Team History'!B290)</f>
        <v>0</v>
      </c>
      <c r="B290" t="s">
        <v>375</v>
      </c>
      <c r="C290" s="1">
        <f t="shared" si="32"/>
        <v>0</v>
      </c>
      <c r="D290" s="1">
        <f t="shared" si="33"/>
        <v>0</v>
      </c>
      <c r="E290" s="1">
        <f t="shared" si="34"/>
        <v>0</v>
      </c>
      <c r="F290" s="1">
        <f t="shared" si="35"/>
        <v>0</v>
      </c>
      <c r="G290" s="1">
        <f t="shared" si="36"/>
        <v>0</v>
      </c>
      <c r="H290" s="1">
        <f t="shared" si="37"/>
        <v>0</v>
      </c>
      <c r="I290" s="64">
        <f t="shared" si="38"/>
        <v>0</v>
      </c>
      <c r="K290" s="90" t="s">
        <v>480</v>
      </c>
      <c r="L290" s="1" t="s">
        <v>480</v>
      </c>
      <c r="M290" s="1" t="s">
        <v>480</v>
      </c>
      <c r="N290" s="1" t="s">
        <v>480</v>
      </c>
      <c r="O290" s="1" t="s">
        <v>480</v>
      </c>
      <c r="P290" s="1" t="s">
        <v>480</v>
      </c>
      <c r="Q290" s="1" t="s">
        <v>480</v>
      </c>
      <c r="R290" s="1" t="s">
        <v>480</v>
      </c>
      <c r="S290" s="1" t="s">
        <v>480</v>
      </c>
      <c r="T290" s="1" t="s">
        <v>480</v>
      </c>
      <c r="U290" s="1" t="s">
        <v>480</v>
      </c>
      <c r="V290" s="1" t="s">
        <v>480</v>
      </c>
      <c r="W290" s="1" t="s">
        <v>480</v>
      </c>
      <c r="X290" s="1" t="s">
        <v>480</v>
      </c>
      <c r="Y290" s="1" t="s">
        <v>480</v>
      </c>
      <c r="Z290" s="1" t="s">
        <v>480</v>
      </c>
      <c r="AA290" s="1" t="s">
        <v>480</v>
      </c>
      <c r="AB290" s="1" t="s">
        <v>480</v>
      </c>
      <c r="AC290" s="1" t="s">
        <v>480</v>
      </c>
      <c r="AD290" s="1" t="s">
        <v>480</v>
      </c>
      <c r="AE290" s="1" t="s">
        <v>480</v>
      </c>
      <c r="AF290" s="1" t="s">
        <v>480</v>
      </c>
      <c r="AG290" s="1" t="s">
        <v>480</v>
      </c>
      <c r="AH290" s="1" t="s">
        <v>480</v>
      </c>
      <c r="AI290" s="1" t="s">
        <v>480</v>
      </c>
      <c r="AJ290" s="1" t="s">
        <v>480</v>
      </c>
      <c r="AK290" s="1" t="s">
        <v>480</v>
      </c>
      <c r="AL290" s="1" t="s">
        <v>480</v>
      </c>
      <c r="AM290" s="1" t="s">
        <v>480</v>
      </c>
      <c r="AN290" s="1" t="s">
        <v>480</v>
      </c>
      <c r="AO290" s="1" t="s">
        <v>480</v>
      </c>
      <c r="AP290" s="1" t="s">
        <v>480</v>
      </c>
      <c r="AQ290" s="1" t="s">
        <v>480</v>
      </c>
      <c r="AR290" s="1" t="s">
        <v>480</v>
      </c>
      <c r="AS290" s="1" t="s">
        <v>480</v>
      </c>
      <c r="AT290" s="1">
        <f t="shared" si="39"/>
        <v>0</v>
      </c>
    </row>
    <row r="291" spans="1:46" x14ac:dyDescent="0.25">
      <c r="A291" s="1">
        <f>COUNTIF('Value Matchup'!$D$356:$D$423,'Team History'!B291)</f>
        <v>0</v>
      </c>
      <c r="B291" t="s">
        <v>376</v>
      </c>
      <c r="C291" s="1">
        <f t="shared" si="32"/>
        <v>0</v>
      </c>
      <c r="D291" s="1">
        <f t="shared" si="33"/>
        <v>0</v>
      </c>
      <c r="E291" s="1">
        <f t="shared" si="34"/>
        <v>0</v>
      </c>
      <c r="F291" s="1">
        <f t="shared" si="35"/>
        <v>0</v>
      </c>
      <c r="G291" s="1">
        <f t="shared" si="36"/>
        <v>0</v>
      </c>
      <c r="H291" s="1">
        <f t="shared" si="37"/>
        <v>0</v>
      </c>
      <c r="I291" s="64">
        <f t="shared" si="38"/>
        <v>2</v>
      </c>
      <c r="K291" s="90" t="s">
        <v>480</v>
      </c>
      <c r="L291" s="1" t="s">
        <v>480</v>
      </c>
      <c r="M291" s="1" t="s">
        <v>480</v>
      </c>
      <c r="N291" s="1" t="s">
        <v>480</v>
      </c>
      <c r="O291" s="1" t="s">
        <v>480</v>
      </c>
      <c r="P291" s="1" t="s">
        <v>480</v>
      </c>
      <c r="Q291" s="1" t="s">
        <v>480</v>
      </c>
      <c r="R291" s="1" t="s">
        <v>480</v>
      </c>
      <c r="S291" s="1" t="s">
        <v>480</v>
      </c>
      <c r="T291" s="1" t="s">
        <v>480</v>
      </c>
      <c r="U291" s="1" t="s">
        <v>480</v>
      </c>
      <c r="V291" s="1" t="s">
        <v>480</v>
      </c>
      <c r="W291" s="1" t="s">
        <v>480</v>
      </c>
      <c r="X291" s="1" t="s">
        <v>480</v>
      </c>
      <c r="Y291" s="1" t="s">
        <v>480</v>
      </c>
      <c r="Z291" s="1" t="s">
        <v>480</v>
      </c>
      <c r="AA291" s="1" t="s">
        <v>480</v>
      </c>
      <c r="AB291" s="1" t="s">
        <v>480</v>
      </c>
      <c r="AC291" s="1" t="s">
        <v>480</v>
      </c>
      <c r="AD291" s="1" t="s">
        <v>480</v>
      </c>
      <c r="AE291" s="1" t="s">
        <v>480</v>
      </c>
      <c r="AF291" s="1" t="s">
        <v>480</v>
      </c>
      <c r="AG291" s="1" t="s">
        <v>480</v>
      </c>
      <c r="AH291" s="1" t="s">
        <v>480</v>
      </c>
      <c r="AI291" s="1" t="s">
        <v>480</v>
      </c>
      <c r="AJ291" s="1">
        <v>0</v>
      </c>
      <c r="AK291" s="1">
        <v>0</v>
      </c>
      <c r="AL291" s="1" t="s">
        <v>480</v>
      </c>
      <c r="AM291" s="1" t="s">
        <v>480</v>
      </c>
      <c r="AN291" s="1" t="s">
        <v>480</v>
      </c>
      <c r="AO291" s="1" t="s">
        <v>480</v>
      </c>
      <c r="AP291" s="1" t="s">
        <v>480</v>
      </c>
      <c r="AQ291" s="1" t="s">
        <v>480</v>
      </c>
      <c r="AR291" s="1" t="s">
        <v>480</v>
      </c>
      <c r="AS291" s="1" t="s">
        <v>480</v>
      </c>
      <c r="AT291" s="1">
        <f t="shared" si="39"/>
        <v>2</v>
      </c>
    </row>
    <row r="292" spans="1:46" x14ac:dyDescent="0.25">
      <c r="A292" s="1">
        <f>COUNTIF('Value Matchup'!$D$356:$D$423,'Team History'!B292)</f>
        <v>0</v>
      </c>
      <c r="B292" t="s">
        <v>377</v>
      </c>
      <c r="C292" s="1">
        <f t="shared" si="32"/>
        <v>0</v>
      </c>
      <c r="D292" s="1">
        <f t="shared" si="33"/>
        <v>0</v>
      </c>
      <c r="E292" s="1">
        <f t="shared" si="34"/>
        <v>0</v>
      </c>
      <c r="F292" s="1">
        <f t="shared" si="35"/>
        <v>0</v>
      </c>
      <c r="G292" s="1">
        <f t="shared" si="36"/>
        <v>0</v>
      </c>
      <c r="H292" s="1">
        <f t="shared" si="37"/>
        <v>0</v>
      </c>
      <c r="I292" s="64">
        <f t="shared" si="38"/>
        <v>0</v>
      </c>
      <c r="K292" s="90" t="s">
        <v>480</v>
      </c>
      <c r="L292" s="1" t="s">
        <v>480</v>
      </c>
      <c r="M292" s="1" t="s">
        <v>480</v>
      </c>
      <c r="N292" s="1" t="s">
        <v>480</v>
      </c>
      <c r="O292" s="1" t="s">
        <v>480</v>
      </c>
      <c r="P292" s="1" t="s">
        <v>480</v>
      </c>
      <c r="Q292" s="1" t="s">
        <v>480</v>
      </c>
      <c r="R292" s="1" t="s">
        <v>480</v>
      </c>
      <c r="S292" s="1" t="s">
        <v>480</v>
      </c>
      <c r="T292" s="1" t="s">
        <v>480</v>
      </c>
      <c r="U292" s="1" t="s">
        <v>480</v>
      </c>
      <c r="V292" s="1" t="s">
        <v>480</v>
      </c>
      <c r="W292" s="1" t="s">
        <v>480</v>
      </c>
      <c r="X292" s="1" t="s">
        <v>480</v>
      </c>
      <c r="Y292" s="1" t="s">
        <v>480</v>
      </c>
      <c r="Z292" s="1" t="s">
        <v>480</v>
      </c>
      <c r="AA292" s="1" t="s">
        <v>480</v>
      </c>
      <c r="AB292" s="1" t="s">
        <v>480</v>
      </c>
      <c r="AC292" s="1" t="s">
        <v>480</v>
      </c>
      <c r="AD292" s="1" t="s">
        <v>480</v>
      </c>
      <c r="AE292" s="1" t="s">
        <v>480</v>
      </c>
      <c r="AF292" s="1" t="s">
        <v>480</v>
      </c>
      <c r="AG292" s="1" t="s">
        <v>480</v>
      </c>
      <c r="AH292" s="1" t="s">
        <v>480</v>
      </c>
      <c r="AI292" s="1" t="s">
        <v>480</v>
      </c>
      <c r="AJ292" s="1" t="s">
        <v>480</v>
      </c>
      <c r="AK292" s="1" t="s">
        <v>480</v>
      </c>
      <c r="AL292" s="1" t="s">
        <v>480</v>
      </c>
      <c r="AM292" s="1" t="s">
        <v>480</v>
      </c>
      <c r="AN292" s="1" t="s">
        <v>480</v>
      </c>
      <c r="AO292" s="1" t="s">
        <v>480</v>
      </c>
      <c r="AP292" s="1" t="s">
        <v>480</v>
      </c>
      <c r="AQ292" s="1" t="s">
        <v>480</v>
      </c>
      <c r="AR292" s="1" t="s">
        <v>480</v>
      </c>
      <c r="AS292" s="1" t="s">
        <v>480</v>
      </c>
      <c r="AT292" s="1">
        <f t="shared" si="39"/>
        <v>0</v>
      </c>
    </row>
    <row r="293" spans="1:46" x14ac:dyDescent="0.25">
      <c r="A293" s="1">
        <f>COUNTIF('Value Matchup'!$D$356:$D$423,'Team History'!B293)</f>
        <v>1</v>
      </c>
      <c r="B293" t="s">
        <v>34</v>
      </c>
      <c r="C293" s="1">
        <f t="shared" si="32"/>
        <v>17</v>
      </c>
      <c r="D293" s="1">
        <f t="shared" si="33"/>
        <v>7</v>
      </c>
      <c r="E293" s="1">
        <f t="shared" si="34"/>
        <v>4</v>
      </c>
      <c r="F293" s="1">
        <f t="shared" si="35"/>
        <v>1</v>
      </c>
      <c r="G293" s="1">
        <f t="shared" si="36"/>
        <v>0</v>
      </c>
      <c r="H293" s="1">
        <f t="shared" si="37"/>
        <v>0</v>
      </c>
      <c r="I293" s="64">
        <f t="shared" si="38"/>
        <v>57</v>
      </c>
      <c r="K293" s="90" t="s">
        <v>480</v>
      </c>
      <c r="L293" s="1">
        <v>0</v>
      </c>
      <c r="M293" s="1" t="s">
        <v>480</v>
      </c>
      <c r="N293" s="1">
        <v>0</v>
      </c>
      <c r="O293" s="1">
        <v>0</v>
      </c>
      <c r="P293" s="1">
        <v>1</v>
      </c>
      <c r="Q293" s="1" t="s">
        <v>480</v>
      </c>
      <c r="R293" s="1">
        <v>0</v>
      </c>
      <c r="S293" s="1">
        <v>1</v>
      </c>
      <c r="T293" s="1">
        <v>0</v>
      </c>
      <c r="U293" s="1">
        <v>1</v>
      </c>
      <c r="V293" s="1">
        <v>3</v>
      </c>
      <c r="W293" s="1">
        <v>1</v>
      </c>
      <c r="X293" s="1">
        <v>3</v>
      </c>
      <c r="Y293" s="1">
        <v>0</v>
      </c>
      <c r="Z293" s="1">
        <v>2</v>
      </c>
      <c r="AA293" s="1">
        <v>4</v>
      </c>
      <c r="AB293" s="1">
        <v>2</v>
      </c>
      <c r="AC293" s="1">
        <v>0</v>
      </c>
      <c r="AD293" s="1">
        <v>1</v>
      </c>
      <c r="AE293" s="1">
        <v>0</v>
      </c>
      <c r="AF293" s="1" t="s">
        <v>480</v>
      </c>
      <c r="AG293" s="1">
        <v>2</v>
      </c>
      <c r="AH293" s="1">
        <v>1</v>
      </c>
      <c r="AI293" s="1">
        <v>1</v>
      </c>
      <c r="AJ293" s="1">
        <v>1</v>
      </c>
      <c r="AK293" s="1" t="s">
        <v>480</v>
      </c>
      <c r="AL293" s="1">
        <v>0</v>
      </c>
      <c r="AM293" s="1">
        <v>1</v>
      </c>
      <c r="AN293" s="1">
        <v>3</v>
      </c>
      <c r="AO293" s="1">
        <v>1</v>
      </c>
      <c r="AP293" s="1" t="s">
        <v>480</v>
      </c>
      <c r="AQ293" s="1" t="s">
        <v>480</v>
      </c>
      <c r="AR293" s="1" t="s">
        <v>480</v>
      </c>
      <c r="AS293" s="1" t="s">
        <v>480</v>
      </c>
      <c r="AT293" s="1">
        <f t="shared" si="39"/>
        <v>26</v>
      </c>
    </row>
    <row r="294" spans="1:46" x14ac:dyDescent="0.25">
      <c r="A294" s="1">
        <f>COUNTIF('Value Matchup'!$D$356:$D$423,'Team History'!B294)</f>
        <v>0</v>
      </c>
      <c r="B294" t="s">
        <v>79</v>
      </c>
      <c r="C294" s="1">
        <f t="shared" si="32"/>
        <v>7</v>
      </c>
      <c r="D294" s="1">
        <f t="shared" si="33"/>
        <v>3</v>
      </c>
      <c r="E294" s="1">
        <f t="shared" si="34"/>
        <v>0</v>
      </c>
      <c r="F294" s="1">
        <f t="shared" si="35"/>
        <v>0</v>
      </c>
      <c r="G294" s="1">
        <f t="shared" si="36"/>
        <v>0</v>
      </c>
      <c r="H294" s="1">
        <f t="shared" si="37"/>
        <v>0</v>
      </c>
      <c r="I294" s="64">
        <f t="shared" si="38"/>
        <v>24</v>
      </c>
      <c r="K294" s="90" t="s">
        <v>480</v>
      </c>
      <c r="L294" s="1">
        <v>2</v>
      </c>
      <c r="M294" s="1" t="s">
        <v>480</v>
      </c>
      <c r="N294" s="1">
        <v>2</v>
      </c>
      <c r="O294" s="1" t="s">
        <v>480</v>
      </c>
      <c r="P294" s="1" t="s">
        <v>480</v>
      </c>
      <c r="Q294" s="1" t="s">
        <v>480</v>
      </c>
      <c r="R294" s="1" t="s">
        <v>480</v>
      </c>
      <c r="S294" s="1">
        <v>0</v>
      </c>
      <c r="T294" s="1">
        <v>1</v>
      </c>
      <c r="U294" s="1">
        <v>1</v>
      </c>
      <c r="V294" s="1">
        <v>1</v>
      </c>
      <c r="W294" s="1">
        <v>2</v>
      </c>
      <c r="X294" s="1">
        <v>1</v>
      </c>
      <c r="Y294" s="1" t="s">
        <v>480</v>
      </c>
      <c r="Z294" s="1" t="s">
        <v>480</v>
      </c>
      <c r="AA294" s="1" t="s">
        <v>480</v>
      </c>
      <c r="AB294" s="1" t="s">
        <v>480</v>
      </c>
      <c r="AC294" s="1" t="s">
        <v>480</v>
      </c>
      <c r="AD294" s="1" t="s">
        <v>480</v>
      </c>
      <c r="AE294" s="1" t="s">
        <v>480</v>
      </c>
      <c r="AF294" s="1" t="s">
        <v>480</v>
      </c>
      <c r="AG294" s="1" t="s">
        <v>480</v>
      </c>
      <c r="AH294" s="1" t="s">
        <v>480</v>
      </c>
      <c r="AI294" s="1" t="s">
        <v>480</v>
      </c>
      <c r="AJ294" s="1" t="s">
        <v>480</v>
      </c>
      <c r="AK294" s="1" t="s">
        <v>480</v>
      </c>
      <c r="AL294" s="1" t="s">
        <v>480</v>
      </c>
      <c r="AM294" s="1" t="s">
        <v>480</v>
      </c>
      <c r="AN294" s="1" t="s">
        <v>480</v>
      </c>
      <c r="AO294" s="1" t="s">
        <v>480</v>
      </c>
      <c r="AP294" s="1" t="s">
        <v>480</v>
      </c>
      <c r="AQ294" s="1">
        <v>0</v>
      </c>
      <c r="AR294" s="1" t="s">
        <v>480</v>
      </c>
      <c r="AS294" s="1" t="s">
        <v>480</v>
      </c>
      <c r="AT294" s="1">
        <f t="shared" si="39"/>
        <v>9</v>
      </c>
    </row>
    <row r="295" spans="1:46" x14ac:dyDescent="0.25">
      <c r="A295" s="1">
        <f>COUNTIF('Value Matchup'!$D$356:$D$423,'Team History'!B295)</f>
        <v>0</v>
      </c>
      <c r="B295" t="s">
        <v>378</v>
      </c>
      <c r="C295" s="1">
        <f t="shared" si="32"/>
        <v>0</v>
      </c>
      <c r="D295" s="1">
        <f t="shared" si="33"/>
        <v>0</v>
      </c>
      <c r="E295" s="1">
        <f t="shared" si="34"/>
        <v>0</v>
      </c>
      <c r="F295" s="1">
        <f t="shared" si="35"/>
        <v>0</v>
      </c>
      <c r="G295" s="1">
        <f t="shared" si="36"/>
        <v>0</v>
      </c>
      <c r="H295" s="1">
        <f t="shared" si="37"/>
        <v>0</v>
      </c>
      <c r="I295" s="64">
        <f t="shared" si="38"/>
        <v>1</v>
      </c>
      <c r="K295" s="90" t="s">
        <v>480</v>
      </c>
      <c r="L295" s="1" t="s">
        <v>480</v>
      </c>
      <c r="M295" s="1" t="s">
        <v>480</v>
      </c>
      <c r="N295" s="1" t="s">
        <v>480</v>
      </c>
      <c r="O295" s="1" t="s">
        <v>480</v>
      </c>
      <c r="P295" s="1" t="s">
        <v>480</v>
      </c>
      <c r="Q295" s="1" t="s">
        <v>480</v>
      </c>
      <c r="R295" s="1" t="s">
        <v>480</v>
      </c>
      <c r="S295" s="1" t="s">
        <v>480</v>
      </c>
      <c r="T295" s="1" t="s">
        <v>480</v>
      </c>
      <c r="U295" s="1" t="s">
        <v>480</v>
      </c>
      <c r="V295" s="1" t="s">
        <v>480</v>
      </c>
      <c r="W295" s="1">
        <v>0</v>
      </c>
      <c r="X295" s="1" t="s">
        <v>480</v>
      </c>
      <c r="Y295" s="1" t="s">
        <v>480</v>
      </c>
      <c r="Z295" s="1" t="s">
        <v>480</v>
      </c>
      <c r="AA295" s="1" t="s">
        <v>480</v>
      </c>
      <c r="AB295" s="1" t="s">
        <v>480</v>
      </c>
      <c r="AC295" s="1" t="s">
        <v>480</v>
      </c>
      <c r="AD295" s="1" t="s">
        <v>480</v>
      </c>
      <c r="AE295" s="1" t="s">
        <v>480</v>
      </c>
      <c r="AF295" s="1" t="s">
        <v>480</v>
      </c>
      <c r="AG295" s="1" t="s">
        <v>480</v>
      </c>
      <c r="AH295" s="1" t="s">
        <v>480</v>
      </c>
      <c r="AI295" s="1" t="s">
        <v>480</v>
      </c>
      <c r="AJ295" s="1" t="s">
        <v>480</v>
      </c>
      <c r="AK295" s="1" t="s">
        <v>480</v>
      </c>
      <c r="AL295" s="1" t="s">
        <v>480</v>
      </c>
      <c r="AM295" s="1" t="s">
        <v>480</v>
      </c>
      <c r="AN295" s="1" t="s">
        <v>480</v>
      </c>
      <c r="AO295" s="1" t="s">
        <v>480</v>
      </c>
      <c r="AP295" s="1" t="s">
        <v>480</v>
      </c>
      <c r="AQ295" s="1" t="s">
        <v>480</v>
      </c>
      <c r="AR295" s="1" t="s">
        <v>480</v>
      </c>
      <c r="AS295" s="1" t="s">
        <v>480</v>
      </c>
      <c r="AT295" s="1">
        <f t="shared" si="39"/>
        <v>1</v>
      </c>
    </row>
    <row r="296" spans="1:46" x14ac:dyDescent="0.25">
      <c r="A296" s="1">
        <f>COUNTIF('Value Matchup'!$D$356:$D$423,'Team History'!B296)</f>
        <v>1</v>
      </c>
      <c r="B296" t="s">
        <v>379</v>
      </c>
      <c r="C296" s="1">
        <f t="shared" si="32"/>
        <v>0</v>
      </c>
      <c r="D296" s="1">
        <f t="shared" si="33"/>
        <v>0</v>
      </c>
      <c r="E296" s="1">
        <f t="shared" si="34"/>
        <v>0</v>
      </c>
      <c r="F296" s="1">
        <f t="shared" si="35"/>
        <v>0</v>
      </c>
      <c r="G296" s="1">
        <f t="shared" si="36"/>
        <v>0</v>
      </c>
      <c r="H296" s="1">
        <f t="shared" si="37"/>
        <v>0</v>
      </c>
      <c r="I296" s="64">
        <f t="shared" si="38"/>
        <v>8</v>
      </c>
      <c r="K296" s="90" t="s">
        <v>480</v>
      </c>
      <c r="L296" s="1">
        <v>0</v>
      </c>
      <c r="M296" s="1">
        <v>0</v>
      </c>
      <c r="N296" s="1" t="s">
        <v>480</v>
      </c>
      <c r="O296" s="1">
        <v>0</v>
      </c>
      <c r="P296" s="1">
        <v>0</v>
      </c>
      <c r="Q296" s="1" t="s">
        <v>480</v>
      </c>
      <c r="R296" s="1" t="s">
        <v>480</v>
      </c>
      <c r="S296" s="1" t="s">
        <v>480</v>
      </c>
      <c r="T296" s="1" t="s">
        <v>480</v>
      </c>
      <c r="U296" s="1" t="s">
        <v>480</v>
      </c>
      <c r="V296" s="1" t="s">
        <v>480</v>
      </c>
      <c r="W296" s="1" t="s">
        <v>480</v>
      </c>
      <c r="X296" s="1" t="s">
        <v>480</v>
      </c>
      <c r="Y296" s="1" t="s">
        <v>480</v>
      </c>
      <c r="Z296" s="1" t="s">
        <v>480</v>
      </c>
      <c r="AA296" s="1">
        <v>0</v>
      </c>
      <c r="AB296" s="1" t="s">
        <v>480</v>
      </c>
      <c r="AC296" s="1" t="s">
        <v>480</v>
      </c>
      <c r="AD296" s="1" t="s">
        <v>480</v>
      </c>
      <c r="AE296" s="1" t="s">
        <v>480</v>
      </c>
      <c r="AF296" s="1" t="s">
        <v>480</v>
      </c>
      <c r="AG296" s="1" t="s">
        <v>480</v>
      </c>
      <c r="AH296" s="1" t="s">
        <v>480</v>
      </c>
      <c r="AI296" s="1">
        <v>0</v>
      </c>
      <c r="AJ296" s="1">
        <v>0</v>
      </c>
      <c r="AK296" s="1" t="s">
        <v>480</v>
      </c>
      <c r="AL296" s="1" t="s">
        <v>480</v>
      </c>
      <c r="AM296" s="1" t="s">
        <v>480</v>
      </c>
      <c r="AN296" s="1">
        <v>0</v>
      </c>
      <c r="AO296" s="1" t="s">
        <v>480</v>
      </c>
      <c r="AP296" s="1" t="s">
        <v>480</v>
      </c>
      <c r="AQ296" s="1" t="s">
        <v>480</v>
      </c>
      <c r="AR296" s="1" t="s">
        <v>480</v>
      </c>
      <c r="AS296" s="1" t="s">
        <v>480</v>
      </c>
      <c r="AT296" s="1">
        <f t="shared" si="39"/>
        <v>8</v>
      </c>
    </row>
    <row r="297" spans="1:46" x14ac:dyDescent="0.25">
      <c r="A297" s="1">
        <f>COUNTIF('Value Matchup'!$D$356:$D$423,'Team History'!B297)</f>
        <v>0</v>
      </c>
      <c r="B297" t="s">
        <v>380</v>
      </c>
      <c r="C297" s="1">
        <f>COUNTIF($K297:$AS297,"&gt;0")</f>
        <v>0</v>
      </c>
      <c r="D297" s="1">
        <f t="shared" si="33"/>
        <v>0</v>
      </c>
      <c r="E297" s="1">
        <f t="shared" si="34"/>
        <v>0</v>
      </c>
      <c r="F297" s="1">
        <f t="shared" si="35"/>
        <v>0</v>
      </c>
      <c r="G297" s="1">
        <f t="shared" si="36"/>
        <v>0</v>
      </c>
      <c r="H297" s="1">
        <f t="shared" si="37"/>
        <v>0</v>
      </c>
      <c r="I297" s="64">
        <f t="shared" si="38"/>
        <v>2</v>
      </c>
      <c r="K297" s="90" t="s">
        <v>480</v>
      </c>
      <c r="L297" s="1" t="s">
        <v>480</v>
      </c>
      <c r="M297" s="1" t="s">
        <v>480</v>
      </c>
      <c r="N297" s="1" t="s">
        <v>480</v>
      </c>
      <c r="O297" s="1" t="s">
        <v>480</v>
      </c>
      <c r="P297" s="1" t="s">
        <v>480</v>
      </c>
      <c r="Q297" s="1" t="s">
        <v>480</v>
      </c>
      <c r="R297" s="1" t="s">
        <v>480</v>
      </c>
      <c r="S297" s="1" t="s">
        <v>480</v>
      </c>
      <c r="T297" s="1" t="s">
        <v>480</v>
      </c>
      <c r="U297" s="1" t="s">
        <v>480</v>
      </c>
      <c r="V297" s="1" t="s">
        <v>480</v>
      </c>
      <c r="W297" s="1" t="s">
        <v>480</v>
      </c>
      <c r="X297" s="1" t="s">
        <v>480</v>
      </c>
      <c r="Y297" s="1" t="s">
        <v>480</v>
      </c>
      <c r="Z297" s="1" t="s">
        <v>480</v>
      </c>
      <c r="AA297" s="1" t="s">
        <v>480</v>
      </c>
      <c r="AB297" s="1" t="s">
        <v>480</v>
      </c>
      <c r="AC297" s="1" t="s">
        <v>480</v>
      </c>
      <c r="AD297" s="1" t="s">
        <v>480</v>
      </c>
      <c r="AE297" s="1" t="s">
        <v>480</v>
      </c>
      <c r="AF297" s="1" t="s">
        <v>480</v>
      </c>
      <c r="AG297" s="1">
        <v>0</v>
      </c>
      <c r="AH297" s="1" t="s">
        <v>480</v>
      </c>
      <c r="AI297" s="1" t="s">
        <v>480</v>
      </c>
      <c r="AJ297" s="1">
        <v>0</v>
      </c>
      <c r="AK297" s="1" t="s">
        <v>480</v>
      </c>
      <c r="AL297" s="1" t="s">
        <v>480</v>
      </c>
      <c r="AM297" s="1" t="s">
        <v>480</v>
      </c>
      <c r="AN297" s="1" t="s">
        <v>480</v>
      </c>
      <c r="AO297" s="1" t="s">
        <v>480</v>
      </c>
      <c r="AP297" s="1" t="s">
        <v>480</v>
      </c>
      <c r="AQ297" s="1" t="s">
        <v>480</v>
      </c>
      <c r="AR297" s="1" t="s">
        <v>480</v>
      </c>
      <c r="AS297" s="1" t="s">
        <v>480</v>
      </c>
      <c r="AT297" s="1">
        <f t="shared" si="39"/>
        <v>2</v>
      </c>
    </row>
    <row r="298" spans="1:46" x14ac:dyDescent="0.25">
      <c r="A298" s="1">
        <f>COUNTIF('Value Matchup'!$D$356:$D$423,'Team History'!B298)</f>
        <v>1</v>
      </c>
      <c r="B298" t="s">
        <v>92</v>
      </c>
      <c r="C298" s="1">
        <f t="shared" si="32"/>
        <v>5</v>
      </c>
      <c r="D298" s="1">
        <f t="shared" si="33"/>
        <v>4</v>
      </c>
      <c r="E298" s="1">
        <f t="shared" si="34"/>
        <v>2</v>
      </c>
      <c r="F298" s="1">
        <f t="shared" si="35"/>
        <v>1</v>
      </c>
      <c r="G298" s="1">
        <f t="shared" si="36"/>
        <v>1</v>
      </c>
      <c r="H298" s="1">
        <f t="shared" si="37"/>
        <v>0</v>
      </c>
      <c r="I298" s="64">
        <f t="shared" si="38"/>
        <v>32</v>
      </c>
      <c r="K298" s="90">
        <v>5</v>
      </c>
      <c r="L298" s="1">
        <v>3</v>
      </c>
      <c r="M298" s="1" t="s">
        <v>480</v>
      </c>
      <c r="N298" s="1">
        <v>0</v>
      </c>
      <c r="O298" s="1" t="s">
        <v>480</v>
      </c>
      <c r="P298" s="1" t="s">
        <v>480</v>
      </c>
      <c r="Q298" s="1" t="s">
        <v>480</v>
      </c>
      <c r="R298" s="1" t="s">
        <v>480</v>
      </c>
      <c r="S298" s="1" t="s">
        <v>480</v>
      </c>
      <c r="T298" s="1" t="s">
        <v>480</v>
      </c>
      <c r="U298" s="1" t="s">
        <v>480</v>
      </c>
      <c r="V298" s="1" t="s">
        <v>480</v>
      </c>
      <c r="W298" s="1">
        <v>0</v>
      </c>
      <c r="X298" s="1" t="s">
        <v>480</v>
      </c>
      <c r="Y298" s="1">
        <v>2</v>
      </c>
      <c r="Z298" s="1">
        <v>1</v>
      </c>
      <c r="AA298" s="1" t="s">
        <v>480</v>
      </c>
      <c r="AB298" s="1">
        <v>0</v>
      </c>
      <c r="AC298" s="1" t="s">
        <v>480</v>
      </c>
      <c r="AD298" s="1" t="s">
        <v>480</v>
      </c>
      <c r="AE298" s="1" t="s">
        <v>480</v>
      </c>
      <c r="AF298" s="1" t="s">
        <v>480</v>
      </c>
      <c r="AG298" s="1" t="s">
        <v>480</v>
      </c>
      <c r="AH298" s="1">
        <v>2</v>
      </c>
      <c r="AI298" s="1" t="s">
        <v>480</v>
      </c>
      <c r="AJ298" s="1" t="s">
        <v>480</v>
      </c>
      <c r="AK298" s="1">
        <v>0</v>
      </c>
      <c r="AL298" s="1" t="s">
        <v>480</v>
      </c>
      <c r="AM298" s="1" t="s">
        <v>480</v>
      </c>
      <c r="AN298" s="1" t="s">
        <v>480</v>
      </c>
      <c r="AO298" s="1" t="s">
        <v>480</v>
      </c>
      <c r="AP298" s="1" t="s">
        <v>480</v>
      </c>
      <c r="AQ298" s="1" t="s">
        <v>480</v>
      </c>
      <c r="AR298" s="1">
        <v>0</v>
      </c>
      <c r="AS298" s="1">
        <v>0</v>
      </c>
      <c r="AT298" s="1">
        <f t="shared" si="39"/>
        <v>11</v>
      </c>
    </row>
    <row r="299" spans="1:46" x14ac:dyDescent="0.25">
      <c r="A299" s="1">
        <f>COUNTIF('Value Matchup'!$D$356:$D$423,'Team History'!B299)</f>
        <v>0</v>
      </c>
      <c r="B299" t="s">
        <v>381</v>
      </c>
      <c r="C299" s="1">
        <f t="shared" si="32"/>
        <v>0</v>
      </c>
      <c r="D299" s="1">
        <f t="shared" si="33"/>
        <v>0</v>
      </c>
      <c r="E299" s="1">
        <f t="shared" si="34"/>
        <v>0</v>
      </c>
      <c r="F299" s="1">
        <f t="shared" si="35"/>
        <v>0</v>
      </c>
      <c r="G299" s="1">
        <f t="shared" si="36"/>
        <v>0</v>
      </c>
      <c r="H299" s="1">
        <f t="shared" si="37"/>
        <v>0</v>
      </c>
      <c r="I299" s="64">
        <f t="shared" si="38"/>
        <v>0</v>
      </c>
      <c r="K299" s="90" t="s">
        <v>480</v>
      </c>
      <c r="L299" s="1" t="s">
        <v>480</v>
      </c>
      <c r="M299" s="1" t="s">
        <v>480</v>
      </c>
      <c r="N299" s="1" t="s">
        <v>480</v>
      </c>
      <c r="O299" s="1" t="s">
        <v>480</v>
      </c>
      <c r="P299" s="1" t="s">
        <v>480</v>
      </c>
      <c r="Q299" s="1" t="s">
        <v>480</v>
      </c>
      <c r="R299" s="1" t="s">
        <v>480</v>
      </c>
      <c r="S299" s="1" t="s">
        <v>480</v>
      </c>
      <c r="T299" s="1" t="s">
        <v>480</v>
      </c>
      <c r="U299" s="1" t="s">
        <v>480</v>
      </c>
      <c r="V299" s="1" t="s">
        <v>480</v>
      </c>
      <c r="W299" s="1" t="s">
        <v>480</v>
      </c>
      <c r="X299" s="1" t="s">
        <v>480</v>
      </c>
      <c r="Y299" s="1" t="s">
        <v>480</v>
      </c>
      <c r="Z299" s="1" t="s">
        <v>480</v>
      </c>
      <c r="AA299" s="1" t="s">
        <v>480</v>
      </c>
      <c r="AB299" s="1" t="s">
        <v>480</v>
      </c>
      <c r="AC299" s="1" t="s">
        <v>480</v>
      </c>
      <c r="AD299" s="1" t="s">
        <v>480</v>
      </c>
      <c r="AE299" s="1" t="s">
        <v>480</v>
      </c>
      <c r="AF299" s="1" t="s">
        <v>480</v>
      </c>
      <c r="AG299" s="1" t="s">
        <v>480</v>
      </c>
      <c r="AH299" s="1" t="s">
        <v>480</v>
      </c>
      <c r="AI299" s="1" t="s">
        <v>480</v>
      </c>
      <c r="AJ299" s="1" t="s">
        <v>480</v>
      </c>
      <c r="AK299" s="1" t="s">
        <v>480</v>
      </c>
      <c r="AL299" s="1" t="s">
        <v>480</v>
      </c>
      <c r="AM299" s="1" t="s">
        <v>480</v>
      </c>
      <c r="AN299" s="1" t="s">
        <v>480</v>
      </c>
      <c r="AO299" s="1" t="s">
        <v>480</v>
      </c>
      <c r="AP299" s="1" t="s">
        <v>480</v>
      </c>
      <c r="AQ299" s="1" t="s">
        <v>480</v>
      </c>
      <c r="AR299" s="1" t="s">
        <v>480</v>
      </c>
      <c r="AS299" s="1" t="s">
        <v>480</v>
      </c>
      <c r="AT299" s="1">
        <f t="shared" si="39"/>
        <v>0</v>
      </c>
    </row>
    <row r="300" spans="1:46" x14ac:dyDescent="0.25">
      <c r="A300" s="1">
        <f>COUNTIF('Value Matchup'!$D$356:$D$423,'Team History'!B300)</f>
        <v>0</v>
      </c>
      <c r="B300" t="s">
        <v>382</v>
      </c>
      <c r="C300" s="1">
        <f t="shared" si="32"/>
        <v>0</v>
      </c>
      <c r="D300" s="1">
        <f t="shared" si="33"/>
        <v>0</v>
      </c>
      <c r="E300" s="1">
        <f t="shared" si="34"/>
        <v>0</v>
      </c>
      <c r="F300" s="1">
        <f t="shared" si="35"/>
        <v>0</v>
      </c>
      <c r="G300" s="1">
        <f t="shared" si="36"/>
        <v>0</v>
      </c>
      <c r="H300" s="1">
        <f t="shared" si="37"/>
        <v>0</v>
      </c>
      <c r="I300" s="64">
        <f t="shared" si="38"/>
        <v>0</v>
      </c>
      <c r="K300" s="90" t="s">
        <v>480</v>
      </c>
      <c r="L300" s="1" t="s">
        <v>480</v>
      </c>
      <c r="M300" s="1" t="s">
        <v>480</v>
      </c>
      <c r="N300" s="1" t="s">
        <v>480</v>
      </c>
      <c r="O300" s="1" t="s">
        <v>480</v>
      </c>
      <c r="P300" s="1" t="s">
        <v>480</v>
      </c>
      <c r="Q300" s="1" t="s">
        <v>480</v>
      </c>
      <c r="R300" s="1" t="s">
        <v>480</v>
      </c>
      <c r="S300" s="1" t="s">
        <v>480</v>
      </c>
      <c r="T300" s="1" t="s">
        <v>480</v>
      </c>
      <c r="U300" s="1" t="s">
        <v>480</v>
      </c>
      <c r="V300" s="1" t="s">
        <v>480</v>
      </c>
      <c r="W300" s="1" t="s">
        <v>480</v>
      </c>
      <c r="X300" s="1" t="s">
        <v>480</v>
      </c>
      <c r="Y300" s="1" t="s">
        <v>480</v>
      </c>
      <c r="Z300" s="1" t="s">
        <v>480</v>
      </c>
      <c r="AA300" s="1" t="s">
        <v>480</v>
      </c>
      <c r="AB300" s="1" t="s">
        <v>480</v>
      </c>
      <c r="AC300" s="1" t="s">
        <v>480</v>
      </c>
      <c r="AD300" s="1" t="s">
        <v>480</v>
      </c>
      <c r="AE300" s="1" t="s">
        <v>480</v>
      </c>
      <c r="AF300" s="1" t="s">
        <v>480</v>
      </c>
      <c r="AG300" s="1" t="s">
        <v>480</v>
      </c>
      <c r="AH300" s="1" t="s">
        <v>480</v>
      </c>
      <c r="AI300" s="1" t="s">
        <v>480</v>
      </c>
      <c r="AJ300" s="1" t="s">
        <v>480</v>
      </c>
      <c r="AK300" s="1" t="s">
        <v>480</v>
      </c>
      <c r="AL300" s="1" t="s">
        <v>480</v>
      </c>
      <c r="AM300" s="1" t="s">
        <v>480</v>
      </c>
      <c r="AN300" s="1" t="s">
        <v>480</v>
      </c>
      <c r="AO300" s="1" t="s">
        <v>480</v>
      </c>
      <c r="AP300" s="1" t="s">
        <v>480</v>
      </c>
      <c r="AQ300" s="1" t="s">
        <v>480</v>
      </c>
      <c r="AR300" s="1" t="s">
        <v>480</v>
      </c>
      <c r="AS300" s="1" t="s">
        <v>480</v>
      </c>
      <c r="AT300" s="1">
        <f t="shared" si="39"/>
        <v>0</v>
      </c>
    </row>
    <row r="301" spans="1:46" x14ac:dyDescent="0.25">
      <c r="A301" s="1">
        <f>COUNTIF('Value Matchup'!$D$356:$D$423,'Team History'!B301)</f>
        <v>0</v>
      </c>
      <c r="B301" t="s">
        <v>383</v>
      </c>
      <c r="C301" s="1">
        <f t="shared" si="32"/>
        <v>0</v>
      </c>
      <c r="D301" s="1">
        <f t="shared" si="33"/>
        <v>0</v>
      </c>
      <c r="E301" s="1">
        <f t="shared" si="34"/>
        <v>0</v>
      </c>
      <c r="F301" s="1">
        <f t="shared" si="35"/>
        <v>0</v>
      </c>
      <c r="G301" s="1">
        <f t="shared" si="36"/>
        <v>0</v>
      </c>
      <c r="H301" s="1">
        <f t="shared" si="37"/>
        <v>0</v>
      </c>
      <c r="I301" s="64">
        <f t="shared" si="38"/>
        <v>2</v>
      </c>
      <c r="K301" s="90" t="s">
        <v>480</v>
      </c>
      <c r="L301" s="1" t="s">
        <v>480</v>
      </c>
      <c r="M301" s="1" t="s">
        <v>480</v>
      </c>
      <c r="N301" s="1" t="s">
        <v>480</v>
      </c>
      <c r="O301" s="1" t="s">
        <v>480</v>
      </c>
      <c r="P301" s="1" t="s">
        <v>480</v>
      </c>
      <c r="Q301" s="1" t="s">
        <v>480</v>
      </c>
      <c r="R301" s="1" t="s">
        <v>480</v>
      </c>
      <c r="S301" s="1" t="s">
        <v>480</v>
      </c>
      <c r="T301" s="1" t="s">
        <v>480</v>
      </c>
      <c r="U301" s="1" t="s">
        <v>480</v>
      </c>
      <c r="V301" s="1" t="s">
        <v>480</v>
      </c>
      <c r="W301" s="1" t="s">
        <v>480</v>
      </c>
      <c r="X301" s="1" t="s">
        <v>480</v>
      </c>
      <c r="Y301" s="1" t="s">
        <v>480</v>
      </c>
      <c r="Z301" s="1" t="s">
        <v>480</v>
      </c>
      <c r="AA301" s="1" t="s">
        <v>480</v>
      </c>
      <c r="AB301" s="1" t="s">
        <v>480</v>
      </c>
      <c r="AC301" s="1" t="s">
        <v>480</v>
      </c>
      <c r="AD301" s="1" t="s">
        <v>480</v>
      </c>
      <c r="AE301" s="1" t="s">
        <v>480</v>
      </c>
      <c r="AF301" s="1" t="s">
        <v>480</v>
      </c>
      <c r="AG301" s="1" t="s">
        <v>480</v>
      </c>
      <c r="AH301" s="1" t="s">
        <v>480</v>
      </c>
      <c r="AI301" s="1" t="s">
        <v>480</v>
      </c>
      <c r="AJ301" s="1" t="s">
        <v>480</v>
      </c>
      <c r="AK301" s="1" t="s">
        <v>480</v>
      </c>
      <c r="AL301" s="1" t="s">
        <v>480</v>
      </c>
      <c r="AM301" s="1">
        <v>0</v>
      </c>
      <c r="AN301" s="1">
        <v>0</v>
      </c>
      <c r="AO301" s="1" t="s">
        <v>480</v>
      </c>
      <c r="AP301" s="1" t="s">
        <v>480</v>
      </c>
      <c r="AQ301" s="1" t="s">
        <v>480</v>
      </c>
      <c r="AR301" s="1" t="s">
        <v>480</v>
      </c>
      <c r="AS301" s="1" t="s">
        <v>480</v>
      </c>
      <c r="AT301" s="1">
        <f t="shared" si="39"/>
        <v>2</v>
      </c>
    </row>
    <row r="302" spans="1:46" x14ac:dyDescent="0.25">
      <c r="A302" s="1">
        <f>COUNTIF('Value Matchup'!$D$356:$D$423,'Team History'!B302)</f>
        <v>0</v>
      </c>
      <c r="B302" t="s">
        <v>384</v>
      </c>
      <c r="C302" s="1">
        <f t="shared" si="32"/>
        <v>0</v>
      </c>
      <c r="D302" s="1">
        <f t="shared" si="33"/>
        <v>0</v>
      </c>
      <c r="E302" s="1">
        <f t="shared" si="34"/>
        <v>0</v>
      </c>
      <c r="F302" s="1">
        <f t="shared" si="35"/>
        <v>0</v>
      </c>
      <c r="G302" s="1">
        <f t="shared" si="36"/>
        <v>0</v>
      </c>
      <c r="H302" s="1">
        <f t="shared" si="37"/>
        <v>0</v>
      </c>
      <c r="I302" s="64">
        <f t="shared" si="38"/>
        <v>2</v>
      </c>
      <c r="K302" s="90" t="s">
        <v>480</v>
      </c>
      <c r="L302" s="1" t="s">
        <v>480</v>
      </c>
      <c r="M302" s="1">
        <v>0</v>
      </c>
      <c r="N302" s="1" t="s">
        <v>480</v>
      </c>
      <c r="O302" s="1" t="s">
        <v>480</v>
      </c>
      <c r="P302" s="1" t="s">
        <v>480</v>
      </c>
      <c r="Q302" s="1" t="s">
        <v>480</v>
      </c>
      <c r="R302" s="1" t="s">
        <v>480</v>
      </c>
      <c r="S302" s="1" t="s">
        <v>480</v>
      </c>
      <c r="T302" s="1" t="s">
        <v>480</v>
      </c>
      <c r="U302" s="1" t="s">
        <v>480</v>
      </c>
      <c r="V302" s="1" t="s">
        <v>480</v>
      </c>
      <c r="W302" s="1" t="s">
        <v>480</v>
      </c>
      <c r="X302" s="1" t="s">
        <v>480</v>
      </c>
      <c r="Y302" s="1" t="s">
        <v>480</v>
      </c>
      <c r="Z302" s="1" t="s">
        <v>480</v>
      </c>
      <c r="AA302" s="1">
        <v>0</v>
      </c>
      <c r="AB302" s="1" t="s">
        <v>480</v>
      </c>
      <c r="AC302" s="1" t="s">
        <v>480</v>
      </c>
      <c r="AD302" s="1" t="s">
        <v>480</v>
      </c>
      <c r="AE302" s="1" t="s">
        <v>480</v>
      </c>
      <c r="AF302" s="1" t="s">
        <v>480</v>
      </c>
      <c r="AG302" s="1" t="s">
        <v>480</v>
      </c>
      <c r="AH302" s="1" t="s">
        <v>480</v>
      </c>
      <c r="AI302" s="1" t="s">
        <v>480</v>
      </c>
      <c r="AJ302" s="1" t="s">
        <v>480</v>
      </c>
      <c r="AK302" s="1" t="s">
        <v>480</v>
      </c>
      <c r="AL302" s="1" t="s">
        <v>480</v>
      </c>
      <c r="AM302" s="1" t="s">
        <v>480</v>
      </c>
      <c r="AN302" s="1" t="s">
        <v>480</v>
      </c>
      <c r="AO302" s="1" t="s">
        <v>480</v>
      </c>
      <c r="AP302" s="1" t="s">
        <v>480</v>
      </c>
      <c r="AQ302" s="1" t="s">
        <v>480</v>
      </c>
      <c r="AR302" s="1" t="s">
        <v>480</v>
      </c>
      <c r="AS302" s="1" t="s">
        <v>480</v>
      </c>
      <c r="AT302" s="1">
        <f t="shared" si="39"/>
        <v>2</v>
      </c>
    </row>
    <row r="303" spans="1:46" x14ac:dyDescent="0.25">
      <c r="A303" s="1">
        <f>COUNTIF('Value Matchup'!$D$356:$D$423,'Team History'!B303)</f>
        <v>0</v>
      </c>
      <c r="B303" t="s">
        <v>385</v>
      </c>
      <c r="C303" s="1">
        <f t="shared" si="32"/>
        <v>3</v>
      </c>
      <c r="D303" s="1">
        <f t="shared" si="33"/>
        <v>0</v>
      </c>
      <c r="E303" s="1">
        <f t="shared" si="34"/>
        <v>0</v>
      </c>
      <c r="F303" s="1">
        <f t="shared" si="35"/>
        <v>0</v>
      </c>
      <c r="G303" s="1">
        <f t="shared" si="36"/>
        <v>0</v>
      </c>
      <c r="H303" s="1">
        <f t="shared" si="37"/>
        <v>0</v>
      </c>
      <c r="I303" s="64">
        <f t="shared" si="38"/>
        <v>6</v>
      </c>
      <c r="K303" s="90" t="s">
        <v>480</v>
      </c>
      <c r="L303" s="1" t="s">
        <v>480</v>
      </c>
      <c r="M303" s="1" t="s">
        <v>480</v>
      </c>
      <c r="N303" s="1" t="s">
        <v>480</v>
      </c>
      <c r="O303" s="1" t="s">
        <v>480</v>
      </c>
      <c r="P303" s="1" t="s">
        <v>480</v>
      </c>
      <c r="Q303" s="1" t="s">
        <v>480</v>
      </c>
      <c r="R303" s="1" t="s">
        <v>480</v>
      </c>
      <c r="S303" s="1" t="s">
        <v>480</v>
      </c>
      <c r="T303" s="1" t="s">
        <v>480</v>
      </c>
      <c r="U303" s="1" t="s">
        <v>480</v>
      </c>
      <c r="V303" s="1" t="s">
        <v>480</v>
      </c>
      <c r="W303" s="1" t="s">
        <v>480</v>
      </c>
      <c r="X303" s="1" t="s">
        <v>480</v>
      </c>
      <c r="Y303" s="1" t="s">
        <v>480</v>
      </c>
      <c r="Z303" s="1" t="s">
        <v>480</v>
      </c>
      <c r="AA303" s="1" t="s">
        <v>480</v>
      </c>
      <c r="AB303" s="1" t="s">
        <v>480</v>
      </c>
      <c r="AC303" s="1" t="s">
        <v>480</v>
      </c>
      <c r="AD303" s="1" t="s">
        <v>480</v>
      </c>
      <c r="AE303" s="1" t="s">
        <v>480</v>
      </c>
      <c r="AF303" s="1" t="s">
        <v>480</v>
      </c>
      <c r="AG303" s="1" t="s">
        <v>480</v>
      </c>
      <c r="AH303" s="1" t="s">
        <v>480</v>
      </c>
      <c r="AI303" s="1">
        <v>1</v>
      </c>
      <c r="AJ303" s="1" t="s">
        <v>480</v>
      </c>
      <c r="AK303" s="1">
        <v>1</v>
      </c>
      <c r="AL303" s="1">
        <v>1</v>
      </c>
      <c r="AM303" s="1" t="s">
        <v>480</v>
      </c>
      <c r="AN303" s="1" t="s">
        <v>480</v>
      </c>
      <c r="AO303" s="1" t="s">
        <v>480</v>
      </c>
      <c r="AP303" s="1" t="s">
        <v>480</v>
      </c>
      <c r="AQ303" s="1" t="s">
        <v>480</v>
      </c>
      <c r="AR303" s="1" t="s">
        <v>480</v>
      </c>
      <c r="AS303" s="1" t="s">
        <v>480</v>
      </c>
      <c r="AT303" s="1">
        <f t="shared" si="39"/>
        <v>3</v>
      </c>
    </row>
    <row r="304" spans="1:46" x14ac:dyDescent="0.25">
      <c r="A304" s="1">
        <f>COUNTIF('Value Matchup'!$D$356:$D$423,'Team History'!B304)</f>
        <v>0</v>
      </c>
      <c r="B304" t="s">
        <v>94</v>
      </c>
      <c r="C304" s="1">
        <f t="shared" si="32"/>
        <v>7</v>
      </c>
      <c r="D304" s="1">
        <f t="shared" si="33"/>
        <v>3</v>
      </c>
      <c r="E304" s="1">
        <f t="shared" si="34"/>
        <v>1</v>
      </c>
      <c r="F304" s="1">
        <f t="shared" si="35"/>
        <v>0</v>
      </c>
      <c r="G304" s="1">
        <f t="shared" si="36"/>
        <v>0</v>
      </c>
      <c r="H304" s="1">
        <f t="shared" si="37"/>
        <v>0</v>
      </c>
      <c r="I304" s="64">
        <f t="shared" si="38"/>
        <v>24</v>
      </c>
      <c r="K304" s="90" t="s">
        <v>480</v>
      </c>
      <c r="L304" s="1" t="s">
        <v>480</v>
      </c>
      <c r="M304" s="1" t="s">
        <v>480</v>
      </c>
      <c r="N304" s="1">
        <v>0</v>
      </c>
      <c r="O304" s="1" t="s">
        <v>480</v>
      </c>
      <c r="P304" s="1">
        <v>0</v>
      </c>
      <c r="Q304" s="1" t="s">
        <v>480</v>
      </c>
      <c r="R304" s="1" t="s">
        <v>480</v>
      </c>
      <c r="S304" s="1" t="s">
        <v>480</v>
      </c>
      <c r="T304" s="1" t="s">
        <v>480</v>
      </c>
      <c r="U304" s="1" t="s">
        <v>480</v>
      </c>
      <c r="V304" s="1" t="s">
        <v>480</v>
      </c>
      <c r="W304" s="1" t="s">
        <v>480</v>
      </c>
      <c r="X304" s="1" t="s">
        <v>480</v>
      </c>
      <c r="Y304" s="1" t="s">
        <v>480</v>
      </c>
      <c r="Z304" s="1" t="s">
        <v>480</v>
      </c>
      <c r="AA304" s="1">
        <v>1</v>
      </c>
      <c r="AB304" s="1">
        <v>1</v>
      </c>
      <c r="AC304" s="1" t="s">
        <v>480</v>
      </c>
      <c r="AD304" s="1">
        <v>3</v>
      </c>
      <c r="AE304" s="1">
        <v>1</v>
      </c>
      <c r="AF304" s="1" t="s">
        <v>480</v>
      </c>
      <c r="AG304" s="1">
        <v>1</v>
      </c>
      <c r="AH304" s="1">
        <v>0</v>
      </c>
      <c r="AI304" s="1">
        <v>2</v>
      </c>
      <c r="AJ304" s="1">
        <v>2</v>
      </c>
      <c r="AK304" s="1" t="s">
        <v>480</v>
      </c>
      <c r="AL304" s="1" t="s">
        <v>480</v>
      </c>
      <c r="AM304" s="1" t="s">
        <v>480</v>
      </c>
      <c r="AN304" s="1" t="s">
        <v>480</v>
      </c>
      <c r="AO304" s="1" t="s">
        <v>480</v>
      </c>
      <c r="AP304" s="1" t="s">
        <v>480</v>
      </c>
      <c r="AQ304" s="1">
        <v>0</v>
      </c>
      <c r="AR304" s="1">
        <v>0</v>
      </c>
      <c r="AS304" s="1">
        <v>0</v>
      </c>
      <c r="AT304" s="1">
        <f t="shared" si="39"/>
        <v>13</v>
      </c>
    </row>
    <row r="305" spans="1:46" x14ac:dyDescent="0.25">
      <c r="A305" s="1">
        <f>COUNTIF('Value Matchup'!$D$356:$D$423,'Team History'!B305)</f>
        <v>0</v>
      </c>
      <c r="B305" t="s">
        <v>68</v>
      </c>
      <c r="C305" s="1">
        <f t="shared" si="32"/>
        <v>5</v>
      </c>
      <c r="D305" s="1">
        <f t="shared" si="33"/>
        <v>1</v>
      </c>
      <c r="E305" s="1">
        <f t="shared" si="34"/>
        <v>0</v>
      </c>
      <c r="F305" s="1">
        <f t="shared" si="35"/>
        <v>0</v>
      </c>
      <c r="G305" s="1">
        <f t="shared" si="36"/>
        <v>0</v>
      </c>
      <c r="H305" s="1">
        <f t="shared" si="37"/>
        <v>0</v>
      </c>
      <c r="I305" s="64">
        <f t="shared" si="38"/>
        <v>18</v>
      </c>
      <c r="K305" s="90" t="s">
        <v>480</v>
      </c>
      <c r="L305" s="1" t="s">
        <v>480</v>
      </c>
      <c r="M305" s="1" t="s">
        <v>480</v>
      </c>
      <c r="N305" s="1" t="s">
        <v>480</v>
      </c>
      <c r="O305" s="1">
        <v>1</v>
      </c>
      <c r="P305" s="1" t="s">
        <v>480</v>
      </c>
      <c r="Q305" s="1" t="s">
        <v>480</v>
      </c>
      <c r="R305" s="1" t="s">
        <v>480</v>
      </c>
      <c r="S305" s="1">
        <v>0</v>
      </c>
      <c r="T305" s="1" t="s">
        <v>480</v>
      </c>
      <c r="U305" s="1" t="s">
        <v>480</v>
      </c>
      <c r="V305" s="1" t="s">
        <v>480</v>
      </c>
      <c r="W305" s="1" t="s">
        <v>480</v>
      </c>
      <c r="X305" s="1">
        <v>0</v>
      </c>
      <c r="Y305" s="1">
        <v>1</v>
      </c>
      <c r="Z305" s="1">
        <v>2</v>
      </c>
      <c r="AA305" s="1" t="s">
        <v>480</v>
      </c>
      <c r="AB305" s="1" t="s">
        <v>480</v>
      </c>
      <c r="AC305" s="1" t="s">
        <v>480</v>
      </c>
      <c r="AD305" s="1" t="s">
        <v>480</v>
      </c>
      <c r="AE305" s="1">
        <v>0</v>
      </c>
      <c r="AF305" s="1" t="s">
        <v>480</v>
      </c>
      <c r="AG305" s="1" t="s">
        <v>480</v>
      </c>
      <c r="AH305" s="1" t="s">
        <v>480</v>
      </c>
      <c r="AI305" s="1" t="s">
        <v>480</v>
      </c>
      <c r="AJ305" s="1">
        <v>0</v>
      </c>
      <c r="AK305" s="1" t="s">
        <v>480</v>
      </c>
      <c r="AL305" s="1" t="s">
        <v>480</v>
      </c>
      <c r="AM305" s="1" t="s">
        <v>480</v>
      </c>
      <c r="AN305" s="1">
        <v>0</v>
      </c>
      <c r="AO305" s="1" t="s">
        <v>480</v>
      </c>
      <c r="AP305" s="1" t="s">
        <v>480</v>
      </c>
      <c r="AQ305" s="1">
        <v>0</v>
      </c>
      <c r="AR305" s="1">
        <v>1</v>
      </c>
      <c r="AS305" s="1">
        <v>1</v>
      </c>
      <c r="AT305" s="1">
        <f t="shared" si="39"/>
        <v>11</v>
      </c>
    </row>
    <row r="306" spans="1:46" x14ac:dyDescent="0.25">
      <c r="A306" s="1">
        <f>COUNTIF('Value Matchup'!$D$356:$D$423,'Team History'!B306)</f>
        <v>0</v>
      </c>
      <c r="B306" t="s">
        <v>386</v>
      </c>
      <c r="C306" s="1">
        <f t="shared" si="32"/>
        <v>0</v>
      </c>
      <c r="D306" s="1">
        <f t="shared" si="33"/>
        <v>0</v>
      </c>
      <c r="E306" s="1">
        <f t="shared" si="34"/>
        <v>0</v>
      </c>
      <c r="F306" s="1">
        <f t="shared" si="35"/>
        <v>0</v>
      </c>
      <c r="G306" s="1">
        <f t="shared" si="36"/>
        <v>0</v>
      </c>
      <c r="H306" s="1">
        <f t="shared" si="37"/>
        <v>0</v>
      </c>
      <c r="I306" s="64">
        <f t="shared" si="38"/>
        <v>1</v>
      </c>
      <c r="K306" s="90" t="s">
        <v>480</v>
      </c>
      <c r="L306" s="1" t="s">
        <v>480</v>
      </c>
      <c r="M306" s="1">
        <v>0</v>
      </c>
      <c r="N306" s="1" t="s">
        <v>480</v>
      </c>
      <c r="O306" s="1" t="s">
        <v>480</v>
      </c>
      <c r="P306" s="1" t="s">
        <v>480</v>
      </c>
      <c r="Q306" s="1" t="s">
        <v>480</v>
      </c>
      <c r="R306" s="1" t="s">
        <v>480</v>
      </c>
      <c r="S306" s="1" t="s">
        <v>480</v>
      </c>
      <c r="T306" s="1" t="s">
        <v>480</v>
      </c>
      <c r="U306" s="1" t="s">
        <v>480</v>
      </c>
      <c r="V306" s="1" t="s">
        <v>480</v>
      </c>
      <c r="W306" s="1" t="s">
        <v>480</v>
      </c>
      <c r="X306" s="1" t="s">
        <v>480</v>
      </c>
      <c r="Y306" s="1" t="s">
        <v>480</v>
      </c>
      <c r="Z306" s="1" t="s">
        <v>480</v>
      </c>
      <c r="AA306" s="1" t="s">
        <v>480</v>
      </c>
      <c r="AB306" s="1" t="s">
        <v>480</v>
      </c>
      <c r="AC306" s="1" t="s">
        <v>480</v>
      </c>
      <c r="AD306" s="1" t="s">
        <v>480</v>
      </c>
      <c r="AE306" s="1" t="s">
        <v>480</v>
      </c>
      <c r="AF306" s="1" t="s">
        <v>480</v>
      </c>
      <c r="AG306" s="1" t="s">
        <v>480</v>
      </c>
      <c r="AH306" s="1" t="s">
        <v>480</v>
      </c>
      <c r="AI306" s="1" t="s">
        <v>480</v>
      </c>
      <c r="AJ306" s="1" t="s">
        <v>480</v>
      </c>
      <c r="AK306" s="1" t="s">
        <v>480</v>
      </c>
      <c r="AL306" s="1" t="s">
        <v>480</v>
      </c>
      <c r="AM306" s="1" t="s">
        <v>480</v>
      </c>
      <c r="AN306" s="1" t="s">
        <v>480</v>
      </c>
      <c r="AO306" s="1" t="s">
        <v>480</v>
      </c>
      <c r="AP306" s="1" t="s">
        <v>480</v>
      </c>
      <c r="AQ306" s="1" t="s">
        <v>480</v>
      </c>
      <c r="AR306" s="1" t="s">
        <v>480</v>
      </c>
      <c r="AS306" s="1" t="s">
        <v>480</v>
      </c>
      <c r="AT306" s="1">
        <f t="shared" si="39"/>
        <v>1</v>
      </c>
    </row>
    <row r="307" spans="1:46" x14ac:dyDescent="0.25">
      <c r="A307" s="1">
        <f>COUNTIF('Value Matchup'!$D$356:$D$423,'Team History'!B307)</f>
        <v>0</v>
      </c>
      <c r="B307" t="s">
        <v>55</v>
      </c>
      <c r="C307" s="1">
        <f t="shared" si="32"/>
        <v>1</v>
      </c>
      <c r="D307" s="1">
        <f t="shared" si="33"/>
        <v>0</v>
      </c>
      <c r="E307" s="1">
        <f t="shared" si="34"/>
        <v>0</v>
      </c>
      <c r="F307" s="1">
        <f t="shared" si="35"/>
        <v>0</v>
      </c>
      <c r="G307" s="1">
        <f t="shared" si="36"/>
        <v>0</v>
      </c>
      <c r="H307" s="1">
        <f t="shared" si="37"/>
        <v>0</v>
      </c>
      <c r="I307" s="64">
        <f t="shared" si="38"/>
        <v>4</v>
      </c>
      <c r="K307" s="90">
        <v>1</v>
      </c>
      <c r="L307" s="1" t="s">
        <v>480</v>
      </c>
      <c r="M307" s="1" t="s">
        <v>480</v>
      </c>
      <c r="N307" s="1" t="s">
        <v>480</v>
      </c>
      <c r="O307" s="1">
        <v>0</v>
      </c>
      <c r="P307" s="1" t="s">
        <v>480</v>
      </c>
      <c r="Q307" s="1" t="s">
        <v>480</v>
      </c>
      <c r="R307" s="1" t="s">
        <v>480</v>
      </c>
      <c r="S307" s="1" t="s">
        <v>480</v>
      </c>
      <c r="T307" s="1" t="s">
        <v>480</v>
      </c>
      <c r="U307" s="1" t="s">
        <v>480</v>
      </c>
      <c r="V307" s="1" t="s">
        <v>480</v>
      </c>
      <c r="W307" s="1" t="s">
        <v>480</v>
      </c>
      <c r="X307" s="1" t="s">
        <v>480</v>
      </c>
      <c r="Y307" s="1" t="s">
        <v>480</v>
      </c>
      <c r="Z307" s="1" t="s">
        <v>480</v>
      </c>
      <c r="AA307" s="1" t="s">
        <v>480</v>
      </c>
      <c r="AB307" s="1" t="s">
        <v>480</v>
      </c>
      <c r="AC307" s="1" t="s">
        <v>480</v>
      </c>
      <c r="AD307" s="1" t="s">
        <v>480</v>
      </c>
      <c r="AE307" s="1" t="s">
        <v>480</v>
      </c>
      <c r="AF307" s="1" t="s">
        <v>480</v>
      </c>
      <c r="AG307" s="1" t="s">
        <v>480</v>
      </c>
      <c r="AH307" s="1" t="s">
        <v>480</v>
      </c>
      <c r="AI307" s="1" t="s">
        <v>480</v>
      </c>
      <c r="AJ307" s="1" t="s">
        <v>480</v>
      </c>
      <c r="AK307" s="1" t="s">
        <v>480</v>
      </c>
      <c r="AL307" s="1" t="s">
        <v>480</v>
      </c>
      <c r="AM307" s="1" t="s">
        <v>480</v>
      </c>
      <c r="AN307" s="1" t="s">
        <v>480</v>
      </c>
      <c r="AO307" s="1" t="s">
        <v>480</v>
      </c>
      <c r="AP307" s="1" t="s">
        <v>480</v>
      </c>
      <c r="AQ307" s="1" t="s">
        <v>480</v>
      </c>
      <c r="AR307" s="1" t="s">
        <v>480</v>
      </c>
      <c r="AS307" s="1" t="s">
        <v>480</v>
      </c>
      <c r="AT307" s="1">
        <f t="shared" si="39"/>
        <v>2</v>
      </c>
    </row>
    <row r="308" spans="1:46" x14ac:dyDescent="0.25">
      <c r="A308" s="1">
        <f>COUNTIF('Value Matchup'!$D$356:$D$423,'Team History'!B308)</f>
        <v>0</v>
      </c>
      <c r="B308" t="s">
        <v>387</v>
      </c>
      <c r="C308" s="1">
        <f t="shared" si="32"/>
        <v>0</v>
      </c>
      <c r="D308" s="1">
        <f t="shared" si="33"/>
        <v>0</v>
      </c>
      <c r="E308" s="1">
        <f t="shared" si="34"/>
        <v>0</v>
      </c>
      <c r="F308" s="1">
        <f t="shared" si="35"/>
        <v>0</v>
      </c>
      <c r="G308" s="1">
        <f t="shared" si="36"/>
        <v>0</v>
      </c>
      <c r="H308" s="1">
        <f t="shared" si="37"/>
        <v>0</v>
      </c>
      <c r="I308" s="64">
        <f t="shared" si="38"/>
        <v>0</v>
      </c>
      <c r="K308" s="90" t="s">
        <v>480</v>
      </c>
      <c r="L308" s="1" t="s">
        <v>480</v>
      </c>
      <c r="M308" s="1" t="s">
        <v>480</v>
      </c>
      <c r="N308" s="1" t="s">
        <v>480</v>
      </c>
      <c r="O308" s="1" t="s">
        <v>480</v>
      </c>
      <c r="P308" s="1" t="s">
        <v>480</v>
      </c>
      <c r="Q308" s="1" t="s">
        <v>480</v>
      </c>
      <c r="R308" s="1" t="s">
        <v>480</v>
      </c>
      <c r="S308" s="1" t="s">
        <v>480</v>
      </c>
      <c r="T308" s="1" t="s">
        <v>480</v>
      </c>
      <c r="U308" s="1" t="s">
        <v>480</v>
      </c>
      <c r="V308" s="1" t="s">
        <v>480</v>
      </c>
      <c r="W308" s="1" t="s">
        <v>480</v>
      </c>
      <c r="X308" s="1" t="s">
        <v>480</v>
      </c>
      <c r="Y308" s="1" t="s">
        <v>480</v>
      </c>
      <c r="Z308" s="1" t="s">
        <v>480</v>
      </c>
      <c r="AA308" s="1" t="s">
        <v>480</v>
      </c>
      <c r="AB308" s="1" t="s">
        <v>480</v>
      </c>
      <c r="AC308" s="1" t="s">
        <v>480</v>
      </c>
      <c r="AD308" s="1" t="s">
        <v>480</v>
      </c>
      <c r="AE308" s="1" t="s">
        <v>480</v>
      </c>
      <c r="AF308" s="1" t="s">
        <v>480</v>
      </c>
      <c r="AG308" s="1" t="s">
        <v>480</v>
      </c>
      <c r="AH308" s="1" t="s">
        <v>480</v>
      </c>
      <c r="AI308" s="1" t="s">
        <v>480</v>
      </c>
      <c r="AJ308" s="1" t="s">
        <v>480</v>
      </c>
      <c r="AK308" s="1" t="s">
        <v>480</v>
      </c>
      <c r="AL308" s="1" t="s">
        <v>480</v>
      </c>
      <c r="AM308" s="1" t="s">
        <v>480</v>
      </c>
      <c r="AN308" s="1" t="s">
        <v>480</v>
      </c>
      <c r="AO308" s="1" t="s">
        <v>480</v>
      </c>
      <c r="AP308" s="1" t="s">
        <v>480</v>
      </c>
      <c r="AQ308" s="1" t="s">
        <v>480</v>
      </c>
      <c r="AR308" s="1" t="s">
        <v>480</v>
      </c>
      <c r="AS308" s="1" t="s">
        <v>480</v>
      </c>
      <c r="AT308" s="1">
        <f t="shared" si="39"/>
        <v>0</v>
      </c>
    </row>
    <row r="309" spans="1:46" x14ac:dyDescent="0.25">
      <c r="A309" s="1">
        <f>COUNTIF('Value Matchup'!$D$356:$D$423,'Team History'!B309)</f>
        <v>1</v>
      </c>
      <c r="B309" t="s">
        <v>388</v>
      </c>
      <c r="C309" s="1">
        <f t="shared" si="32"/>
        <v>1</v>
      </c>
      <c r="D309" s="1">
        <f t="shared" si="33"/>
        <v>0</v>
      </c>
      <c r="E309" s="1">
        <f t="shared" si="34"/>
        <v>0</v>
      </c>
      <c r="F309" s="1">
        <f t="shared" si="35"/>
        <v>0</v>
      </c>
      <c r="G309" s="1">
        <f t="shared" si="36"/>
        <v>0</v>
      </c>
      <c r="H309" s="1">
        <f t="shared" si="37"/>
        <v>0</v>
      </c>
      <c r="I309" s="64">
        <f t="shared" si="38"/>
        <v>6</v>
      </c>
      <c r="K309" s="90" t="s">
        <v>480</v>
      </c>
      <c r="L309" s="1" t="s">
        <v>480</v>
      </c>
      <c r="M309" s="1" t="s">
        <v>480</v>
      </c>
      <c r="N309" s="1" t="s">
        <v>480</v>
      </c>
      <c r="O309" s="1" t="s">
        <v>480</v>
      </c>
      <c r="P309" s="1" t="s">
        <v>480</v>
      </c>
      <c r="Q309" s="1" t="s">
        <v>480</v>
      </c>
      <c r="R309" s="1" t="s">
        <v>480</v>
      </c>
      <c r="S309" s="1">
        <v>0</v>
      </c>
      <c r="T309" s="1">
        <v>0</v>
      </c>
      <c r="U309" s="1" t="s">
        <v>480</v>
      </c>
      <c r="V309" s="1" t="s">
        <v>480</v>
      </c>
      <c r="W309" s="1" t="s">
        <v>480</v>
      </c>
      <c r="X309" s="1" t="s">
        <v>480</v>
      </c>
      <c r="Y309" s="1" t="s">
        <v>480</v>
      </c>
      <c r="Z309" s="1" t="s">
        <v>480</v>
      </c>
      <c r="AA309" s="1" t="s">
        <v>480</v>
      </c>
      <c r="AB309" s="1">
        <v>0</v>
      </c>
      <c r="AC309" s="1" t="s">
        <v>480</v>
      </c>
      <c r="AD309" s="1" t="s">
        <v>480</v>
      </c>
      <c r="AE309" s="1" t="s">
        <v>480</v>
      </c>
      <c r="AF309" s="1" t="s">
        <v>480</v>
      </c>
      <c r="AG309" s="1" t="s">
        <v>480</v>
      </c>
      <c r="AH309" s="1" t="s">
        <v>480</v>
      </c>
      <c r="AI309" s="1" t="s">
        <v>480</v>
      </c>
      <c r="AJ309" s="1" t="s">
        <v>480</v>
      </c>
      <c r="AK309" s="1" t="s">
        <v>480</v>
      </c>
      <c r="AL309" s="1" t="s">
        <v>480</v>
      </c>
      <c r="AM309" s="1" t="s">
        <v>480</v>
      </c>
      <c r="AN309" s="1">
        <v>1</v>
      </c>
      <c r="AO309" s="1" t="s">
        <v>480</v>
      </c>
      <c r="AP309" s="1">
        <v>0</v>
      </c>
      <c r="AQ309" s="1" t="s">
        <v>480</v>
      </c>
      <c r="AR309" s="1" t="s">
        <v>480</v>
      </c>
      <c r="AS309" s="1" t="s">
        <v>480</v>
      </c>
      <c r="AT309" s="1">
        <f t="shared" si="39"/>
        <v>5</v>
      </c>
    </row>
    <row r="310" spans="1:46" x14ac:dyDescent="0.25">
      <c r="A310" s="1">
        <f>COUNTIF('Value Matchup'!$D$356:$D$423,'Team History'!B310)</f>
        <v>0</v>
      </c>
      <c r="B310" t="s">
        <v>389</v>
      </c>
      <c r="C310" s="1">
        <f t="shared" si="32"/>
        <v>1</v>
      </c>
      <c r="D310" s="1">
        <f t="shared" si="33"/>
        <v>0</v>
      </c>
      <c r="E310" s="1">
        <f t="shared" si="34"/>
        <v>0</v>
      </c>
      <c r="F310" s="1">
        <f t="shared" si="35"/>
        <v>0</v>
      </c>
      <c r="G310" s="1">
        <f t="shared" si="36"/>
        <v>0</v>
      </c>
      <c r="H310" s="1">
        <f t="shared" si="37"/>
        <v>0</v>
      </c>
      <c r="I310" s="64">
        <f t="shared" si="38"/>
        <v>7</v>
      </c>
      <c r="K310" s="90">
        <v>1</v>
      </c>
      <c r="L310" s="1" t="s">
        <v>480</v>
      </c>
      <c r="M310" s="1" t="s">
        <v>480</v>
      </c>
      <c r="N310" s="1" t="s">
        <v>480</v>
      </c>
      <c r="O310" s="1" t="s">
        <v>480</v>
      </c>
      <c r="P310" s="1" t="s">
        <v>480</v>
      </c>
      <c r="Q310" s="1" t="s">
        <v>480</v>
      </c>
      <c r="R310" s="1" t="s">
        <v>480</v>
      </c>
      <c r="S310" s="1" t="s">
        <v>480</v>
      </c>
      <c r="T310" s="1" t="s">
        <v>480</v>
      </c>
      <c r="U310" s="1" t="s">
        <v>480</v>
      </c>
      <c r="V310" s="1" t="s">
        <v>480</v>
      </c>
      <c r="W310" s="1" t="s">
        <v>480</v>
      </c>
      <c r="X310" s="1" t="s">
        <v>480</v>
      </c>
      <c r="Y310" s="1">
        <v>0</v>
      </c>
      <c r="Z310" s="1">
        <v>0</v>
      </c>
      <c r="AA310" s="1" t="s">
        <v>480</v>
      </c>
      <c r="AB310" s="1" t="s">
        <v>480</v>
      </c>
      <c r="AC310" s="1" t="s">
        <v>480</v>
      </c>
      <c r="AD310" s="1" t="s">
        <v>480</v>
      </c>
      <c r="AE310" s="1" t="s">
        <v>480</v>
      </c>
      <c r="AF310" s="1" t="s">
        <v>480</v>
      </c>
      <c r="AG310" s="1" t="s">
        <v>480</v>
      </c>
      <c r="AH310" s="1">
        <v>0</v>
      </c>
      <c r="AI310" s="1" t="s">
        <v>480</v>
      </c>
      <c r="AJ310" s="1">
        <v>0</v>
      </c>
      <c r="AK310" s="1" t="s">
        <v>480</v>
      </c>
      <c r="AL310" s="1" t="s">
        <v>480</v>
      </c>
      <c r="AM310" s="1" t="s">
        <v>480</v>
      </c>
      <c r="AN310" s="1" t="s">
        <v>480</v>
      </c>
      <c r="AO310" s="1" t="s">
        <v>480</v>
      </c>
      <c r="AP310" s="1" t="s">
        <v>480</v>
      </c>
      <c r="AQ310" s="1" t="s">
        <v>480</v>
      </c>
      <c r="AR310" s="1" t="s">
        <v>480</v>
      </c>
      <c r="AS310" s="1" t="s">
        <v>480</v>
      </c>
      <c r="AT310" s="1">
        <f t="shared" si="39"/>
        <v>5</v>
      </c>
    </row>
    <row r="311" spans="1:46" x14ac:dyDescent="0.25">
      <c r="A311" s="1">
        <f>COUNTIF('Value Matchup'!$D$356:$D$423,'Team History'!B311)</f>
        <v>1</v>
      </c>
      <c r="B311" t="s">
        <v>67</v>
      </c>
      <c r="C311" s="1">
        <f t="shared" si="32"/>
        <v>18</v>
      </c>
      <c r="D311" s="1">
        <f t="shared" si="33"/>
        <v>13</v>
      </c>
      <c r="E311" s="1">
        <f t="shared" si="34"/>
        <v>5</v>
      </c>
      <c r="F311" s="1">
        <f t="shared" si="35"/>
        <v>3</v>
      </c>
      <c r="G311" s="1">
        <f t="shared" si="36"/>
        <v>1</v>
      </c>
      <c r="H311" s="1">
        <f t="shared" si="37"/>
        <v>0</v>
      </c>
      <c r="I311" s="64">
        <f t="shared" si="38"/>
        <v>72</v>
      </c>
      <c r="K311" s="90" t="s">
        <v>480</v>
      </c>
      <c r="L311" s="1">
        <v>0</v>
      </c>
      <c r="M311" s="1">
        <v>2</v>
      </c>
      <c r="N311" s="1" t="s">
        <v>480</v>
      </c>
      <c r="O311" s="1">
        <v>2</v>
      </c>
      <c r="P311" s="1">
        <v>2</v>
      </c>
      <c r="Q311" s="1">
        <v>0</v>
      </c>
      <c r="R311" s="1" t="s">
        <v>480</v>
      </c>
      <c r="S311" s="1">
        <v>1</v>
      </c>
      <c r="T311" s="1" t="s">
        <v>480</v>
      </c>
      <c r="U311" s="1">
        <v>1</v>
      </c>
      <c r="V311" s="1">
        <v>4</v>
      </c>
      <c r="W311" s="1">
        <v>4</v>
      </c>
      <c r="X311" s="1">
        <v>5</v>
      </c>
      <c r="Y311" s="1">
        <v>0</v>
      </c>
      <c r="Z311" s="1" t="s">
        <v>480</v>
      </c>
      <c r="AA311" s="1" t="s">
        <v>480</v>
      </c>
      <c r="AB311" s="1">
        <v>2</v>
      </c>
      <c r="AC311" s="1">
        <v>2</v>
      </c>
      <c r="AD311" s="1">
        <v>2</v>
      </c>
      <c r="AE311" s="1">
        <v>0</v>
      </c>
      <c r="AF311" s="1">
        <v>2</v>
      </c>
      <c r="AG311" s="1">
        <v>3</v>
      </c>
      <c r="AH311" s="1">
        <v>0</v>
      </c>
      <c r="AI311" s="1" t="s">
        <v>480</v>
      </c>
      <c r="AJ311" s="1">
        <v>0</v>
      </c>
      <c r="AK311" s="1">
        <v>1</v>
      </c>
      <c r="AL311" s="1">
        <v>3</v>
      </c>
      <c r="AM311" s="1">
        <v>0</v>
      </c>
      <c r="AN311" s="1">
        <v>2</v>
      </c>
      <c r="AO311" s="1">
        <v>1</v>
      </c>
      <c r="AP311" s="1" t="s">
        <v>480</v>
      </c>
      <c r="AQ311" s="1">
        <v>1</v>
      </c>
      <c r="AR311" s="1" t="s">
        <v>480</v>
      </c>
      <c r="AS311" s="1" t="s">
        <v>480</v>
      </c>
      <c r="AT311" s="1">
        <f t="shared" si="39"/>
        <v>25</v>
      </c>
    </row>
    <row r="312" spans="1:46" x14ac:dyDescent="0.25">
      <c r="A312" s="1">
        <f>COUNTIF('Value Matchup'!$D$356:$D$423,'Team History'!B312)</f>
        <v>0</v>
      </c>
      <c r="B312" t="s">
        <v>390</v>
      </c>
      <c r="C312" s="1">
        <f t="shared" si="32"/>
        <v>0</v>
      </c>
      <c r="D312" s="1">
        <f t="shared" si="33"/>
        <v>0</v>
      </c>
      <c r="E312" s="1">
        <f t="shared" si="34"/>
        <v>0</v>
      </c>
      <c r="F312" s="1">
        <f t="shared" si="35"/>
        <v>0</v>
      </c>
      <c r="G312" s="1">
        <f t="shared" si="36"/>
        <v>0</v>
      </c>
      <c r="H312" s="1">
        <f t="shared" si="37"/>
        <v>0</v>
      </c>
      <c r="I312" s="64">
        <f t="shared" si="38"/>
        <v>0</v>
      </c>
      <c r="K312" s="90" t="s">
        <v>480</v>
      </c>
      <c r="L312" s="1" t="s">
        <v>480</v>
      </c>
      <c r="M312" s="1" t="s">
        <v>480</v>
      </c>
      <c r="N312" s="1" t="s">
        <v>480</v>
      </c>
      <c r="O312" s="1" t="s">
        <v>480</v>
      </c>
      <c r="P312" s="1" t="s">
        <v>480</v>
      </c>
      <c r="Q312" s="1" t="s">
        <v>480</v>
      </c>
      <c r="R312" s="1" t="s">
        <v>480</v>
      </c>
      <c r="S312" s="1" t="s">
        <v>480</v>
      </c>
      <c r="T312" s="1" t="s">
        <v>480</v>
      </c>
      <c r="U312" s="1" t="s">
        <v>480</v>
      </c>
      <c r="V312" s="1" t="s">
        <v>480</v>
      </c>
      <c r="W312" s="1" t="s">
        <v>480</v>
      </c>
      <c r="X312" s="1" t="s">
        <v>480</v>
      </c>
      <c r="Y312" s="1" t="s">
        <v>480</v>
      </c>
      <c r="Z312" s="1" t="s">
        <v>480</v>
      </c>
      <c r="AA312" s="1" t="s">
        <v>480</v>
      </c>
      <c r="AB312" s="1" t="s">
        <v>480</v>
      </c>
      <c r="AC312" s="1" t="s">
        <v>480</v>
      </c>
      <c r="AD312" s="1" t="s">
        <v>480</v>
      </c>
      <c r="AE312" s="1" t="s">
        <v>480</v>
      </c>
      <c r="AF312" s="1" t="s">
        <v>480</v>
      </c>
      <c r="AG312" s="1" t="s">
        <v>480</v>
      </c>
      <c r="AH312" s="1" t="s">
        <v>480</v>
      </c>
      <c r="AI312" s="1" t="s">
        <v>480</v>
      </c>
      <c r="AJ312" s="1" t="s">
        <v>480</v>
      </c>
      <c r="AK312" s="1" t="s">
        <v>480</v>
      </c>
      <c r="AL312" s="1" t="s">
        <v>480</v>
      </c>
      <c r="AM312" s="1" t="s">
        <v>480</v>
      </c>
      <c r="AN312" s="1" t="s">
        <v>480</v>
      </c>
      <c r="AO312" s="1" t="s">
        <v>480</v>
      </c>
      <c r="AP312" s="1" t="s">
        <v>480</v>
      </c>
      <c r="AQ312" s="1" t="s">
        <v>480</v>
      </c>
      <c r="AR312" s="1" t="s">
        <v>480</v>
      </c>
      <c r="AS312" s="1" t="s">
        <v>480</v>
      </c>
      <c r="AT312" s="1">
        <f t="shared" si="39"/>
        <v>0</v>
      </c>
    </row>
    <row r="313" spans="1:46" x14ac:dyDescent="0.25">
      <c r="A313" s="1">
        <f>COUNTIF('Value Matchup'!$D$356:$D$423,'Team History'!B313)</f>
        <v>0</v>
      </c>
      <c r="B313" t="s">
        <v>391</v>
      </c>
      <c r="C313" s="1">
        <f t="shared" si="32"/>
        <v>1</v>
      </c>
      <c r="D313" s="1">
        <f t="shared" si="33"/>
        <v>0</v>
      </c>
      <c r="E313" s="1">
        <f t="shared" si="34"/>
        <v>0</v>
      </c>
      <c r="F313" s="1">
        <f t="shared" si="35"/>
        <v>0</v>
      </c>
      <c r="G313" s="1">
        <f t="shared" si="36"/>
        <v>0</v>
      </c>
      <c r="H313" s="1">
        <f t="shared" si="37"/>
        <v>0</v>
      </c>
      <c r="I313" s="64">
        <f t="shared" si="38"/>
        <v>4</v>
      </c>
      <c r="K313" s="90" t="s">
        <v>480</v>
      </c>
      <c r="L313" s="1">
        <v>1</v>
      </c>
      <c r="M313" s="1" t="s">
        <v>480</v>
      </c>
      <c r="N313" s="1" t="s">
        <v>480</v>
      </c>
      <c r="O313" s="1" t="s">
        <v>480</v>
      </c>
      <c r="P313" s="1" t="s">
        <v>480</v>
      </c>
      <c r="Q313" s="1" t="s">
        <v>480</v>
      </c>
      <c r="R313" s="1" t="s">
        <v>480</v>
      </c>
      <c r="S313" s="1" t="s">
        <v>480</v>
      </c>
      <c r="T313" s="1" t="s">
        <v>480</v>
      </c>
      <c r="U313" s="1" t="s">
        <v>480</v>
      </c>
      <c r="V313" s="1">
        <v>0</v>
      </c>
      <c r="W313" s="1" t="s">
        <v>480</v>
      </c>
      <c r="X313" s="1" t="s">
        <v>480</v>
      </c>
      <c r="Y313" s="1" t="s">
        <v>480</v>
      </c>
      <c r="Z313" s="1" t="s">
        <v>480</v>
      </c>
      <c r="AA313" s="1" t="s">
        <v>480</v>
      </c>
      <c r="AB313" s="1" t="s">
        <v>480</v>
      </c>
      <c r="AC313" s="1" t="s">
        <v>480</v>
      </c>
      <c r="AD313" s="1" t="s">
        <v>480</v>
      </c>
      <c r="AE313" s="1" t="s">
        <v>480</v>
      </c>
      <c r="AF313" s="1" t="s">
        <v>480</v>
      </c>
      <c r="AG313" s="1" t="s">
        <v>480</v>
      </c>
      <c r="AH313" s="1" t="s">
        <v>480</v>
      </c>
      <c r="AI313" s="1" t="s">
        <v>480</v>
      </c>
      <c r="AJ313" s="1" t="s">
        <v>480</v>
      </c>
      <c r="AK313" s="1" t="s">
        <v>480</v>
      </c>
      <c r="AL313" s="1" t="s">
        <v>480</v>
      </c>
      <c r="AM313" s="1" t="s">
        <v>480</v>
      </c>
      <c r="AN313" s="1" t="s">
        <v>480</v>
      </c>
      <c r="AO313" s="1" t="s">
        <v>480</v>
      </c>
      <c r="AP313" s="1" t="s">
        <v>480</v>
      </c>
      <c r="AQ313" s="1" t="s">
        <v>480</v>
      </c>
      <c r="AR313" s="1" t="s">
        <v>480</v>
      </c>
      <c r="AS313" s="1" t="s">
        <v>480</v>
      </c>
      <c r="AT313" s="1">
        <f t="shared" si="39"/>
        <v>2</v>
      </c>
    </row>
    <row r="314" spans="1:46" x14ac:dyDescent="0.25">
      <c r="A314" s="1">
        <f>COUNTIF('Value Matchup'!$D$356:$D$423,'Team History'!B314)</f>
        <v>0</v>
      </c>
      <c r="B314" t="s">
        <v>392</v>
      </c>
      <c r="C314" s="1">
        <f t="shared" si="32"/>
        <v>0</v>
      </c>
      <c r="D314" s="1">
        <f t="shared" si="33"/>
        <v>0</v>
      </c>
      <c r="E314" s="1">
        <f t="shared" si="34"/>
        <v>0</v>
      </c>
      <c r="F314" s="1">
        <f t="shared" si="35"/>
        <v>0</v>
      </c>
      <c r="G314" s="1">
        <f t="shared" si="36"/>
        <v>0</v>
      </c>
      <c r="H314" s="1">
        <f t="shared" si="37"/>
        <v>0</v>
      </c>
      <c r="I314" s="64">
        <f t="shared" si="38"/>
        <v>0</v>
      </c>
      <c r="K314" s="90" t="s">
        <v>480</v>
      </c>
      <c r="L314" s="1" t="s">
        <v>480</v>
      </c>
      <c r="M314" s="1" t="s">
        <v>480</v>
      </c>
      <c r="N314" s="1" t="s">
        <v>480</v>
      </c>
      <c r="O314" s="1" t="s">
        <v>480</v>
      </c>
      <c r="P314" s="1" t="s">
        <v>480</v>
      </c>
      <c r="Q314" s="1" t="s">
        <v>480</v>
      </c>
      <c r="R314" s="1" t="s">
        <v>480</v>
      </c>
      <c r="S314" s="1" t="s">
        <v>480</v>
      </c>
      <c r="T314" s="1" t="s">
        <v>480</v>
      </c>
      <c r="U314" s="1" t="s">
        <v>480</v>
      </c>
      <c r="V314" s="1" t="s">
        <v>480</v>
      </c>
      <c r="W314" s="1" t="s">
        <v>480</v>
      </c>
      <c r="X314" s="1" t="s">
        <v>480</v>
      </c>
      <c r="Y314" s="1" t="s">
        <v>480</v>
      </c>
      <c r="Z314" s="1" t="s">
        <v>480</v>
      </c>
      <c r="AA314" s="1" t="s">
        <v>480</v>
      </c>
      <c r="AB314" s="1" t="s">
        <v>480</v>
      </c>
      <c r="AC314" s="1" t="s">
        <v>480</v>
      </c>
      <c r="AD314" s="1" t="s">
        <v>480</v>
      </c>
      <c r="AE314" s="1" t="s">
        <v>480</v>
      </c>
      <c r="AF314" s="1" t="s">
        <v>480</v>
      </c>
      <c r="AG314" s="1" t="s">
        <v>480</v>
      </c>
      <c r="AH314" s="1" t="s">
        <v>480</v>
      </c>
      <c r="AI314" s="1" t="s">
        <v>480</v>
      </c>
      <c r="AJ314" s="1" t="s">
        <v>480</v>
      </c>
      <c r="AK314" s="1" t="s">
        <v>480</v>
      </c>
      <c r="AL314" s="1" t="s">
        <v>480</v>
      </c>
      <c r="AM314" s="1" t="s">
        <v>480</v>
      </c>
      <c r="AN314" s="1" t="s">
        <v>480</v>
      </c>
      <c r="AO314" s="1" t="s">
        <v>480</v>
      </c>
      <c r="AP314" s="1" t="s">
        <v>480</v>
      </c>
      <c r="AQ314" s="1" t="s">
        <v>480</v>
      </c>
      <c r="AR314" s="1" t="s">
        <v>480</v>
      </c>
      <c r="AS314" s="1" t="s">
        <v>480</v>
      </c>
      <c r="AT314" s="1">
        <f t="shared" si="39"/>
        <v>0</v>
      </c>
    </row>
    <row r="315" spans="1:46" x14ac:dyDescent="0.25">
      <c r="A315" s="1">
        <f>COUNTIF('Value Matchup'!$D$356:$D$423,'Team History'!B315)</f>
        <v>0</v>
      </c>
      <c r="B315" t="s">
        <v>393</v>
      </c>
      <c r="C315" s="1">
        <f t="shared" si="32"/>
        <v>0</v>
      </c>
      <c r="D315" s="1">
        <f t="shared" si="33"/>
        <v>0</v>
      </c>
      <c r="E315" s="1">
        <f t="shared" si="34"/>
        <v>0</v>
      </c>
      <c r="F315" s="1">
        <f t="shared" si="35"/>
        <v>0</v>
      </c>
      <c r="G315" s="1">
        <f t="shared" si="36"/>
        <v>0</v>
      </c>
      <c r="H315" s="1">
        <f t="shared" si="37"/>
        <v>0</v>
      </c>
      <c r="I315" s="64">
        <f t="shared" si="38"/>
        <v>4</v>
      </c>
      <c r="K315" s="90" t="s">
        <v>480</v>
      </c>
      <c r="L315" s="1" t="s">
        <v>480</v>
      </c>
      <c r="M315" s="1" t="s">
        <v>480</v>
      </c>
      <c r="N315" s="1">
        <v>0</v>
      </c>
      <c r="O315" s="1" t="s">
        <v>480</v>
      </c>
      <c r="P315" s="1" t="s">
        <v>480</v>
      </c>
      <c r="Q315" s="1" t="s">
        <v>480</v>
      </c>
      <c r="R315" s="1">
        <v>0</v>
      </c>
      <c r="S315" s="1">
        <v>0</v>
      </c>
      <c r="T315" s="1" t="s">
        <v>480</v>
      </c>
      <c r="U315" s="1" t="s">
        <v>480</v>
      </c>
      <c r="V315" s="1" t="s">
        <v>480</v>
      </c>
      <c r="W315" s="1" t="s">
        <v>480</v>
      </c>
      <c r="X315" s="1" t="s">
        <v>480</v>
      </c>
      <c r="Y315" s="1" t="s">
        <v>480</v>
      </c>
      <c r="Z315" s="1" t="s">
        <v>480</v>
      </c>
      <c r="AA315" s="1">
        <v>0</v>
      </c>
      <c r="AB315" s="1" t="s">
        <v>480</v>
      </c>
      <c r="AC315" s="1" t="s">
        <v>480</v>
      </c>
      <c r="AD315" s="1" t="s">
        <v>480</v>
      </c>
      <c r="AE315" s="1" t="s">
        <v>480</v>
      </c>
      <c r="AF315" s="1" t="s">
        <v>480</v>
      </c>
      <c r="AG315" s="1" t="s">
        <v>480</v>
      </c>
      <c r="AH315" s="1" t="s">
        <v>480</v>
      </c>
      <c r="AI315" s="1" t="s">
        <v>480</v>
      </c>
      <c r="AJ315" s="1" t="s">
        <v>480</v>
      </c>
      <c r="AK315" s="1" t="s">
        <v>480</v>
      </c>
      <c r="AL315" s="1" t="s">
        <v>480</v>
      </c>
      <c r="AM315" s="1" t="s">
        <v>480</v>
      </c>
      <c r="AN315" s="1" t="s">
        <v>480</v>
      </c>
      <c r="AO315" s="1" t="s">
        <v>480</v>
      </c>
      <c r="AP315" s="1" t="s">
        <v>480</v>
      </c>
      <c r="AQ315" s="1" t="s">
        <v>480</v>
      </c>
      <c r="AR315" s="1" t="s">
        <v>480</v>
      </c>
      <c r="AS315" s="1" t="s">
        <v>480</v>
      </c>
      <c r="AT315" s="1">
        <f t="shared" si="39"/>
        <v>4</v>
      </c>
    </row>
    <row r="316" spans="1:46" x14ac:dyDescent="0.25">
      <c r="A316" s="1">
        <f>COUNTIF('Value Matchup'!$D$356:$D$423,'Team History'!B316)</f>
        <v>1</v>
      </c>
      <c r="B316" t="s">
        <v>394</v>
      </c>
      <c r="C316" s="1">
        <f t="shared" si="32"/>
        <v>0</v>
      </c>
      <c r="D316" s="1">
        <f t="shared" si="33"/>
        <v>0</v>
      </c>
      <c r="E316" s="1">
        <f t="shared" si="34"/>
        <v>0</v>
      </c>
      <c r="F316" s="1">
        <f t="shared" si="35"/>
        <v>0</v>
      </c>
      <c r="G316" s="1">
        <f t="shared" si="36"/>
        <v>0</v>
      </c>
      <c r="H316" s="1">
        <f t="shared" si="37"/>
        <v>0</v>
      </c>
      <c r="I316" s="64">
        <f t="shared" si="38"/>
        <v>3</v>
      </c>
      <c r="K316" s="90" t="s">
        <v>480</v>
      </c>
      <c r="L316" s="1">
        <v>0</v>
      </c>
      <c r="M316" s="1" t="s">
        <v>480</v>
      </c>
      <c r="N316" s="1" t="s">
        <v>480</v>
      </c>
      <c r="O316" s="1" t="s">
        <v>480</v>
      </c>
      <c r="P316" s="1" t="s">
        <v>480</v>
      </c>
      <c r="Q316" s="1" t="s">
        <v>480</v>
      </c>
      <c r="R316" s="1" t="s">
        <v>480</v>
      </c>
      <c r="S316" s="1" t="s">
        <v>480</v>
      </c>
      <c r="T316" s="1" t="s">
        <v>480</v>
      </c>
      <c r="U316" s="1" t="s">
        <v>480</v>
      </c>
      <c r="V316" s="1" t="s">
        <v>480</v>
      </c>
      <c r="W316" s="1" t="s">
        <v>480</v>
      </c>
      <c r="X316" s="1" t="s">
        <v>480</v>
      </c>
      <c r="Y316" s="1" t="s">
        <v>480</v>
      </c>
      <c r="Z316" s="1" t="s">
        <v>480</v>
      </c>
      <c r="AA316" s="1" t="s">
        <v>480</v>
      </c>
      <c r="AB316" s="1" t="s">
        <v>480</v>
      </c>
      <c r="AC316" s="1">
        <v>0</v>
      </c>
      <c r="AD316" s="1" t="s">
        <v>480</v>
      </c>
      <c r="AE316" s="1" t="s">
        <v>480</v>
      </c>
      <c r="AF316" s="1" t="s">
        <v>480</v>
      </c>
      <c r="AG316" s="1" t="s">
        <v>480</v>
      </c>
      <c r="AH316" s="1">
        <v>0</v>
      </c>
      <c r="AI316" s="1" t="s">
        <v>480</v>
      </c>
      <c r="AJ316" s="1" t="s">
        <v>480</v>
      </c>
      <c r="AK316" s="1" t="s">
        <v>480</v>
      </c>
      <c r="AL316" s="1" t="s">
        <v>480</v>
      </c>
      <c r="AM316" s="1" t="s">
        <v>480</v>
      </c>
      <c r="AN316" s="1" t="s">
        <v>480</v>
      </c>
      <c r="AO316" s="1" t="s">
        <v>480</v>
      </c>
      <c r="AP316" s="1" t="s">
        <v>480</v>
      </c>
      <c r="AQ316" s="1" t="s">
        <v>480</v>
      </c>
      <c r="AR316" s="1" t="s">
        <v>480</v>
      </c>
      <c r="AS316" s="1" t="s">
        <v>480</v>
      </c>
      <c r="AT316" s="1">
        <f t="shared" si="39"/>
        <v>3</v>
      </c>
    </row>
    <row r="317" spans="1:46" x14ac:dyDescent="0.25">
      <c r="A317" s="1">
        <f>COUNTIF('Value Matchup'!$D$356:$D$423,'Team History'!B317)</f>
        <v>0</v>
      </c>
      <c r="B317" t="s">
        <v>395</v>
      </c>
      <c r="C317" s="1">
        <f t="shared" si="32"/>
        <v>1</v>
      </c>
      <c r="D317" s="1">
        <f t="shared" si="33"/>
        <v>0</v>
      </c>
      <c r="E317" s="1">
        <f t="shared" si="34"/>
        <v>0</v>
      </c>
      <c r="F317" s="1">
        <f t="shared" si="35"/>
        <v>0</v>
      </c>
      <c r="G317" s="1">
        <f t="shared" si="36"/>
        <v>0</v>
      </c>
      <c r="H317" s="1">
        <f t="shared" si="37"/>
        <v>0</v>
      </c>
      <c r="I317" s="64">
        <f t="shared" si="38"/>
        <v>7</v>
      </c>
      <c r="K317" s="90" t="s">
        <v>480</v>
      </c>
      <c r="L317" s="1" t="s">
        <v>480</v>
      </c>
      <c r="M317" s="1">
        <v>0</v>
      </c>
      <c r="N317" s="1">
        <v>0</v>
      </c>
      <c r="O317" s="1" t="s">
        <v>480</v>
      </c>
      <c r="P317" s="1" t="s">
        <v>480</v>
      </c>
      <c r="Q317" s="1" t="s">
        <v>480</v>
      </c>
      <c r="R317" s="1" t="s">
        <v>480</v>
      </c>
      <c r="S317" s="1" t="s">
        <v>480</v>
      </c>
      <c r="T317" s="1" t="s">
        <v>480</v>
      </c>
      <c r="U317" s="1" t="s">
        <v>480</v>
      </c>
      <c r="V317" s="1" t="s">
        <v>480</v>
      </c>
      <c r="W317" s="1" t="s">
        <v>480</v>
      </c>
      <c r="X317" s="1">
        <v>0</v>
      </c>
      <c r="Y317" s="1" t="s">
        <v>480</v>
      </c>
      <c r="Z317" s="1" t="s">
        <v>480</v>
      </c>
      <c r="AA317" s="1">
        <v>0</v>
      </c>
      <c r="AB317" s="1">
        <v>1</v>
      </c>
      <c r="AC317" s="1" t="s">
        <v>480</v>
      </c>
      <c r="AD317" s="1">
        <v>0</v>
      </c>
      <c r="AE317" s="1" t="s">
        <v>480</v>
      </c>
      <c r="AF317" s="1" t="s">
        <v>480</v>
      </c>
      <c r="AG317" s="1" t="s">
        <v>480</v>
      </c>
      <c r="AH317" s="1" t="s">
        <v>480</v>
      </c>
      <c r="AI317" s="1" t="s">
        <v>480</v>
      </c>
      <c r="AJ317" s="1" t="s">
        <v>480</v>
      </c>
      <c r="AK317" s="1" t="s">
        <v>480</v>
      </c>
      <c r="AL317" s="1" t="s">
        <v>480</v>
      </c>
      <c r="AM317" s="1" t="s">
        <v>480</v>
      </c>
      <c r="AN317" s="1" t="s">
        <v>480</v>
      </c>
      <c r="AO317" s="1" t="s">
        <v>480</v>
      </c>
      <c r="AP317" s="1" t="s">
        <v>480</v>
      </c>
      <c r="AQ317" s="1" t="s">
        <v>480</v>
      </c>
      <c r="AR317" s="1" t="s">
        <v>480</v>
      </c>
      <c r="AS317" s="1" t="s">
        <v>480</v>
      </c>
      <c r="AT317" s="1">
        <f t="shared" si="39"/>
        <v>6</v>
      </c>
    </row>
    <row r="318" spans="1:46" x14ac:dyDescent="0.25">
      <c r="A318" s="1">
        <f>COUNTIF('Value Matchup'!$D$356:$D$423,'Team History'!B318)</f>
        <v>0</v>
      </c>
      <c r="B318" t="s">
        <v>396</v>
      </c>
      <c r="C318" s="1">
        <f t="shared" si="32"/>
        <v>8</v>
      </c>
      <c r="D318" s="1">
        <f t="shared" si="33"/>
        <v>5</v>
      </c>
      <c r="E318" s="1">
        <f t="shared" si="34"/>
        <v>3</v>
      </c>
      <c r="F318" s="1">
        <f t="shared" si="35"/>
        <v>2</v>
      </c>
      <c r="G318" s="1">
        <f t="shared" si="36"/>
        <v>0</v>
      </c>
      <c r="H318" s="1">
        <f t="shared" si="37"/>
        <v>0</v>
      </c>
      <c r="I318" s="64">
        <f t="shared" si="38"/>
        <v>32</v>
      </c>
      <c r="K318" s="90" t="s">
        <v>480</v>
      </c>
      <c r="L318" s="1" t="s">
        <v>480</v>
      </c>
      <c r="M318" s="1" t="s">
        <v>480</v>
      </c>
      <c r="N318" s="1" t="s">
        <v>480</v>
      </c>
      <c r="O318" s="1" t="s">
        <v>480</v>
      </c>
      <c r="P318" s="1" t="s">
        <v>480</v>
      </c>
      <c r="Q318" s="1">
        <v>0</v>
      </c>
      <c r="R318" s="1">
        <v>0</v>
      </c>
      <c r="S318" s="1">
        <v>0</v>
      </c>
      <c r="T318" s="1">
        <v>0</v>
      </c>
      <c r="U318" s="1" t="s">
        <v>480</v>
      </c>
      <c r="V318" s="1">
        <v>1</v>
      </c>
      <c r="W318" s="1">
        <v>2</v>
      </c>
      <c r="X318" s="1" t="s">
        <v>480</v>
      </c>
      <c r="Y318" s="1" t="s">
        <v>480</v>
      </c>
      <c r="Z318" s="1" t="s">
        <v>480</v>
      </c>
      <c r="AA318" s="1" t="s">
        <v>480</v>
      </c>
      <c r="AB318" s="1" t="s">
        <v>480</v>
      </c>
      <c r="AC318" s="1" t="s">
        <v>480</v>
      </c>
      <c r="AD318" s="1">
        <v>0</v>
      </c>
      <c r="AE318" s="1" t="s">
        <v>480</v>
      </c>
      <c r="AF318" s="1">
        <v>0</v>
      </c>
      <c r="AG318" s="1" t="s">
        <v>480</v>
      </c>
      <c r="AH318" s="1" t="s">
        <v>480</v>
      </c>
      <c r="AI318" s="1" t="s">
        <v>480</v>
      </c>
      <c r="AJ318" s="1" t="s">
        <v>480</v>
      </c>
      <c r="AK318" s="1" t="s">
        <v>480</v>
      </c>
      <c r="AL318" s="1" t="s">
        <v>480</v>
      </c>
      <c r="AM318" s="1">
        <v>4</v>
      </c>
      <c r="AN318" s="1" t="s">
        <v>480</v>
      </c>
      <c r="AO318" s="1">
        <v>3</v>
      </c>
      <c r="AP318" s="1">
        <v>1</v>
      </c>
      <c r="AQ318" s="1">
        <v>4</v>
      </c>
      <c r="AR318" s="1">
        <v>2</v>
      </c>
      <c r="AS318" s="1">
        <v>1</v>
      </c>
      <c r="AT318" s="1">
        <f t="shared" si="39"/>
        <v>14</v>
      </c>
    </row>
    <row r="319" spans="1:46" x14ac:dyDescent="0.25">
      <c r="A319" s="1">
        <f>COUNTIF('Value Matchup'!$D$356:$D$423,'Team History'!B319)</f>
        <v>1</v>
      </c>
      <c r="B319" t="s">
        <v>85</v>
      </c>
      <c r="C319" s="1">
        <f t="shared" si="32"/>
        <v>5</v>
      </c>
      <c r="D319" s="1">
        <f t="shared" si="33"/>
        <v>2</v>
      </c>
      <c r="E319" s="1">
        <f t="shared" si="34"/>
        <v>1</v>
      </c>
      <c r="F319" s="1">
        <f t="shared" si="35"/>
        <v>0</v>
      </c>
      <c r="G319" s="1">
        <f t="shared" si="36"/>
        <v>0</v>
      </c>
      <c r="H319" s="1">
        <f t="shared" si="37"/>
        <v>0</v>
      </c>
      <c r="I319" s="64">
        <f t="shared" si="38"/>
        <v>21</v>
      </c>
      <c r="K319" s="90" t="s">
        <v>480</v>
      </c>
      <c r="L319" s="1" t="s">
        <v>480</v>
      </c>
      <c r="M319" s="1">
        <v>1</v>
      </c>
      <c r="N319" s="1">
        <v>0</v>
      </c>
      <c r="O319" s="1" t="s">
        <v>480</v>
      </c>
      <c r="P319" s="1" t="s">
        <v>480</v>
      </c>
      <c r="Q319" s="1" t="s">
        <v>480</v>
      </c>
      <c r="R319" s="1" t="s">
        <v>480</v>
      </c>
      <c r="S319" s="1">
        <v>0</v>
      </c>
      <c r="T319" s="1" t="s">
        <v>480</v>
      </c>
      <c r="U319" s="1">
        <v>1</v>
      </c>
      <c r="V319" s="1">
        <v>0</v>
      </c>
      <c r="W319" s="1">
        <v>2</v>
      </c>
      <c r="X319" s="1" t="s">
        <v>480</v>
      </c>
      <c r="Y319" s="1" t="s">
        <v>480</v>
      </c>
      <c r="Z319" s="1" t="s">
        <v>480</v>
      </c>
      <c r="AA319" s="1" t="s">
        <v>480</v>
      </c>
      <c r="AB319" s="1">
        <v>0</v>
      </c>
      <c r="AC319" s="1">
        <v>3</v>
      </c>
      <c r="AD319" s="1" t="s">
        <v>480</v>
      </c>
      <c r="AE319" s="1" t="s">
        <v>480</v>
      </c>
      <c r="AF319" s="1" t="s">
        <v>480</v>
      </c>
      <c r="AG319" s="1">
        <v>0</v>
      </c>
      <c r="AH319" s="1" t="s">
        <v>480</v>
      </c>
      <c r="AI319" s="1" t="s">
        <v>480</v>
      </c>
      <c r="AJ319" s="1" t="s">
        <v>480</v>
      </c>
      <c r="AK319" s="1" t="s">
        <v>480</v>
      </c>
      <c r="AL319" s="1">
        <v>1</v>
      </c>
      <c r="AM319" s="1">
        <v>0</v>
      </c>
      <c r="AN319" s="1" t="s">
        <v>480</v>
      </c>
      <c r="AO319" s="1" t="s">
        <v>480</v>
      </c>
      <c r="AP319" s="1" t="s">
        <v>480</v>
      </c>
      <c r="AQ319" s="1" t="s">
        <v>480</v>
      </c>
      <c r="AR319" s="1" t="s">
        <v>480</v>
      </c>
      <c r="AS319" s="1">
        <v>0</v>
      </c>
      <c r="AT319" s="1">
        <f t="shared" si="39"/>
        <v>12</v>
      </c>
    </row>
    <row r="320" spans="1:46" x14ac:dyDescent="0.25">
      <c r="A320" s="1">
        <f>COUNTIF('Value Matchup'!$D$356:$D$423,'Team History'!B320)</f>
        <v>0</v>
      </c>
      <c r="B320" t="s">
        <v>397</v>
      </c>
      <c r="C320" s="1">
        <f t="shared" si="32"/>
        <v>0</v>
      </c>
      <c r="D320" s="1">
        <f t="shared" si="33"/>
        <v>0</v>
      </c>
      <c r="E320" s="1">
        <f t="shared" si="34"/>
        <v>0</v>
      </c>
      <c r="F320" s="1">
        <f t="shared" si="35"/>
        <v>0</v>
      </c>
      <c r="G320" s="1">
        <f t="shared" si="36"/>
        <v>0</v>
      </c>
      <c r="H320" s="1">
        <f t="shared" si="37"/>
        <v>0</v>
      </c>
      <c r="I320" s="64">
        <f t="shared" si="38"/>
        <v>0</v>
      </c>
      <c r="K320" s="90" t="s">
        <v>480</v>
      </c>
      <c r="L320" s="1" t="s">
        <v>480</v>
      </c>
      <c r="M320" s="1" t="s">
        <v>480</v>
      </c>
      <c r="N320" s="1" t="s">
        <v>480</v>
      </c>
      <c r="O320" s="1" t="s">
        <v>480</v>
      </c>
      <c r="P320" s="1" t="s">
        <v>480</v>
      </c>
      <c r="Q320" s="1" t="s">
        <v>480</v>
      </c>
      <c r="R320" s="1" t="s">
        <v>480</v>
      </c>
      <c r="S320" s="1" t="s">
        <v>480</v>
      </c>
      <c r="T320" s="1" t="s">
        <v>480</v>
      </c>
      <c r="U320" s="1" t="s">
        <v>480</v>
      </c>
      <c r="V320" s="1" t="s">
        <v>480</v>
      </c>
      <c r="W320" s="1" t="s">
        <v>480</v>
      </c>
      <c r="X320" s="1" t="s">
        <v>480</v>
      </c>
      <c r="Y320" s="1" t="s">
        <v>480</v>
      </c>
      <c r="Z320" s="1" t="s">
        <v>480</v>
      </c>
      <c r="AA320" s="1" t="s">
        <v>480</v>
      </c>
      <c r="AB320" s="1" t="s">
        <v>480</v>
      </c>
      <c r="AC320" s="1" t="s">
        <v>480</v>
      </c>
      <c r="AD320" s="1" t="s">
        <v>480</v>
      </c>
      <c r="AE320" s="1" t="s">
        <v>480</v>
      </c>
      <c r="AF320" s="1" t="s">
        <v>480</v>
      </c>
      <c r="AG320" s="1" t="s">
        <v>480</v>
      </c>
      <c r="AH320" s="1" t="s">
        <v>480</v>
      </c>
      <c r="AI320" s="1" t="s">
        <v>480</v>
      </c>
      <c r="AJ320" s="1" t="s">
        <v>480</v>
      </c>
      <c r="AK320" s="1" t="s">
        <v>480</v>
      </c>
      <c r="AL320" s="1" t="s">
        <v>480</v>
      </c>
      <c r="AM320" s="1" t="s">
        <v>480</v>
      </c>
      <c r="AN320" s="1" t="s">
        <v>480</v>
      </c>
      <c r="AO320" s="1" t="s">
        <v>480</v>
      </c>
      <c r="AP320" s="1" t="s">
        <v>480</v>
      </c>
      <c r="AQ320" s="1" t="s">
        <v>480</v>
      </c>
      <c r="AR320" s="1" t="s">
        <v>480</v>
      </c>
      <c r="AS320" s="1" t="s">
        <v>480</v>
      </c>
      <c r="AT320" s="1">
        <f t="shared" si="39"/>
        <v>0</v>
      </c>
    </row>
    <row r="321" spans="1:46" x14ac:dyDescent="0.25">
      <c r="A321" s="1">
        <f>COUNTIF('Value Matchup'!$D$356:$D$423,'Team History'!B321)</f>
        <v>0</v>
      </c>
      <c r="B321" t="s">
        <v>398</v>
      </c>
      <c r="C321" s="1">
        <f t="shared" si="32"/>
        <v>0</v>
      </c>
      <c r="D321" s="1">
        <f t="shared" si="33"/>
        <v>0</v>
      </c>
      <c r="E321" s="1">
        <f t="shared" si="34"/>
        <v>0</v>
      </c>
      <c r="F321" s="1">
        <f t="shared" si="35"/>
        <v>0</v>
      </c>
      <c r="G321" s="1">
        <f t="shared" si="36"/>
        <v>0</v>
      </c>
      <c r="H321" s="1">
        <f t="shared" si="37"/>
        <v>0</v>
      </c>
      <c r="I321" s="64">
        <f t="shared" si="38"/>
        <v>1</v>
      </c>
      <c r="K321" s="90" t="s">
        <v>480</v>
      </c>
      <c r="L321" s="1" t="s">
        <v>480</v>
      </c>
      <c r="M321" s="1" t="s">
        <v>480</v>
      </c>
      <c r="N321" s="1" t="s">
        <v>480</v>
      </c>
      <c r="O321" s="1" t="s">
        <v>480</v>
      </c>
      <c r="P321" s="1" t="s">
        <v>480</v>
      </c>
      <c r="Q321" s="1" t="s">
        <v>480</v>
      </c>
      <c r="R321" s="1" t="s">
        <v>480</v>
      </c>
      <c r="S321" s="1" t="s">
        <v>480</v>
      </c>
      <c r="T321" s="1" t="s">
        <v>480</v>
      </c>
      <c r="U321" s="1" t="s">
        <v>480</v>
      </c>
      <c r="V321" s="1">
        <v>0</v>
      </c>
      <c r="W321" s="1" t="s">
        <v>480</v>
      </c>
      <c r="X321" s="1" t="s">
        <v>480</v>
      </c>
      <c r="Y321" s="1" t="s">
        <v>480</v>
      </c>
      <c r="Z321" s="1" t="s">
        <v>480</v>
      </c>
      <c r="AA321" s="1" t="s">
        <v>480</v>
      </c>
      <c r="AB321" s="1" t="s">
        <v>480</v>
      </c>
      <c r="AC321" s="1" t="s">
        <v>480</v>
      </c>
      <c r="AD321" s="1" t="s">
        <v>480</v>
      </c>
      <c r="AE321" s="1" t="s">
        <v>480</v>
      </c>
      <c r="AF321" s="1" t="s">
        <v>480</v>
      </c>
      <c r="AG321" s="1" t="s">
        <v>480</v>
      </c>
      <c r="AH321" s="1" t="s">
        <v>480</v>
      </c>
      <c r="AI321" s="1" t="s">
        <v>480</v>
      </c>
      <c r="AJ321" s="1" t="s">
        <v>480</v>
      </c>
      <c r="AK321" s="1" t="s">
        <v>480</v>
      </c>
      <c r="AL321" s="1" t="s">
        <v>480</v>
      </c>
      <c r="AM321" s="1" t="s">
        <v>480</v>
      </c>
      <c r="AN321" s="1" t="s">
        <v>480</v>
      </c>
      <c r="AO321" s="1" t="s">
        <v>480</v>
      </c>
      <c r="AP321" s="1" t="s">
        <v>480</v>
      </c>
      <c r="AQ321" s="1" t="s">
        <v>480</v>
      </c>
      <c r="AR321" s="1" t="s">
        <v>480</v>
      </c>
      <c r="AS321" s="1" t="s">
        <v>480</v>
      </c>
      <c r="AT321" s="1">
        <f t="shared" si="39"/>
        <v>1</v>
      </c>
    </row>
    <row r="322" spans="1:46" x14ac:dyDescent="0.25">
      <c r="A322" s="1">
        <f>COUNTIF('Value Matchup'!$D$356:$D$423,'Team History'!B322)</f>
        <v>0</v>
      </c>
      <c r="B322" t="s">
        <v>399</v>
      </c>
      <c r="C322" s="1">
        <f t="shared" si="32"/>
        <v>0</v>
      </c>
      <c r="D322" s="1">
        <f t="shared" si="33"/>
        <v>0</v>
      </c>
      <c r="E322" s="1">
        <f t="shared" si="34"/>
        <v>0</v>
      </c>
      <c r="F322" s="1">
        <f t="shared" si="35"/>
        <v>0</v>
      </c>
      <c r="G322" s="1">
        <f t="shared" si="36"/>
        <v>0</v>
      </c>
      <c r="H322" s="1">
        <f t="shared" si="37"/>
        <v>0</v>
      </c>
      <c r="I322" s="64">
        <f t="shared" si="38"/>
        <v>0</v>
      </c>
      <c r="K322" s="90" t="s">
        <v>480</v>
      </c>
      <c r="L322" s="1" t="s">
        <v>480</v>
      </c>
      <c r="M322" s="1" t="s">
        <v>480</v>
      </c>
      <c r="N322" s="1" t="s">
        <v>480</v>
      </c>
      <c r="O322" s="1" t="s">
        <v>480</v>
      </c>
      <c r="P322" s="1" t="s">
        <v>480</v>
      </c>
      <c r="Q322" s="1" t="s">
        <v>480</v>
      </c>
      <c r="R322" s="1" t="s">
        <v>480</v>
      </c>
      <c r="S322" s="1" t="s">
        <v>480</v>
      </c>
      <c r="T322" s="1" t="s">
        <v>480</v>
      </c>
      <c r="U322" s="1" t="s">
        <v>480</v>
      </c>
      <c r="V322" s="1" t="s">
        <v>480</v>
      </c>
      <c r="W322" s="1" t="s">
        <v>480</v>
      </c>
      <c r="X322" s="1" t="s">
        <v>480</v>
      </c>
      <c r="Y322" s="1" t="s">
        <v>480</v>
      </c>
      <c r="Z322" s="1" t="s">
        <v>480</v>
      </c>
      <c r="AA322" s="1" t="s">
        <v>480</v>
      </c>
      <c r="AB322" s="1" t="s">
        <v>480</v>
      </c>
      <c r="AC322" s="1" t="s">
        <v>480</v>
      </c>
      <c r="AD322" s="1" t="s">
        <v>480</v>
      </c>
      <c r="AE322" s="1" t="s">
        <v>480</v>
      </c>
      <c r="AF322" s="1" t="s">
        <v>480</v>
      </c>
      <c r="AG322" s="1" t="s">
        <v>480</v>
      </c>
      <c r="AH322" s="1" t="s">
        <v>480</v>
      </c>
      <c r="AI322" s="1" t="s">
        <v>480</v>
      </c>
      <c r="AJ322" s="1" t="s">
        <v>480</v>
      </c>
      <c r="AK322" s="1" t="s">
        <v>480</v>
      </c>
      <c r="AL322" s="1" t="s">
        <v>480</v>
      </c>
      <c r="AM322" s="1" t="s">
        <v>480</v>
      </c>
      <c r="AN322" s="1" t="s">
        <v>480</v>
      </c>
      <c r="AO322" s="1" t="s">
        <v>480</v>
      </c>
      <c r="AP322" s="1" t="s">
        <v>480</v>
      </c>
      <c r="AQ322" s="1" t="s">
        <v>480</v>
      </c>
      <c r="AR322" s="1" t="s">
        <v>480</v>
      </c>
      <c r="AS322" s="1" t="s">
        <v>480</v>
      </c>
      <c r="AT322" s="1">
        <f t="shared" si="39"/>
        <v>0</v>
      </c>
    </row>
    <row r="323" spans="1:46" x14ac:dyDescent="0.25">
      <c r="A323" s="1">
        <f>COUNTIF('Value Matchup'!$D$356:$D$423,'Team History'!B323)</f>
        <v>0</v>
      </c>
      <c r="B323" t="s">
        <v>65</v>
      </c>
      <c r="C323" s="1">
        <f t="shared" si="32"/>
        <v>12</v>
      </c>
      <c r="D323" s="1">
        <f t="shared" si="33"/>
        <v>6</v>
      </c>
      <c r="E323" s="1">
        <f t="shared" si="34"/>
        <v>2</v>
      </c>
      <c r="F323" s="1">
        <f t="shared" si="35"/>
        <v>1</v>
      </c>
      <c r="G323" s="1">
        <f t="shared" si="36"/>
        <v>1</v>
      </c>
      <c r="H323" s="1">
        <f t="shared" si="37"/>
        <v>0</v>
      </c>
      <c r="I323" s="64">
        <f t="shared" si="38"/>
        <v>41</v>
      </c>
      <c r="K323" s="90" t="s">
        <v>480</v>
      </c>
      <c r="L323" s="1" t="s">
        <v>480</v>
      </c>
      <c r="M323" s="1" t="s">
        <v>480</v>
      </c>
      <c r="N323" s="1">
        <v>1</v>
      </c>
      <c r="O323" s="1">
        <v>2</v>
      </c>
      <c r="P323" s="1" t="s">
        <v>480</v>
      </c>
      <c r="Q323" s="1" t="s">
        <v>480</v>
      </c>
      <c r="R323" s="1" t="s">
        <v>480</v>
      </c>
      <c r="S323" s="1" t="s">
        <v>480</v>
      </c>
      <c r="T323" s="1" t="s">
        <v>480</v>
      </c>
      <c r="U323" s="1">
        <v>0</v>
      </c>
      <c r="V323" s="1" t="s">
        <v>480</v>
      </c>
      <c r="W323" s="1" t="s">
        <v>480</v>
      </c>
      <c r="X323" s="1" t="s">
        <v>480</v>
      </c>
      <c r="Y323" s="1">
        <v>2</v>
      </c>
      <c r="Z323" s="1">
        <v>0</v>
      </c>
      <c r="AA323" s="1">
        <v>1</v>
      </c>
      <c r="AB323" s="1">
        <v>0</v>
      </c>
      <c r="AC323" s="1" t="s">
        <v>480</v>
      </c>
      <c r="AD323" s="1">
        <v>1</v>
      </c>
      <c r="AE323" s="1">
        <v>1</v>
      </c>
      <c r="AF323" s="1">
        <v>5</v>
      </c>
      <c r="AG323" s="1">
        <v>3</v>
      </c>
      <c r="AH323" s="1">
        <v>2</v>
      </c>
      <c r="AI323" s="1">
        <v>1</v>
      </c>
      <c r="AJ323" s="1" t="s">
        <v>480</v>
      </c>
      <c r="AK323" s="1">
        <v>1</v>
      </c>
      <c r="AL323" s="1" t="s">
        <v>480</v>
      </c>
      <c r="AM323" s="1">
        <v>2</v>
      </c>
      <c r="AN323" s="1" t="s">
        <v>480</v>
      </c>
      <c r="AO323" s="1" t="s">
        <v>480</v>
      </c>
      <c r="AP323" s="1" t="s">
        <v>480</v>
      </c>
      <c r="AQ323" s="1" t="s">
        <v>480</v>
      </c>
      <c r="AR323" s="1">
        <v>0</v>
      </c>
      <c r="AS323" s="1" t="s">
        <v>480</v>
      </c>
      <c r="AT323" s="1">
        <f t="shared" si="39"/>
        <v>16</v>
      </c>
    </row>
    <row r="324" spans="1:46" x14ac:dyDescent="0.25">
      <c r="A324" s="1">
        <f>COUNTIF('Value Matchup'!$D$356:$D$423,'Team History'!B324)</f>
        <v>1</v>
      </c>
      <c r="B324" t="s">
        <v>400</v>
      </c>
      <c r="C324" s="1">
        <f t="shared" ref="C324:C355" si="40">COUNTIF($K324:$AS324,"&gt;0")</f>
        <v>1</v>
      </c>
      <c r="D324" s="1">
        <f t="shared" ref="D324:D355" si="41">COUNTIF($K324:$AS324,"&gt;1")</f>
        <v>0</v>
      </c>
      <c r="E324" s="1">
        <f t="shared" ref="E324:E355" si="42">COUNTIF($K324:$AS324,"&gt;2")</f>
        <v>0</v>
      </c>
      <c r="F324" s="1">
        <f t="shared" ref="F324:F355" si="43">COUNTIF($K324:$AS324,"&gt;3")</f>
        <v>0</v>
      </c>
      <c r="G324" s="1">
        <f t="shared" ref="G324:G355" si="44">COUNTIF($K324:$AS324,"&gt;4")</f>
        <v>0</v>
      </c>
      <c r="H324" s="1">
        <f t="shared" ref="H324:H355" si="45">COUNTIF($K324:$AS324,"&gt;5")</f>
        <v>0</v>
      </c>
      <c r="I324" s="64">
        <f t="shared" ref="I324:I355" si="46">SUM(K324:AT324)+SUM(K324:T324)</f>
        <v>12</v>
      </c>
      <c r="K324" s="90">
        <v>0</v>
      </c>
      <c r="L324" s="1" t="s">
        <v>480</v>
      </c>
      <c r="M324" s="1" t="s">
        <v>480</v>
      </c>
      <c r="N324" s="1" t="s">
        <v>480</v>
      </c>
      <c r="O324" s="1" t="s">
        <v>480</v>
      </c>
      <c r="P324" s="1" t="s">
        <v>480</v>
      </c>
      <c r="Q324" s="1" t="s">
        <v>480</v>
      </c>
      <c r="R324" s="1" t="s">
        <v>480</v>
      </c>
      <c r="S324" s="1">
        <v>0</v>
      </c>
      <c r="T324" s="1">
        <v>0</v>
      </c>
      <c r="U324" s="1">
        <v>0</v>
      </c>
      <c r="V324" s="1" t="s">
        <v>480</v>
      </c>
      <c r="W324" s="1" t="s">
        <v>480</v>
      </c>
      <c r="X324" s="1">
        <v>0</v>
      </c>
      <c r="Y324" s="1">
        <v>0</v>
      </c>
      <c r="Z324" s="1" t="s">
        <v>480</v>
      </c>
      <c r="AA324" s="1">
        <v>0</v>
      </c>
      <c r="AB324" s="1" t="s">
        <v>480</v>
      </c>
      <c r="AC324" s="1">
        <v>1</v>
      </c>
      <c r="AD324" s="1">
        <v>0</v>
      </c>
      <c r="AE324" s="1" t="s">
        <v>480</v>
      </c>
      <c r="AF324" s="1">
        <v>0</v>
      </c>
      <c r="AG324" s="1" t="s">
        <v>480</v>
      </c>
      <c r="AH324" s="1" t="s">
        <v>480</v>
      </c>
      <c r="AI324" s="1" t="s">
        <v>480</v>
      </c>
      <c r="AJ324" s="1" t="s">
        <v>480</v>
      </c>
      <c r="AK324" s="1" t="s">
        <v>480</v>
      </c>
      <c r="AL324" s="1" t="s">
        <v>480</v>
      </c>
      <c r="AM324" s="1" t="s">
        <v>480</v>
      </c>
      <c r="AN324" s="1" t="s">
        <v>480</v>
      </c>
      <c r="AO324" s="1" t="s">
        <v>480</v>
      </c>
      <c r="AP324" s="1">
        <v>0</v>
      </c>
      <c r="AQ324" s="1" t="s">
        <v>480</v>
      </c>
      <c r="AR324" s="1" t="s">
        <v>480</v>
      </c>
      <c r="AS324" s="1" t="s">
        <v>480</v>
      </c>
      <c r="AT324" s="1">
        <f t="shared" ref="AT324:AT355" si="47">COUNT(K324:AS324)</f>
        <v>11</v>
      </c>
    </row>
    <row r="325" spans="1:46" x14ac:dyDescent="0.25">
      <c r="A325" s="1">
        <f>COUNTIF('Value Matchup'!$D$356:$D$423,'Team History'!B325)</f>
        <v>0</v>
      </c>
      <c r="B325" t="s">
        <v>401</v>
      </c>
      <c r="C325" s="1">
        <f t="shared" si="40"/>
        <v>0</v>
      </c>
      <c r="D325" s="1">
        <f t="shared" si="41"/>
        <v>0</v>
      </c>
      <c r="E325" s="1">
        <f t="shared" si="42"/>
        <v>0</v>
      </c>
      <c r="F325" s="1">
        <f t="shared" si="43"/>
        <v>0</v>
      </c>
      <c r="G325" s="1">
        <f t="shared" si="44"/>
        <v>0</v>
      </c>
      <c r="H325" s="1">
        <f t="shared" si="45"/>
        <v>0</v>
      </c>
      <c r="I325" s="64">
        <f t="shared" si="46"/>
        <v>0</v>
      </c>
      <c r="K325" s="90" t="s">
        <v>480</v>
      </c>
      <c r="L325" s="1" t="s">
        <v>480</v>
      </c>
      <c r="M325" s="1" t="s">
        <v>480</v>
      </c>
      <c r="N325" s="1" t="s">
        <v>480</v>
      </c>
      <c r="O325" s="1" t="s">
        <v>480</v>
      </c>
      <c r="P325" s="1" t="s">
        <v>480</v>
      </c>
      <c r="Q325" s="1" t="s">
        <v>480</v>
      </c>
      <c r="R325" s="1" t="s">
        <v>480</v>
      </c>
      <c r="S325" s="1" t="s">
        <v>480</v>
      </c>
      <c r="T325" s="1" t="s">
        <v>480</v>
      </c>
      <c r="U325" s="1" t="s">
        <v>480</v>
      </c>
      <c r="V325" s="1" t="s">
        <v>480</v>
      </c>
      <c r="W325" s="1" t="s">
        <v>480</v>
      </c>
      <c r="X325" s="1" t="s">
        <v>480</v>
      </c>
      <c r="Y325" s="1" t="s">
        <v>480</v>
      </c>
      <c r="Z325" s="1" t="s">
        <v>480</v>
      </c>
      <c r="AA325" s="1" t="s">
        <v>480</v>
      </c>
      <c r="AB325" s="1" t="s">
        <v>480</v>
      </c>
      <c r="AC325" s="1" t="s">
        <v>480</v>
      </c>
      <c r="AD325" s="1" t="s">
        <v>480</v>
      </c>
      <c r="AE325" s="1" t="s">
        <v>480</v>
      </c>
      <c r="AF325" s="1" t="s">
        <v>480</v>
      </c>
      <c r="AG325" s="1" t="s">
        <v>480</v>
      </c>
      <c r="AH325" s="1" t="s">
        <v>480</v>
      </c>
      <c r="AI325" s="1" t="s">
        <v>480</v>
      </c>
      <c r="AJ325" s="1" t="s">
        <v>480</v>
      </c>
      <c r="AK325" s="1" t="s">
        <v>480</v>
      </c>
      <c r="AL325" s="1" t="s">
        <v>480</v>
      </c>
      <c r="AM325" s="1" t="s">
        <v>480</v>
      </c>
      <c r="AN325" s="1" t="s">
        <v>480</v>
      </c>
      <c r="AO325" s="1" t="s">
        <v>480</v>
      </c>
      <c r="AP325" s="1" t="s">
        <v>480</v>
      </c>
      <c r="AQ325" s="1" t="s">
        <v>480</v>
      </c>
      <c r="AR325" s="1" t="s">
        <v>480</v>
      </c>
      <c r="AS325" s="1" t="s">
        <v>480</v>
      </c>
      <c r="AT325" s="1">
        <f t="shared" si="47"/>
        <v>0</v>
      </c>
    </row>
    <row r="326" spans="1:46" x14ac:dyDescent="0.25">
      <c r="A326" s="1">
        <f>COUNTIF('Value Matchup'!$D$356:$D$423,'Team History'!B326)</f>
        <v>0</v>
      </c>
      <c r="B326" t="s">
        <v>402</v>
      </c>
      <c r="C326" s="1">
        <f t="shared" si="40"/>
        <v>4</v>
      </c>
      <c r="D326" s="1">
        <f t="shared" si="41"/>
        <v>1</v>
      </c>
      <c r="E326" s="1">
        <f t="shared" si="42"/>
        <v>0</v>
      </c>
      <c r="F326" s="1">
        <f t="shared" si="43"/>
        <v>0</v>
      </c>
      <c r="G326" s="1">
        <f t="shared" si="44"/>
        <v>0</v>
      </c>
      <c r="H326" s="1">
        <f t="shared" si="45"/>
        <v>0</v>
      </c>
      <c r="I326" s="64">
        <f t="shared" si="46"/>
        <v>15</v>
      </c>
      <c r="K326" s="90" t="s">
        <v>480</v>
      </c>
      <c r="L326" s="1" t="s">
        <v>480</v>
      </c>
      <c r="M326" s="1" t="s">
        <v>480</v>
      </c>
      <c r="N326" s="1" t="s">
        <v>480</v>
      </c>
      <c r="O326" s="1" t="s">
        <v>480</v>
      </c>
      <c r="P326" s="1" t="s">
        <v>480</v>
      </c>
      <c r="Q326" s="1" t="s">
        <v>480</v>
      </c>
      <c r="R326" s="1" t="s">
        <v>480</v>
      </c>
      <c r="S326" s="1" t="s">
        <v>480</v>
      </c>
      <c r="T326" s="1">
        <v>0</v>
      </c>
      <c r="U326" s="1" t="s">
        <v>480</v>
      </c>
      <c r="V326" s="1" t="s">
        <v>480</v>
      </c>
      <c r="W326" s="1" t="s">
        <v>480</v>
      </c>
      <c r="X326" s="1" t="s">
        <v>480</v>
      </c>
      <c r="Y326" s="1">
        <v>0</v>
      </c>
      <c r="Z326" s="1">
        <v>0</v>
      </c>
      <c r="AA326" s="1" t="s">
        <v>480</v>
      </c>
      <c r="AB326" s="1" t="s">
        <v>480</v>
      </c>
      <c r="AC326" s="1" t="s">
        <v>480</v>
      </c>
      <c r="AD326" s="1" t="s">
        <v>480</v>
      </c>
      <c r="AE326" s="1" t="s">
        <v>480</v>
      </c>
      <c r="AF326" s="1" t="s">
        <v>480</v>
      </c>
      <c r="AG326" s="1" t="s">
        <v>480</v>
      </c>
      <c r="AH326" s="1" t="s">
        <v>480</v>
      </c>
      <c r="AI326" s="1" t="s">
        <v>480</v>
      </c>
      <c r="AJ326" s="1" t="s">
        <v>480</v>
      </c>
      <c r="AK326" s="1" t="s">
        <v>480</v>
      </c>
      <c r="AL326" s="1">
        <v>2</v>
      </c>
      <c r="AM326" s="1" t="s">
        <v>480</v>
      </c>
      <c r="AN326" s="1">
        <v>0</v>
      </c>
      <c r="AO326" s="1">
        <v>1</v>
      </c>
      <c r="AP326" s="1">
        <v>0</v>
      </c>
      <c r="AQ326" s="1">
        <v>1</v>
      </c>
      <c r="AR326" s="1">
        <v>0</v>
      </c>
      <c r="AS326" s="1">
        <v>1</v>
      </c>
      <c r="AT326" s="1">
        <f t="shared" si="47"/>
        <v>10</v>
      </c>
    </row>
    <row r="327" spans="1:46" x14ac:dyDescent="0.25">
      <c r="A327" s="1">
        <f>COUNTIF('Value Matchup'!$D$356:$D$423,'Team History'!B327)</f>
        <v>0</v>
      </c>
      <c r="B327" t="s">
        <v>403</v>
      </c>
      <c r="C327" s="1">
        <f t="shared" si="40"/>
        <v>0</v>
      </c>
      <c r="D327" s="1">
        <f t="shared" si="41"/>
        <v>0</v>
      </c>
      <c r="E327" s="1">
        <f t="shared" si="42"/>
        <v>0</v>
      </c>
      <c r="F327" s="1">
        <f t="shared" si="43"/>
        <v>0</v>
      </c>
      <c r="G327" s="1">
        <f t="shared" si="44"/>
        <v>0</v>
      </c>
      <c r="H327" s="1">
        <f t="shared" si="45"/>
        <v>0</v>
      </c>
      <c r="I327" s="64">
        <f t="shared" si="46"/>
        <v>4</v>
      </c>
      <c r="K327" s="90" t="s">
        <v>480</v>
      </c>
      <c r="L327" s="1" t="s">
        <v>480</v>
      </c>
      <c r="M327" s="1" t="s">
        <v>480</v>
      </c>
      <c r="N327" s="1" t="s">
        <v>480</v>
      </c>
      <c r="O327" s="1" t="s">
        <v>480</v>
      </c>
      <c r="P327" s="1" t="s">
        <v>480</v>
      </c>
      <c r="Q327" s="1" t="s">
        <v>480</v>
      </c>
      <c r="R327" s="1" t="s">
        <v>480</v>
      </c>
      <c r="S327" s="1">
        <v>0</v>
      </c>
      <c r="T327" s="1" t="s">
        <v>480</v>
      </c>
      <c r="U327" s="1" t="s">
        <v>480</v>
      </c>
      <c r="V327" s="1" t="s">
        <v>480</v>
      </c>
      <c r="W327" s="1" t="s">
        <v>480</v>
      </c>
      <c r="X327" s="1" t="s">
        <v>480</v>
      </c>
      <c r="Y327" s="1" t="s">
        <v>480</v>
      </c>
      <c r="Z327" s="1">
        <v>0</v>
      </c>
      <c r="AA327" s="1" t="s">
        <v>480</v>
      </c>
      <c r="AB327" s="1" t="s">
        <v>480</v>
      </c>
      <c r="AC327" s="1" t="s">
        <v>480</v>
      </c>
      <c r="AD327" s="1" t="s">
        <v>480</v>
      </c>
      <c r="AE327" s="1">
        <v>0</v>
      </c>
      <c r="AF327" s="1" t="s">
        <v>480</v>
      </c>
      <c r="AG327" s="1" t="s">
        <v>480</v>
      </c>
      <c r="AH327" s="1" t="s">
        <v>480</v>
      </c>
      <c r="AI327" s="1" t="s">
        <v>480</v>
      </c>
      <c r="AJ327" s="1" t="s">
        <v>480</v>
      </c>
      <c r="AK327" s="1" t="s">
        <v>480</v>
      </c>
      <c r="AL327" s="1" t="s">
        <v>480</v>
      </c>
      <c r="AM327" s="1" t="s">
        <v>480</v>
      </c>
      <c r="AN327" s="1" t="s">
        <v>480</v>
      </c>
      <c r="AO327" s="1" t="s">
        <v>480</v>
      </c>
      <c r="AP327" s="1">
        <v>0</v>
      </c>
      <c r="AQ327" s="1" t="s">
        <v>480</v>
      </c>
      <c r="AR327" s="1" t="s">
        <v>480</v>
      </c>
      <c r="AS327" s="1" t="s">
        <v>480</v>
      </c>
      <c r="AT327" s="1">
        <f t="shared" si="47"/>
        <v>4</v>
      </c>
    </row>
    <row r="328" spans="1:46" x14ac:dyDescent="0.25">
      <c r="A328" s="1">
        <f>COUNTIF('Value Matchup'!$D$356:$D$423,'Team History'!B328)</f>
        <v>0</v>
      </c>
      <c r="B328" t="s">
        <v>32</v>
      </c>
      <c r="C328" s="1">
        <f t="shared" si="40"/>
        <v>1</v>
      </c>
      <c r="D328" s="1">
        <f t="shared" si="41"/>
        <v>1</v>
      </c>
      <c r="E328" s="1">
        <f t="shared" si="42"/>
        <v>0</v>
      </c>
      <c r="F328" s="1">
        <f t="shared" si="43"/>
        <v>0</v>
      </c>
      <c r="G328" s="1">
        <f t="shared" si="44"/>
        <v>0</v>
      </c>
      <c r="H328" s="1">
        <f t="shared" si="45"/>
        <v>0</v>
      </c>
      <c r="I328" s="64">
        <f t="shared" si="46"/>
        <v>11</v>
      </c>
      <c r="K328" s="90" t="s">
        <v>480</v>
      </c>
      <c r="L328" s="1" t="s">
        <v>480</v>
      </c>
      <c r="M328" s="1" t="s">
        <v>480</v>
      </c>
      <c r="N328" s="1" t="s">
        <v>480</v>
      </c>
      <c r="O328" s="1">
        <v>0</v>
      </c>
      <c r="P328" s="1" t="s">
        <v>480</v>
      </c>
      <c r="Q328" s="1">
        <v>0</v>
      </c>
      <c r="R328" s="1" t="s">
        <v>480</v>
      </c>
      <c r="S328" s="1" t="s">
        <v>480</v>
      </c>
      <c r="T328" s="1" t="s">
        <v>480</v>
      </c>
      <c r="U328" s="1" t="s">
        <v>480</v>
      </c>
      <c r="V328" s="1" t="s">
        <v>480</v>
      </c>
      <c r="W328" s="1" t="s">
        <v>480</v>
      </c>
      <c r="X328" s="1" t="s">
        <v>480</v>
      </c>
      <c r="Y328" s="1" t="s">
        <v>480</v>
      </c>
      <c r="Z328" s="1">
        <v>0</v>
      </c>
      <c r="AA328" s="1" t="s">
        <v>480</v>
      </c>
      <c r="AB328" s="1">
        <v>0</v>
      </c>
      <c r="AC328" s="1" t="s">
        <v>480</v>
      </c>
      <c r="AD328" s="1">
        <v>0</v>
      </c>
      <c r="AE328" s="1">
        <v>0</v>
      </c>
      <c r="AF328" s="1">
        <v>2</v>
      </c>
      <c r="AG328" s="1">
        <v>0</v>
      </c>
      <c r="AH328" s="1">
        <v>0</v>
      </c>
      <c r="AI328" s="1" t="s">
        <v>480</v>
      </c>
      <c r="AJ328" s="1" t="s">
        <v>480</v>
      </c>
      <c r="AK328" s="1" t="s">
        <v>480</v>
      </c>
      <c r="AL328" s="1" t="s">
        <v>480</v>
      </c>
      <c r="AM328" s="1" t="s">
        <v>480</v>
      </c>
      <c r="AN328" s="1" t="s">
        <v>480</v>
      </c>
      <c r="AO328" s="1" t="s">
        <v>480</v>
      </c>
      <c r="AP328" s="1" t="s">
        <v>480</v>
      </c>
      <c r="AQ328" s="1" t="s">
        <v>480</v>
      </c>
      <c r="AR328" s="1" t="s">
        <v>480</v>
      </c>
      <c r="AS328" s="1" t="s">
        <v>480</v>
      </c>
      <c r="AT328" s="1">
        <f t="shared" si="47"/>
        <v>9</v>
      </c>
    </row>
    <row r="329" spans="1:46" x14ac:dyDescent="0.25">
      <c r="A329" s="1">
        <f>COUNTIF('Value Matchup'!$D$356:$D$423,'Team History'!B329)</f>
        <v>0</v>
      </c>
      <c r="B329" t="s">
        <v>78</v>
      </c>
      <c r="C329" s="1">
        <f t="shared" si="40"/>
        <v>5</v>
      </c>
      <c r="D329" s="1">
        <f t="shared" si="41"/>
        <v>4</v>
      </c>
      <c r="E329" s="1">
        <f t="shared" si="42"/>
        <v>0</v>
      </c>
      <c r="F329" s="1">
        <f t="shared" si="43"/>
        <v>0</v>
      </c>
      <c r="G329" s="1">
        <f t="shared" si="44"/>
        <v>0</v>
      </c>
      <c r="H329" s="1">
        <f t="shared" si="45"/>
        <v>0</v>
      </c>
      <c r="I329" s="64">
        <f t="shared" si="46"/>
        <v>23</v>
      </c>
      <c r="K329" s="90" t="s">
        <v>480</v>
      </c>
      <c r="L329" s="1" t="s">
        <v>480</v>
      </c>
      <c r="M329" s="1">
        <v>0</v>
      </c>
      <c r="N329" s="1">
        <v>0</v>
      </c>
      <c r="O329" s="1" t="s">
        <v>480</v>
      </c>
      <c r="P329" s="1" t="s">
        <v>480</v>
      </c>
      <c r="Q329" s="1" t="s">
        <v>480</v>
      </c>
      <c r="R329" s="1">
        <v>1</v>
      </c>
      <c r="S329" s="1">
        <v>0</v>
      </c>
      <c r="T329" s="1">
        <v>0</v>
      </c>
      <c r="U329" s="1" t="s">
        <v>480</v>
      </c>
      <c r="V329" s="1">
        <v>0</v>
      </c>
      <c r="W329" s="1">
        <v>2</v>
      </c>
      <c r="X329" s="1" t="s">
        <v>480</v>
      </c>
      <c r="Y329" s="1" t="s">
        <v>480</v>
      </c>
      <c r="Z329" s="1">
        <v>2</v>
      </c>
      <c r="AA329" s="1" t="s">
        <v>480</v>
      </c>
      <c r="AB329" s="1" t="s">
        <v>480</v>
      </c>
      <c r="AC329" s="1" t="s">
        <v>480</v>
      </c>
      <c r="AD329" s="1" t="s">
        <v>480</v>
      </c>
      <c r="AE329" s="1" t="s">
        <v>480</v>
      </c>
      <c r="AF329" s="1" t="s">
        <v>480</v>
      </c>
      <c r="AG329" s="1">
        <v>0</v>
      </c>
      <c r="AH329" s="1" t="s">
        <v>480</v>
      </c>
      <c r="AI329" s="1" t="s">
        <v>480</v>
      </c>
      <c r="AJ329" s="1" t="s">
        <v>480</v>
      </c>
      <c r="AK329" s="1">
        <v>2</v>
      </c>
      <c r="AL329" s="1" t="s">
        <v>480</v>
      </c>
      <c r="AM329" s="1">
        <v>0</v>
      </c>
      <c r="AN329" s="1" t="s">
        <v>480</v>
      </c>
      <c r="AO329" s="1">
        <v>0</v>
      </c>
      <c r="AP329" s="1">
        <v>2</v>
      </c>
      <c r="AQ329" s="1" t="s">
        <v>480</v>
      </c>
      <c r="AR329" s="1" t="s">
        <v>480</v>
      </c>
      <c r="AS329" s="1" t="s">
        <v>480</v>
      </c>
      <c r="AT329" s="1">
        <f t="shared" si="47"/>
        <v>13</v>
      </c>
    </row>
    <row r="330" spans="1:46" x14ac:dyDescent="0.25">
      <c r="A330" s="1">
        <f>COUNTIF('Value Matchup'!$D$356:$D$423,'Team History'!B330)</f>
        <v>1</v>
      </c>
      <c r="B330" t="s">
        <v>47</v>
      </c>
      <c r="C330" s="1">
        <f t="shared" si="40"/>
        <v>6</v>
      </c>
      <c r="D330" s="1">
        <f t="shared" si="41"/>
        <v>1</v>
      </c>
      <c r="E330" s="1">
        <f t="shared" si="42"/>
        <v>1</v>
      </c>
      <c r="F330" s="1">
        <f t="shared" si="43"/>
        <v>1</v>
      </c>
      <c r="G330" s="1">
        <f t="shared" si="44"/>
        <v>0</v>
      </c>
      <c r="H330" s="1">
        <f t="shared" si="45"/>
        <v>0</v>
      </c>
      <c r="I330" s="64">
        <f t="shared" si="46"/>
        <v>29</v>
      </c>
      <c r="K330" s="90">
        <v>0</v>
      </c>
      <c r="L330" s="1" t="s">
        <v>480</v>
      </c>
      <c r="M330" s="1">
        <v>0</v>
      </c>
      <c r="N330" s="1">
        <v>1</v>
      </c>
      <c r="O330" s="1">
        <v>0</v>
      </c>
      <c r="P330" s="1">
        <v>0</v>
      </c>
      <c r="Q330" s="1">
        <v>1</v>
      </c>
      <c r="R330" s="1">
        <v>1</v>
      </c>
      <c r="S330" s="1">
        <v>4</v>
      </c>
      <c r="T330" s="1" t="s">
        <v>480</v>
      </c>
      <c r="U330" s="1">
        <v>0</v>
      </c>
      <c r="V330" s="1" t="s">
        <v>480</v>
      </c>
      <c r="W330" s="1">
        <v>1</v>
      </c>
      <c r="X330" s="1" t="s">
        <v>480</v>
      </c>
      <c r="Y330" s="1" t="s">
        <v>480</v>
      </c>
      <c r="Z330" s="1">
        <v>0</v>
      </c>
      <c r="AA330" s="1" t="s">
        <v>480</v>
      </c>
      <c r="AB330" s="1" t="s">
        <v>480</v>
      </c>
      <c r="AC330" s="1" t="s">
        <v>480</v>
      </c>
      <c r="AD330" s="1" t="s">
        <v>480</v>
      </c>
      <c r="AE330" s="1" t="s">
        <v>480</v>
      </c>
      <c r="AF330" s="1" t="s">
        <v>480</v>
      </c>
      <c r="AG330" s="1" t="s">
        <v>480</v>
      </c>
      <c r="AH330" s="1">
        <v>0</v>
      </c>
      <c r="AI330" s="1" t="s">
        <v>480</v>
      </c>
      <c r="AJ330" s="1" t="s">
        <v>480</v>
      </c>
      <c r="AK330" s="1" t="s">
        <v>480</v>
      </c>
      <c r="AL330" s="1" t="s">
        <v>480</v>
      </c>
      <c r="AM330" s="1" t="s">
        <v>480</v>
      </c>
      <c r="AN330" s="1" t="s">
        <v>480</v>
      </c>
      <c r="AO330" s="1" t="s">
        <v>480</v>
      </c>
      <c r="AP330" s="1" t="s">
        <v>480</v>
      </c>
      <c r="AQ330" s="1" t="s">
        <v>480</v>
      </c>
      <c r="AR330" s="1" t="s">
        <v>480</v>
      </c>
      <c r="AS330" s="1">
        <v>1</v>
      </c>
      <c r="AT330" s="1">
        <f t="shared" si="47"/>
        <v>13</v>
      </c>
    </row>
    <row r="331" spans="1:46" x14ac:dyDescent="0.25">
      <c r="A331" s="1">
        <f>COUNTIF('Value Matchup'!$D$356:$D$423,'Team History'!B331)</f>
        <v>0</v>
      </c>
      <c r="B331" t="s">
        <v>404</v>
      </c>
      <c r="C331" s="1">
        <f t="shared" si="40"/>
        <v>1</v>
      </c>
      <c r="D331" s="1">
        <f t="shared" si="41"/>
        <v>0</v>
      </c>
      <c r="E331" s="1">
        <f t="shared" si="42"/>
        <v>0</v>
      </c>
      <c r="F331" s="1">
        <f t="shared" si="43"/>
        <v>0</v>
      </c>
      <c r="G331" s="1">
        <f t="shared" si="44"/>
        <v>0</v>
      </c>
      <c r="H331" s="1">
        <f t="shared" si="45"/>
        <v>0</v>
      </c>
      <c r="I331" s="64">
        <f t="shared" si="46"/>
        <v>8</v>
      </c>
      <c r="K331" s="90">
        <v>0</v>
      </c>
      <c r="L331" s="1" t="s">
        <v>480</v>
      </c>
      <c r="M331" s="1">
        <v>0</v>
      </c>
      <c r="N331" s="1" t="s">
        <v>480</v>
      </c>
      <c r="O331" s="1" t="s">
        <v>480</v>
      </c>
      <c r="P331" s="1" t="s">
        <v>480</v>
      </c>
      <c r="Q331" s="1" t="s">
        <v>480</v>
      </c>
      <c r="R331" s="1">
        <v>0</v>
      </c>
      <c r="S331" s="1" t="s">
        <v>480</v>
      </c>
      <c r="T331" s="1">
        <v>0</v>
      </c>
      <c r="U331" s="1" t="s">
        <v>480</v>
      </c>
      <c r="V331" s="1" t="s">
        <v>480</v>
      </c>
      <c r="W331" s="1" t="s">
        <v>480</v>
      </c>
      <c r="X331" s="1" t="s">
        <v>480</v>
      </c>
      <c r="Y331" s="1">
        <v>1</v>
      </c>
      <c r="Z331" s="1">
        <v>0</v>
      </c>
      <c r="AA331" s="1">
        <v>0</v>
      </c>
      <c r="AB331" s="1" t="s">
        <v>480</v>
      </c>
      <c r="AC331" s="1" t="s">
        <v>480</v>
      </c>
      <c r="AD331" s="1" t="s">
        <v>480</v>
      </c>
      <c r="AE331" s="1" t="s">
        <v>480</v>
      </c>
      <c r="AF331" s="1" t="s">
        <v>480</v>
      </c>
      <c r="AG331" s="1" t="s">
        <v>480</v>
      </c>
      <c r="AH331" s="1" t="s">
        <v>480</v>
      </c>
      <c r="AI331" s="1" t="s">
        <v>480</v>
      </c>
      <c r="AJ331" s="1" t="s">
        <v>480</v>
      </c>
      <c r="AK331" s="1" t="s">
        <v>480</v>
      </c>
      <c r="AL331" s="1" t="s">
        <v>480</v>
      </c>
      <c r="AM331" s="1" t="s">
        <v>480</v>
      </c>
      <c r="AN331" s="1" t="s">
        <v>480</v>
      </c>
      <c r="AO331" s="1" t="s">
        <v>480</v>
      </c>
      <c r="AP331" s="1" t="s">
        <v>480</v>
      </c>
      <c r="AQ331" s="1" t="s">
        <v>480</v>
      </c>
      <c r="AR331" s="1" t="s">
        <v>480</v>
      </c>
      <c r="AS331" s="1" t="s">
        <v>480</v>
      </c>
      <c r="AT331" s="1">
        <f t="shared" si="47"/>
        <v>7</v>
      </c>
    </row>
    <row r="332" spans="1:46" x14ac:dyDescent="0.25">
      <c r="A332" s="1">
        <f>COUNTIF('Value Matchup'!$D$356:$D$423,'Team History'!B332)</f>
        <v>1</v>
      </c>
      <c r="B332" t="s">
        <v>50</v>
      </c>
      <c r="C332" s="1">
        <f t="shared" si="40"/>
        <v>14</v>
      </c>
      <c r="D332" s="1">
        <f t="shared" si="41"/>
        <v>5</v>
      </c>
      <c r="E332" s="1">
        <f t="shared" si="42"/>
        <v>3</v>
      </c>
      <c r="F332" s="1">
        <f t="shared" si="43"/>
        <v>1</v>
      </c>
      <c r="G332" s="1">
        <f t="shared" si="44"/>
        <v>0</v>
      </c>
      <c r="H332" s="1">
        <f t="shared" si="45"/>
        <v>0</v>
      </c>
      <c r="I332" s="64">
        <f t="shared" si="46"/>
        <v>48</v>
      </c>
      <c r="K332" s="90">
        <v>1</v>
      </c>
      <c r="L332" s="1" t="s">
        <v>480</v>
      </c>
      <c r="M332" s="1">
        <v>1</v>
      </c>
      <c r="N332" s="1" t="s">
        <v>480</v>
      </c>
      <c r="O332" s="1">
        <v>1</v>
      </c>
      <c r="P332" s="1">
        <v>1</v>
      </c>
      <c r="Q332" s="1">
        <v>0</v>
      </c>
      <c r="R332" s="1" t="s">
        <v>480</v>
      </c>
      <c r="S332" s="1">
        <v>0</v>
      </c>
      <c r="T332" s="1">
        <v>1</v>
      </c>
      <c r="U332" s="1">
        <v>4</v>
      </c>
      <c r="V332" s="1">
        <v>2</v>
      </c>
      <c r="W332" s="1">
        <v>0</v>
      </c>
      <c r="X332" s="1">
        <v>3</v>
      </c>
      <c r="Y332" s="1">
        <v>2</v>
      </c>
      <c r="Z332" s="1" t="s">
        <v>480</v>
      </c>
      <c r="AA332" s="1" t="s">
        <v>480</v>
      </c>
      <c r="AB332" s="1" t="s">
        <v>480</v>
      </c>
      <c r="AC332" s="1" t="s">
        <v>480</v>
      </c>
      <c r="AD332" s="1" t="s">
        <v>480</v>
      </c>
      <c r="AE332" s="1">
        <v>0</v>
      </c>
      <c r="AF332" s="1" t="s">
        <v>480</v>
      </c>
      <c r="AG332" s="1">
        <v>1</v>
      </c>
      <c r="AH332" s="1">
        <v>1</v>
      </c>
      <c r="AI332" s="1">
        <v>0</v>
      </c>
      <c r="AJ332" s="1" t="s">
        <v>480</v>
      </c>
      <c r="AK332" s="1" t="s">
        <v>480</v>
      </c>
      <c r="AL332" s="1" t="s">
        <v>480</v>
      </c>
      <c r="AM332" s="1">
        <v>1</v>
      </c>
      <c r="AN332" s="1">
        <v>0</v>
      </c>
      <c r="AO332" s="1" t="s">
        <v>480</v>
      </c>
      <c r="AP332" s="1">
        <v>3</v>
      </c>
      <c r="AQ332" s="1" t="s">
        <v>480</v>
      </c>
      <c r="AR332" s="1">
        <v>1</v>
      </c>
      <c r="AS332" s="1" t="s">
        <v>480</v>
      </c>
      <c r="AT332" s="1">
        <f t="shared" si="47"/>
        <v>20</v>
      </c>
    </row>
    <row r="333" spans="1:46" x14ac:dyDescent="0.25">
      <c r="A333" s="1">
        <f>COUNTIF('Value Matchup'!$D$356:$D$423,'Team History'!B333)</f>
        <v>1</v>
      </c>
      <c r="B333" t="s">
        <v>61</v>
      </c>
      <c r="C333" s="1">
        <f t="shared" si="40"/>
        <v>10</v>
      </c>
      <c r="D333" s="1">
        <f t="shared" si="41"/>
        <v>5</v>
      </c>
      <c r="E333" s="1">
        <f t="shared" si="42"/>
        <v>3</v>
      </c>
      <c r="F333" s="1">
        <f t="shared" si="43"/>
        <v>0</v>
      </c>
      <c r="G333" s="1">
        <f t="shared" si="44"/>
        <v>0</v>
      </c>
      <c r="H333" s="1">
        <f t="shared" si="45"/>
        <v>0</v>
      </c>
      <c r="I333" s="64">
        <f t="shared" si="46"/>
        <v>42</v>
      </c>
      <c r="K333" s="90" t="s">
        <v>480</v>
      </c>
      <c r="L333" s="1">
        <v>0</v>
      </c>
      <c r="M333" s="1">
        <v>1</v>
      </c>
      <c r="N333" s="1">
        <v>3</v>
      </c>
      <c r="O333" s="1">
        <v>1</v>
      </c>
      <c r="P333" s="1">
        <v>2</v>
      </c>
      <c r="Q333" s="1" t="s">
        <v>480</v>
      </c>
      <c r="R333" s="1">
        <v>0</v>
      </c>
      <c r="S333" s="1" t="s">
        <v>480</v>
      </c>
      <c r="T333" s="1" t="s">
        <v>480</v>
      </c>
      <c r="U333" s="1" t="s">
        <v>480</v>
      </c>
      <c r="V333" s="1" t="s">
        <v>480</v>
      </c>
      <c r="W333" s="1">
        <v>1</v>
      </c>
      <c r="X333" s="1" t="s">
        <v>480</v>
      </c>
      <c r="Y333" s="1" t="s">
        <v>480</v>
      </c>
      <c r="Z333" s="1" t="s">
        <v>480</v>
      </c>
      <c r="AA333" s="1" t="s">
        <v>480</v>
      </c>
      <c r="AB333" s="1" t="s">
        <v>480</v>
      </c>
      <c r="AC333" s="1">
        <v>0</v>
      </c>
      <c r="AD333" s="1" t="s">
        <v>480</v>
      </c>
      <c r="AE333" s="1" t="s">
        <v>480</v>
      </c>
      <c r="AF333" s="1" t="s">
        <v>480</v>
      </c>
      <c r="AG333" s="1">
        <v>0</v>
      </c>
      <c r="AH333" s="1" t="s">
        <v>480</v>
      </c>
      <c r="AI333" s="1">
        <v>3</v>
      </c>
      <c r="AJ333" s="1">
        <v>1</v>
      </c>
      <c r="AK333" s="1">
        <v>2</v>
      </c>
      <c r="AL333" s="1" t="s">
        <v>480</v>
      </c>
      <c r="AM333" s="1">
        <v>0</v>
      </c>
      <c r="AN333" s="1">
        <v>1</v>
      </c>
      <c r="AO333" s="1">
        <v>3</v>
      </c>
      <c r="AP333" s="1" t="s">
        <v>480</v>
      </c>
      <c r="AQ333" s="1">
        <v>0</v>
      </c>
      <c r="AR333" s="1">
        <v>0</v>
      </c>
      <c r="AS333" s="1" t="s">
        <v>480</v>
      </c>
      <c r="AT333" s="1">
        <f t="shared" si="47"/>
        <v>17</v>
      </c>
    </row>
    <row r="334" spans="1:46" x14ac:dyDescent="0.25">
      <c r="A334" s="1">
        <f>COUNTIF('Value Matchup'!$D$356:$D$423,'Team History'!B334)</f>
        <v>1</v>
      </c>
      <c r="B334" t="s">
        <v>405</v>
      </c>
      <c r="C334" s="1">
        <f t="shared" si="40"/>
        <v>3</v>
      </c>
      <c r="D334" s="1">
        <f t="shared" si="41"/>
        <v>1</v>
      </c>
      <c r="E334" s="1">
        <f t="shared" si="42"/>
        <v>0</v>
      </c>
      <c r="F334" s="1">
        <f t="shared" si="43"/>
        <v>0</v>
      </c>
      <c r="G334" s="1">
        <f t="shared" si="44"/>
        <v>0</v>
      </c>
      <c r="H334" s="1">
        <f t="shared" si="45"/>
        <v>0</v>
      </c>
      <c r="I334" s="64">
        <f t="shared" si="46"/>
        <v>13</v>
      </c>
      <c r="K334" s="90">
        <v>2</v>
      </c>
      <c r="L334" s="1">
        <v>0</v>
      </c>
      <c r="M334" s="1">
        <v>0</v>
      </c>
      <c r="N334" s="1" t="s">
        <v>480</v>
      </c>
      <c r="O334" s="1" t="s">
        <v>480</v>
      </c>
      <c r="P334" s="1" t="s">
        <v>480</v>
      </c>
      <c r="Q334" s="1" t="s">
        <v>480</v>
      </c>
      <c r="R334" s="1" t="s">
        <v>480</v>
      </c>
      <c r="S334" s="1" t="s">
        <v>480</v>
      </c>
      <c r="T334" s="1" t="s">
        <v>480</v>
      </c>
      <c r="U334" s="1" t="s">
        <v>480</v>
      </c>
      <c r="V334" s="1" t="s">
        <v>480</v>
      </c>
      <c r="W334" s="1">
        <v>1</v>
      </c>
      <c r="X334" s="1" t="s">
        <v>480</v>
      </c>
      <c r="Y334" s="1" t="s">
        <v>480</v>
      </c>
      <c r="Z334" s="1" t="s">
        <v>480</v>
      </c>
      <c r="AA334" s="1" t="s">
        <v>480</v>
      </c>
      <c r="AB334" s="1" t="s">
        <v>480</v>
      </c>
      <c r="AC334" s="1" t="s">
        <v>480</v>
      </c>
      <c r="AD334" s="1" t="s">
        <v>480</v>
      </c>
      <c r="AE334" s="1" t="s">
        <v>480</v>
      </c>
      <c r="AF334" s="1" t="s">
        <v>480</v>
      </c>
      <c r="AG334" s="1" t="s">
        <v>480</v>
      </c>
      <c r="AH334" s="1">
        <v>1</v>
      </c>
      <c r="AI334" s="1" t="s">
        <v>480</v>
      </c>
      <c r="AJ334" s="1" t="s">
        <v>480</v>
      </c>
      <c r="AK334" s="1" t="s">
        <v>480</v>
      </c>
      <c r="AL334" s="1" t="s">
        <v>480</v>
      </c>
      <c r="AM334" s="1" t="s">
        <v>480</v>
      </c>
      <c r="AN334" s="1" t="s">
        <v>480</v>
      </c>
      <c r="AO334" s="1" t="s">
        <v>480</v>
      </c>
      <c r="AP334" s="1" t="s">
        <v>480</v>
      </c>
      <c r="AQ334" s="1" t="s">
        <v>480</v>
      </c>
      <c r="AR334" s="1">
        <v>0</v>
      </c>
      <c r="AS334" s="1">
        <v>0</v>
      </c>
      <c r="AT334" s="1">
        <f t="shared" si="47"/>
        <v>7</v>
      </c>
    </row>
    <row r="335" spans="1:46" x14ac:dyDescent="0.25">
      <c r="A335" s="1">
        <f>COUNTIF('Value Matchup'!$D$356:$D$423,'Team History'!B335)</f>
        <v>0</v>
      </c>
      <c r="B335" t="s">
        <v>406</v>
      </c>
      <c r="C335" s="1">
        <f t="shared" si="40"/>
        <v>0</v>
      </c>
      <c r="D335" s="1">
        <f t="shared" si="41"/>
        <v>0</v>
      </c>
      <c r="E335" s="1">
        <f t="shared" si="42"/>
        <v>0</v>
      </c>
      <c r="F335" s="1">
        <f t="shared" si="43"/>
        <v>0</v>
      </c>
      <c r="G335" s="1">
        <f t="shared" si="44"/>
        <v>0</v>
      </c>
      <c r="H335" s="1">
        <f t="shared" si="45"/>
        <v>0</v>
      </c>
      <c r="I335" s="64">
        <f t="shared" si="46"/>
        <v>0</v>
      </c>
      <c r="K335" s="90" t="s">
        <v>480</v>
      </c>
      <c r="L335" s="1" t="s">
        <v>480</v>
      </c>
      <c r="M335" s="1" t="s">
        <v>480</v>
      </c>
      <c r="N335" s="1" t="s">
        <v>480</v>
      </c>
      <c r="O335" s="1" t="s">
        <v>480</v>
      </c>
      <c r="P335" s="1" t="s">
        <v>480</v>
      </c>
      <c r="Q335" s="1" t="s">
        <v>480</v>
      </c>
      <c r="R335" s="1" t="s">
        <v>480</v>
      </c>
      <c r="S335" s="1" t="s">
        <v>480</v>
      </c>
      <c r="T335" s="1" t="s">
        <v>480</v>
      </c>
      <c r="U335" s="1" t="s">
        <v>480</v>
      </c>
      <c r="V335" s="1" t="s">
        <v>480</v>
      </c>
      <c r="W335" s="1" t="s">
        <v>480</v>
      </c>
      <c r="X335" s="1" t="s">
        <v>480</v>
      </c>
      <c r="Y335" s="1" t="s">
        <v>480</v>
      </c>
      <c r="Z335" s="1" t="s">
        <v>480</v>
      </c>
      <c r="AA335" s="1" t="s">
        <v>480</v>
      </c>
      <c r="AB335" s="1" t="s">
        <v>480</v>
      </c>
      <c r="AC335" s="1" t="s">
        <v>480</v>
      </c>
      <c r="AD335" s="1" t="s">
        <v>480</v>
      </c>
      <c r="AE335" s="1" t="s">
        <v>480</v>
      </c>
      <c r="AF335" s="1" t="s">
        <v>480</v>
      </c>
      <c r="AG335" s="1" t="s">
        <v>480</v>
      </c>
      <c r="AH335" s="1" t="s">
        <v>480</v>
      </c>
      <c r="AI335" s="1" t="s">
        <v>480</v>
      </c>
      <c r="AJ335" s="1" t="s">
        <v>480</v>
      </c>
      <c r="AK335" s="1" t="s">
        <v>480</v>
      </c>
      <c r="AL335" s="1" t="s">
        <v>480</v>
      </c>
      <c r="AM335" s="1" t="s">
        <v>480</v>
      </c>
      <c r="AN335" s="1" t="s">
        <v>480</v>
      </c>
      <c r="AO335" s="1" t="s">
        <v>480</v>
      </c>
      <c r="AP335" s="1" t="s">
        <v>480</v>
      </c>
      <c r="AQ335" s="1" t="s">
        <v>480</v>
      </c>
      <c r="AR335" s="1" t="s">
        <v>480</v>
      </c>
      <c r="AS335" s="1" t="s">
        <v>480</v>
      </c>
      <c r="AT335" s="1">
        <f t="shared" si="47"/>
        <v>0</v>
      </c>
    </row>
    <row r="336" spans="1:46" x14ac:dyDescent="0.25">
      <c r="A336" s="1">
        <f>COUNTIF('Value Matchup'!$D$356:$D$423,'Team History'!B336)</f>
        <v>0</v>
      </c>
      <c r="B336" t="s">
        <v>407</v>
      </c>
      <c r="C336" s="1">
        <f t="shared" si="40"/>
        <v>0</v>
      </c>
      <c r="D336" s="1">
        <f t="shared" si="41"/>
        <v>0</v>
      </c>
      <c r="E336" s="1">
        <f t="shared" si="42"/>
        <v>0</v>
      </c>
      <c r="F336" s="1">
        <f t="shared" si="43"/>
        <v>0</v>
      </c>
      <c r="G336" s="1">
        <f t="shared" si="44"/>
        <v>0</v>
      </c>
      <c r="H336" s="1">
        <f t="shared" si="45"/>
        <v>0</v>
      </c>
      <c r="I336" s="64">
        <f t="shared" si="46"/>
        <v>1</v>
      </c>
      <c r="K336" s="90" t="s">
        <v>480</v>
      </c>
      <c r="L336" s="1" t="s">
        <v>480</v>
      </c>
      <c r="M336" s="1" t="s">
        <v>480</v>
      </c>
      <c r="N336" s="1" t="s">
        <v>480</v>
      </c>
      <c r="O336" s="1" t="s">
        <v>480</v>
      </c>
      <c r="P336" s="1" t="s">
        <v>480</v>
      </c>
      <c r="Q336" s="1" t="s">
        <v>480</v>
      </c>
      <c r="R336" s="1" t="s">
        <v>480</v>
      </c>
      <c r="S336" s="1" t="s">
        <v>480</v>
      </c>
      <c r="T336" s="1" t="s">
        <v>480</v>
      </c>
      <c r="U336" s="1" t="s">
        <v>480</v>
      </c>
      <c r="V336" s="1" t="s">
        <v>480</v>
      </c>
      <c r="W336" s="1" t="s">
        <v>480</v>
      </c>
      <c r="X336" s="1" t="s">
        <v>480</v>
      </c>
      <c r="Y336" s="1" t="s">
        <v>480</v>
      </c>
      <c r="Z336" s="1" t="s">
        <v>480</v>
      </c>
      <c r="AA336" s="1">
        <v>0</v>
      </c>
      <c r="AB336" s="1" t="s">
        <v>480</v>
      </c>
      <c r="AC336" s="1" t="s">
        <v>480</v>
      </c>
      <c r="AD336" s="1" t="s">
        <v>480</v>
      </c>
      <c r="AE336" s="1" t="s">
        <v>480</v>
      </c>
      <c r="AF336" s="1" t="s">
        <v>480</v>
      </c>
      <c r="AG336" s="1" t="s">
        <v>480</v>
      </c>
      <c r="AH336" s="1" t="s">
        <v>480</v>
      </c>
      <c r="AI336" s="1" t="s">
        <v>480</v>
      </c>
      <c r="AJ336" s="1" t="s">
        <v>480</v>
      </c>
      <c r="AK336" s="1" t="s">
        <v>480</v>
      </c>
      <c r="AL336" s="1" t="s">
        <v>480</v>
      </c>
      <c r="AM336" s="1" t="s">
        <v>480</v>
      </c>
      <c r="AN336" s="1" t="s">
        <v>480</v>
      </c>
      <c r="AO336" s="1" t="s">
        <v>480</v>
      </c>
      <c r="AP336" s="1" t="s">
        <v>480</v>
      </c>
      <c r="AQ336" s="1" t="s">
        <v>480</v>
      </c>
      <c r="AR336" s="1" t="s">
        <v>480</v>
      </c>
      <c r="AS336" s="1" t="s">
        <v>480</v>
      </c>
      <c r="AT336" s="1">
        <f t="shared" si="47"/>
        <v>1</v>
      </c>
    </row>
    <row r="337" spans="1:46" x14ac:dyDescent="0.25">
      <c r="A337" s="1">
        <f>COUNTIF('Value Matchup'!$D$356:$D$423,'Team History'!B337)</f>
        <v>0</v>
      </c>
      <c r="B337" t="s">
        <v>408</v>
      </c>
      <c r="C337" s="1">
        <f t="shared" si="40"/>
        <v>11</v>
      </c>
      <c r="D337" s="1">
        <f t="shared" si="41"/>
        <v>4</v>
      </c>
      <c r="E337" s="1">
        <f t="shared" si="42"/>
        <v>1</v>
      </c>
      <c r="F337" s="1">
        <f t="shared" si="43"/>
        <v>0</v>
      </c>
      <c r="G337" s="1">
        <f t="shared" si="44"/>
        <v>0</v>
      </c>
      <c r="H337" s="1">
        <f t="shared" si="45"/>
        <v>0</v>
      </c>
      <c r="I337" s="64">
        <f t="shared" si="46"/>
        <v>32</v>
      </c>
      <c r="K337" s="90" t="s">
        <v>480</v>
      </c>
      <c r="L337" s="1" t="s">
        <v>480</v>
      </c>
      <c r="M337" s="1">
        <v>0</v>
      </c>
      <c r="N337" s="1" t="s">
        <v>480</v>
      </c>
      <c r="O337" s="1" t="s">
        <v>480</v>
      </c>
      <c r="P337" s="1" t="s">
        <v>480</v>
      </c>
      <c r="Q337" s="1" t="s">
        <v>480</v>
      </c>
      <c r="R337" s="1" t="s">
        <v>480</v>
      </c>
      <c r="S337" s="1" t="s">
        <v>480</v>
      </c>
      <c r="T337" s="1">
        <v>1</v>
      </c>
      <c r="U337" s="1">
        <v>0</v>
      </c>
      <c r="V337" s="1" t="s">
        <v>480</v>
      </c>
      <c r="W337" s="1" t="s">
        <v>480</v>
      </c>
      <c r="X337" s="1" t="s">
        <v>480</v>
      </c>
      <c r="Y337" s="1">
        <v>1</v>
      </c>
      <c r="Z337" s="1">
        <v>2</v>
      </c>
      <c r="AA337" s="1">
        <v>1</v>
      </c>
      <c r="AB337" s="1">
        <v>1</v>
      </c>
      <c r="AC337" s="1">
        <v>0</v>
      </c>
      <c r="AD337" s="1" t="s">
        <v>480</v>
      </c>
      <c r="AE337" s="1" t="s">
        <v>480</v>
      </c>
      <c r="AF337" s="1" t="s">
        <v>480</v>
      </c>
      <c r="AG337" s="1">
        <v>1</v>
      </c>
      <c r="AH337" s="1">
        <v>3</v>
      </c>
      <c r="AI337" s="1">
        <v>2</v>
      </c>
      <c r="AJ337" s="1">
        <v>1</v>
      </c>
      <c r="AK337" s="1">
        <v>2</v>
      </c>
      <c r="AL337" s="1">
        <v>0</v>
      </c>
      <c r="AM337" s="1">
        <v>1</v>
      </c>
      <c r="AN337" s="1" t="s">
        <v>480</v>
      </c>
      <c r="AO337" s="1" t="s">
        <v>480</v>
      </c>
      <c r="AP337" s="1" t="s">
        <v>480</v>
      </c>
      <c r="AQ337" s="1" t="s">
        <v>480</v>
      </c>
      <c r="AR337" s="1" t="s">
        <v>480</v>
      </c>
      <c r="AS337" s="1" t="s">
        <v>480</v>
      </c>
      <c r="AT337" s="1">
        <f t="shared" si="47"/>
        <v>15</v>
      </c>
    </row>
    <row r="338" spans="1:46" x14ac:dyDescent="0.25">
      <c r="A338" s="1">
        <f>COUNTIF('Value Matchup'!$D$356:$D$423,'Team History'!B338)</f>
        <v>0</v>
      </c>
      <c r="B338" t="s">
        <v>409</v>
      </c>
      <c r="C338" s="1">
        <f t="shared" si="40"/>
        <v>7</v>
      </c>
      <c r="D338" s="1">
        <f t="shared" si="41"/>
        <v>4</v>
      </c>
      <c r="E338" s="1">
        <f t="shared" si="42"/>
        <v>0</v>
      </c>
      <c r="F338" s="1">
        <f t="shared" si="43"/>
        <v>0</v>
      </c>
      <c r="G338" s="1">
        <f t="shared" si="44"/>
        <v>0</v>
      </c>
      <c r="H338" s="1">
        <f t="shared" si="45"/>
        <v>0</v>
      </c>
      <c r="I338" s="64">
        <f t="shared" si="46"/>
        <v>26</v>
      </c>
      <c r="K338" s="90">
        <v>1</v>
      </c>
      <c r="L338" s="1" t="s">
        <v>480</v>
      </c>
      <c r="M338" s="1" t="s">
        <v>480</v>
      </c>
      <c r="N338" s="1" t="s">
        <v>480</v>
      </c>
      <c r="O338" s="1" t="s">
        <v>480</v>
      </c>
      <c r="P338" s="1" t="s">
        <v>480</v>
      </c>
      <c r="Q338" s="1" t="s">
        <v>480</v>
      </c>
      <c r="R338" s="1" t="s">
        <v>480</v>
      </c>
      <c r="S338" s="1">
        <v>1</v>
      </c>
      <c r="T338" s="1">
        <v>2</v>
      </c>
      <c r="U338" s="1">
        <v>1</v>
      </c>
      <c r="V338" s="1" t="s">
        <v>480</v>
      </c>
      <c r="W338" s="1" t="s">
        <v>480</v>
      </c>
      <c r="X338" s="1">
        <v>2</v>
      </c>
      <c r="Y338" s="1">
        <v>2</v>
      </c>
      <c r="Z338" s="1">
        <v>0</v>
      </c>
      <c r="AA338" s="1" t="s">
        <v>480</v>
      </c>
      <c r="AB338" s="1" t="s">
        <v>480</v>
      </c>
      <c r="AC338" s="1" t="s">
        <v>480</v>
      </c>
      <c r="AD338" s="1" t="s">
        <v>480</v>
      </c>
      <c r="AE338" s="1">
        <v>0</v>
      </c>
      <c r="AF338" s="1">
        <v>2</v>
      </c>
      <c r="AG338" s="1" t="s">
        <v>480</v>
      </c>
      <c r="AH338" s="1" t="s">
        <v>480</v>
      </c>
      <c r="AI338" s="1" t="s">
        <v>480</v>
      </c>
      <c r="AJ338" s="1" t="s">
        <v>480</v>
      </c>
      <c r="AK338" s="1" t="s">
        <v>480</v>
      </c>
      <c r="AL338" s="1" t="s">
        <v>480</v>
      </c>
      <c r="AM338" s="1" t="s">
        <v>480</v>
      </c>
      <c r="AN338" s="1" t="s">
        <v>480</v>
      </c>
      <c r="AO338" s="1" t="s">
        <v>480</v>
      </c>
      <c r="AP338" s="1" t="s">
        <v>480</v>
      </c>
      <c r="AQ338" s="1" t="s">
        <v>480</v>
      </c>
      <c r="AR338" s="1">
        <v>0</v>
      </c>
      <c r="AS338" s="1">
        <v>0</v>
      </c>
      <c r="AT338" s="1">
        <f t="shared" si="47"/>
        <v>11</v>
      </c>
    </row>
    <row r="339" spans="1:46" x14ac:dyDescent="0.25">
      <c r="A339" s="1">
        <f>COUNTIF('Value Matchup'!$D$356:$D$423,'Team History'!B339)</f>
        <v>0</v>
      </c>
      <c r="B339" t="s">
        <v>410</v>
      </c>
      <c r="C339" s="1">
        <f t="shared" si="40"/>
        <v>2</v>
      </c>
      <c r="D339" s="1">
        <f t="shared" si="41"/>
        <v>1</v>
      </c>
      <c r="E339" s="1">
        <f t="shared" si="42"/>
        <v>0</v>
      </c>
      <c r="F339" s="1">
        <f t="shared" si="43"/>
        <v>0</v>
      </c>
      <c r="G339" s="1">
        <f t="shared" si="44"/>
        <v>0</v>
      </c>
      <c r="H339" s="1">
        <f t="shared" si="45"/>
        <v>0</v>
      </c>
      <c r="I339" s="64">
        <f t="shared" si="46"/>
        <v>6</v>
      </c>
      <c r="K339" s="90" t="s">
        <v>480</v>
      </c>
      <c r="L339" s="1" t="s">
        <v>480</v>
      </c>
      <c r="M339" s="1" t="s">
        <v>480</v>
      </c>
      <c r="N339" s="1" t="s">
        <v>480</v>
      </c>
      <c r="O339" s="1" t="s">
        <v>480</v>
      </c>
      <c r="P339" s="1" t="s">
        <v>480</v>
      </c>
      <c r="Q339" s="1" t="s">
        <v>480</v>
      </c>
      <c r="R339" s="1" t="s">
        <v>480</v>
      </c>
      <c r="S339" s="1" t="s">
        <v>480</v>
      </c>
      <c r="T339" s="1" t="s">
        <v>480</v>
      </c>
      <c r="U339" s="1" t="s">
        <v>480</v>
      </c>
      <c r="V339" s="1">
        <v>2</v>
      </c>
      <c r="W339" s="1">
        <v>1</v>
      </c>
      <c r="X339" s="1" t="s">
        <v>480</v>
      </c>
      <c r="Y339" s="1" t="s">
        <v>480</v>
      </c>
      <c r="Z339" s="1" t="s">
        <v>480</v>
      </c>
      <c r="AA339" s="1" t="s">
        <v>480</v>
      </c>
      <c r="AB339" s="1" t="s">
        <v>480</v>
      </c>
      <c r="AC339" s="1" t="s">
        <v>480</v>
      </c>
      <c r="AD339" s="1" t="s">
        <v>480</v>
      </c>
      <c r="AE339" s="1" t="s">
        <v>480</v>
      </c>
      <c r="AF339" s="1" t="s">
        <v>480</v>
      </c>
      <c r="AG339" s="1" t="s">
        <v>480</v>
      </c>
      <c r="AH339" s="1" t="s">
        <v>480</v>
      </c>
      <c r="AI339" s="1" t="s">
        <v>480</v>
      </c>
      <c r="AJ339" s="1">
        <v>0</v>
      </c>
      <c r="AK339" s="1" t="s">
        <v>480</v>
      </c>
      <c r="AL339" s="1" t="s">
        <v>480</v>
      </c>
      <c r="AM339" s="1" t="s">
        <v>480</v>
      </c>
      <c r="AN339" s="1" t="s">
        <v>480</v>
      </c>
      <c r="AO339" s="1" t="s">
        <v>480</v>
      </c>
      <c r="AP339" s="1" t="s">
        <v>480</v>
      </c>
      <c r="AQ339" s="1" t="s">
        <v>480</v>
      </c>
      <c r="AR339" s="1" t="s">
        <v>480</v>
      </c>
      <c r="AS339" s="1" t="s">
        <v>480</v>
      </c>
      <c r="AT339" s="1">
        <f t="shared" si="47"/>
        <v>3</v>
      </c>
    </row>
    <row r="340" spans="1:46" x14ac:dyDescent="0.25">
      <c r="A340" s="1">
        <f>COUNTIF('Value Matchup'!$D$356:$D$423,'Team History'!B340)</f>
        <v>0</v>
      </c>
      <c r="B340" t="s">
        <v>411</v>
      </c>
      <c r="C340" s="1">
        <f t="shared" si="40"/>
        <v>2</v>
      </c>
      <c r="D340" s="1">
        <f t="shared" si="41"/>
        <v>0</v>
      </c>
      <c r="E340" s="1">
        <f t="shared" si="42"/>
        <v>0</v>
      </c>
      <c r="F340" s="1">
        <f t="shared" si="43"/>
        <v>0</v>
      </c>
      <c r="G340" s="1">
        <f t="shared" si="44"/>
        <v>0</v>
      </c>
      <c r="H340" s="1">
        <f t="shared" si="45"/>
        <v>0</v>
      </c>
      <c r="I340" s="64">
        <f t="shared" si="46"/>
        <v>8</v>
      </c>
      <c r="K340" s="90" t="s">
        <v>480</v>
      </c>
      <c r="L340" s="1" t="s">
        <v>480</v>
      </c>
      <c r="M340" s="1" t="s">
        <v>480</v>
      </c>
      <c r="N340" s="1">
        <v>0</v>
      </c>
      <c r="O340" s="1" t="s">
        <v>480</v>
      </c>
      <c r="P340" s="1">
        <v>0</v>
      </c>
      <c r="Q340" s="1" t="s">
        <v>480</v>
      </c>
      <c r="R340" s="1" t="s">
        <v>480</v>
      </c>
      <c r="S340" s="1" t="s">
        <v>480</v>
      </c>
      <c r="T340" s="1" t="s">
        <v>480</v>
      </c>
      <c r="U340" s="1" t="s">
        <v>480</v>
      </c>
      <c r="V340" s="1" t="s">
        <v>480</v>
      </c>
      <c r="W340" s="1">
        <v>0</v>
      </c>
      <c r="X340" s="1" t="s">
        <v>480</v>
      </c>
      <c r="Y340" s="1" t="s">
        <v>480</v>
      </c>
      <c r="Z340" s="1" t="s">
        <v>480</v>
      </c>
      <c r="AA340" s="1">
        <v>0</v>
      </c>
      <c r="AB340" s="1" t="s">
        <v>480</v>
      </c>
      <c r="AC340" s="1" t="s">
        <v>480</v>
      </c>
      <c r="AD340" s="1" t="s">
        <v>480</v>
      </c>
      <c r="AE340" s="1">
        <v>1</v>
      </c>
      <c r="AF340" s="1" t="s">
        <v>480</v>
      </c>
      <c r="AG340" s="1" t="s">
        <v>480</v>
      </c>
      <c r="AH340" s="1" t="s">
        <v>480</v>
      </c>
      <c r="AI340" s="1">
        <v>1</v>
      </c>
      <c r="AJ340" s="1" t="s">
        <v>480</v>
      </c>
      <c r="AK340" s="1" t="s">
        <v>480</v>
      </c>
      <c r="AL340" s="1" t="s">
        <v>480</v>
      </c>
      <c r="AM340" s="1" t="s">
        <v>480</v>
      </c>
      <c r="AN340" s="1" t="s">
        <v>480</v>
      </c>
      <c r="AO340" s="1" t="s">
        <v>480</v>
      </c>
      <c r="AP340" s="1" t="s">
        <v>480</v>
      </c>
      <c r="AQ340" s="1" t="s">
        <v>480</v>
      </c>
      <c r="AR340" s="1" t="s">
        <v>480</v>
      </c>
      <c r="AS340" s="1" t="s">
        <v>480</v>
      </c>
      <c r="AT340" s="1">
        <f t="shared" si="47"/>
        <v>6</v>
      </c>
    </row>
    <row r="341" spans="1:46" x14ac:dyDescent="0.25">
      <c r="A341" s="1">
        <f>COUNTIF('Value Matchup'!$D$356:$D$423,'Team History'!B341)</f>
        <v>1</v>
      </c>
      <c r="B341" t="s">
        <v>412</v>
      </c>
      <c r="C341" s="1">
        <f t="shared" si="40"/>
        <v>10</v>
      </c>
      <c r="D341" s="1">
        <f t="shared" si="41"/>
        <v>8</v>
      </c>
      <c r="E341" s="1">
        <f t="shared" si="42"/>
        <v>2</v>
      </c>
      <c r="F341" s="1">
        <f t="shared" si="43"/>
        <v>1</v>
      </c>
      <c r="G341" s="1">
        <f t="shared" si="44"/>
        <v>0</v>
      </c>
      <c r="H341" s="1">
        <f t="shared" si="45"/>
        <v>0</v>
      </c>
      <c r="I341" s="64">
        <f t="shared" si="46"/>
        <v>48</v>
      </c>
      <c r="K341" s="90" t="s">
        <v>480</v>
      </c>
      <c r="L341" s="1">
        <v>2</v>
      </c>
      <c r="M341" s="1">
        <v>2</v>
      </c>
      <c r="N341" s="1">
        <v>0</v>
      </c>
      <c r="O341" s="1">
        <v>2</v>
      </c>
      <c r="P341" s="1" t="s">
        <v>480</v>
      </c>
      <c r="Q341" s="1" t="s">
        <v>480</v>
      </c>
      <c r="R341" s="1">
        <v>0</v>
      </c>
      <c r="S341" s="1">
        <v>1</v>
      </c>
      <c r="T341" s="1">
        <v>4</v>
      </c>
      <c r="U341" s="1">
        <v>0</v>
      </c>
      <c r="V341" s="1">
        <v>2</v>
      </c>
      <c r="W341" s="1" t="s">
        <v>480</v>
      </c>
      <c r="X341" s="1">
        <v>2</v>
      </c>
      <c r="Y341" s="1">
        <v>3</v>
      </c>
      <c r="Z341" s="1" t="s">
        <v>480</v>
      </c>
      <c r="AA341" s="1" t="s">
        <v>480</v>
      </c>
      <c r="AB341" s="1" t="s">
        <v>480</v>
      </c>
      <c r="AC341" s="1" t="s">
        <v>480</v>
      </c>
      <c r="AD341" s="1" t="s">
        <v>480</v>
      </c>
      <c r="AE341" s="1" t="s">
        <v>480</v>
      </c>
      <c r="AF341" s="1">
        <v>2</v>
      </c>
      <c r="AG341" s="1" t="s">
        <v>480</v>
      </c>
      <c r="AH341" s="1" t="s">
        <v>480</v>
      </c>
      <c r="AI341" s="1" t="s">
        <v>480</v>
      </c>
      <c r="AJ341" s="1" t="s">
        <v>480</v>
      </c>
      <c r="AK341" s="1" t="s">
        <v>480</v>
      </c>
      <c r="AL341" s="1">
        <v>0</v>
      </c>
      <c r="AM341" s="1" t="s">
        <v>480</v>
      </c>
      <c r="AN341" s="1" t="s">
        <v>480</v>
      </c>
      <c r="AO341" s="1">
        <v>1</v>
      </c>
      <c r="AP341" s="1" t="s">
        <v>480</v>
      </c>
      <c r="AQ341" s="1">
        <v>0</v>
      </c>
      <c r="AR341" s="1">
        <v>0</v>
      </c>
      <c r="AS341" s="1" t="s">
        <v>480</v>
      </c>
      <c r="AT341" s="1">
        <f t="shared" si="47"/>
        <v>16</v>
      </c>
    </row>
    <row r="342" spans="1:46" x14ac:dyDescent="0.25">
      <c r="A342" s="1">
        <f>COUNTIF('Value Matchup'!$D$356:$D$423,'Team History'!B342)</f>
        <v>0</v>
      </c>
      <c r="B342" t="s">
        <v>413</v>
      </c>
      <c r="C342" s="1">
        <f t="shared" si="40"/>
        <v>0</v>
      </c>
      <c r="D342" s="1">
        <f t="shared" si="41"/>
        <v>0</v>
      </c>
      <c r="E342" s="1">
        <f t="shared" si="42"/>
        <v>0</v>
      </c>
      <c r="F342" s="1">
        <f t="shared" si="43"/>
        <v>0</v>
      </c>
      <c r="G342" s="1">
        <f t="shared" si="44"/>
        <v>0</v>
      </c>
      <c r="H342" s="1">
        <f t="shared" si="45"/>
        <v>0</v>
      </c>
      <c r="I342" s="64">
        <f t="shared" si="46"/>
        <v>1</v>
      </c>
      <c r="K342" s="90" t="s">
        <v>480</v>
      </c>
      <c r="L342" s="1" t="s">
        <v>480</v>
      </c>
      <c r="M342" s="1" t="s">
        <v>480</v>
      </c>
      <c r="N342" s="1" t="s">
        <v>480</v>
      </c>
      <c r="O342" s="1" t="s">
        <v>480</v>
      </c>
      <c r="P342" s="1" t="s">
        <v>480</v>
      </c>
      <c r="Q342" s="1" t="s">
        <v>480</v>
      </c>
      <c r="R342" s="1" t="s">
        <v>480</v>
      </c>
      <c r="S342" s="1" t="s">
        <v>480</v>
      </c>
      <c r="T342" s="1" t="s">
        <v>480</v>
      </c>
      <c r="U342" s="1" t="s">
        <v>480</v>
      </c>
      <c r="V342" s="1" t="s">
        <v>480</v>
      </c>
      <c r="W342" s="1" t="s">
        <v>480</v>
      </c>
      <c r="X342" s="1" t="s">
        <v>480</v>
      </c>
      <c r="Y342" s="1" t="s">
        <v>480</v>
      </c>
      <c r="Z342" s="1" t="s">
        <v>480</v>
      </c>
      <c r="AA342" s="1" t="s">
        <v>480</v>
      </c>
      <c r="AB342" s="1" t="s">
        <v>480</v>
      </c>
      <c r="AC342" s="1" t="s">
        <v>480</v>
      </c>
      <c r="AD342" s="1" t="s">
        <v>480</v>
      </c>
      <c r="AE342" s="1" t="s">
        <v>480</v>
      </c>
      <c r="AF342" s="1" t="s">
        <v>480</v>
      </c>
      <c r="AG342" s="1" t="s">
        <v>480</v>
      </c>
      <c r="AH342" s="1">
        <v>0</v>
      </c>
      <c r="AI342" s="1" t="s">
        <v>480</v>
      </c>
      <c r="AJ342" s="1" t="s">
        <v>480</v>
      </c>
      <c r="AK342" s="1" t="s">
        <v>480</v>
      </c>
      <c r="AL342" s="1" t="s">
        <v>480</v>
      </c>
      <c r="AM342" s="1" t="s">
        <v>480</v>
      </c>
      <c r="AN342" s="1" t="s">
        <v>480</v>
      </c>
      <c r="AO342" s="1" t="s">
        <v>480</v>
      </c>
      <c r="AP342" s="1" t="s">
        <v>480</v>
      </c>
      <c r="AQ342" s="1" t="s">
        <v>480</v>
      </c>
      <c r="AR342" s="1" t="s">
        <v>480</v>
      </c>
      <c r="AS342" s="1" t="s">
        <v>480</v>
      </c>
      <c r="AT342" s="1">
        <f t="shared" si="47"/>
        <v>1</v>
      </c>
    </row>
    <row r="343" spans="1:46" x14ac:dyDescent="0.25">
      <c r="A343" s="1">
        <f>COUNTIF('Value Matchup'!$D$356:$D$423,'Team History'!B343)</f>
        <v>0</v>
      </c>
      <c r="B343" t="s">
        <v>414</v>
      </c>
      <c r="C343" s="1">
        <f t="shared" si="40"/>
        <v>0</v>
      </c>
      <c r="D343" s="1">
        <f t="shared" si="41"/>
        <v>0</v>
      </c>
      <c r="E343" s="1">
        <f t="shared" si="42"/>
        <v>0</v>
      </c>
      <c r="F343" s="1">
        <f t="shared" si="43"/>
        <v>0</v>
      </c>
      <c r="G343" s="1">
        <f t="shared" si="44"/>
        <v>0</v>
      </c>
      <c r="H343" s="1">
        <f t="shared" si="45"/>
        <v>0</v>
      </c>
      <c r="I343" s="64">
        <f t="shared" si="46"/>
        <v>0</v>
      </c>
      <c r="K343" s="90" t="s">
        <v>480</v>
      </c>
      <c r="L343" s="1" t="s">
        <v>480</v>
      </c>
      <c r="M343" s="1" t="s">
        <v>480</v>
      </c>
      <c r="N343" s="1" t="s">
        <v>480</v>
      </c>
      <c r="O343" s="1" t="s">
        <v>480</v>
      </c>
      <c r="P343" s="1" t="s">
        <v>480</v>
      </c>
      <c r="Q343" s="1" t="s">
        <v>480</v>
      </c>
      <c r="R343" s="1" t="s">
        <v>480</v>
      </c>
      <c r="S343" s="1" t="s">
        <v>480</v>
      </c>
      <c r="T343" s="1" t="s">
        <v>480</v>
      </c>
      <c r="U343" s="1" t="s">
        <v>480</v>
      </c>
      <c r="V343" s="1" t="s">
        <v>480</v>
      </c>
      <c r="W343" s="1" t="s">
        <v>480</v>
      </c>
      <c r="X343" s="1" t="s">
        <v>480</v>
      </c>
      <c r="Y343" s="1" t="s">
        <v>480</v>
      </c>
      <c r="Z343" s="1" t="s">
        <v>480</v>
      </c>
      <c r="AA343" s="1" t="s">
        <v>480</v>
      </c>
      <c r="AB343" s="1" t="s">
        <v>480</v>
      </c>
      <c r="AC343" s="1" t="s">
        <v>480</v>
      </c>
      <c r="AD343" s="1" t="s">
        <v>480</v>
      </c>
      <c r="AE343" s="1" t="s">
        <v>480</v>
      </c>
      <c r="AF343" s="1" t="s">
        <v>480</v>
      </c>
      <c r="AG343" s="1" t="s">
        <v>480</v>
      </c>
      <c r="AH343" s="1" t="s">
        <v>480</v>
      </c>
      <c r="AI343" s="1" t="s">
        <v>480</v>
      </c>
      <c r="AJ343" s="1" t="s">
        <v>480</v>
      </c>
      <c r="AK343" s="1" t="s">
        <v>480</v>
      </c>
      <c r="AL343" s="1" t="s">
        <v>480</v>
      </c>
      <c r="AM343" s="1" t="s">
        <v>480</v>
      </c>
      <c r="AN343" s="1" t="s">
        <v>480</v>
      </c>
      <c r="AO343" s="1" t="s">
        <v>480</v>
      </c>
      <c r="AP343" s="1" t="s">
        <v>480</v>
      </c>
      <c r="AQ343" s="1" t="s">
        <v>480</v>
      </c>
      <c r="AR343" s="1" t="s">
        <v>480</v>
      </c>
      <c r="AS343" s="1" t="s">
        <v>480</v>
      </c>
      <c r="AT343" s="1">
        <f t="shared" si="47"/>
        <v>0</v>
      </c>
    </row>
    <row r="344" spans="1:46" x14ac:dyDescent="0.25">
      <c r="A344" s="1">
        <f>COUNTIF('Value Matchup'!$D$356:$D$423,'Team History'!B344)</f>
        <v>0</v>
      </c>
      <c r="B344" t="s">
        <v>415</v>
      </c>
      <c r="C344" s="1">
        <f t="shared" si="40"/>
        <v>6</v>
      </c>
      <c r="D344" s="1">
        <f t="shared" si="41"/>
        <v>2</v>
      </c>
      <c r="E344" s="1">
        <f t="shared" si="42"/>
        <v>0</v>
      </c>
      <c r="F344" s="1">
        <f t="shared" si="43"/>
        <v>0</v>
      </c>
      <c r="G344" s="1">
        <f t="shared" si="44"/>
        <v>0</v>
      </c>
      <c r="H344" s="1">
        <f t="shared" si="45"/>
        <v>0</v>
      </c>
      <c r="I344" s="64">
        <f t="shared" si="46"/>
        <v>20</v>
      </c>
      <c r="K344" s="90" t="s">
        <v>480</v>
      </c>
      <c r="L344" s="1" t="s">
        <v>480</v>
      </c>
      <c r="M344" s="1" t="s">
        <v>480</v>
      </c>
      <c r="N344" s="1" t="s">
        <v>480</v>
      </c>
      <c r="O344" s="1" t="s">
        <v>480</v>
      </c>
      <c r="P344" s="1" t="s">
        <v>480</v>
      </c>
      <c r="Q344" s="1">
        <v>0</v>
      </c>
      <c r="R344" s="1">
        <v>0</v>
      </c>
      <c r="S344" s="1" t="s">
        <v>480</v>
      </c>
      <c r="T344" s="1" t="s">
        <v>480</v>
      </c>
      <c r="U344" s="1">
        <v>1</v>
      </c>
      <c r="V344" s="1">
        <v>2</v>
      </c>
      <c r="W344" s="1" t="s">
        <v>480</v>
      </c>
      <c r="X344" s="1" t="s">
        <v>480</v>
      </c>
      <c r="Y344" s="1" t="s">
        <v>480</v>
      </c>
      <c r="Z344" s="1" t="s">
        <v>480</v>
      </c>
      <c r="AA344" s="1">
        <v>0</v>
      </c>
      <c r="AB344" s="1">
        <v>0</v>
      </c>
      <c r="AC344" s="1">
        <v>0</v>
      </c>
      <c r="AD344" s="1" t="s">
        <v>480</v>
      </c>
      <c r="AE344" s="1" t="s">
        <v>480</v>
      </c>
      <c r="AF344" s="1" t="s">
        <v>480</v>
      </c>
      <c r="AG344" s="1" t="s">
        <v>480</v>
      </c>
      <c r="AH344" s="1" t="s">
        <v>480</v>
      </c>
      <c r="AI344" s="1">
        <v>1</v>
      </c>
      <c r="AJ344" s="1">
        <v>0</v>
      </c>
      <c r="AK344" s="1">
        <v>2</v>
      </c>
      <c r="AL344" s="1" t="s">
        <v>480</v>
      </c>
      <c r="AM344" s="1" t="s">
        <v>480</v>
      </c>
      <c r="AN344" s="1" t="s">
        <v>480</v>
      </c>
      <c r="AO344" s="1" t="s">
        <v>480</v>
      </c>
      <c r="AP344" s="1" t="s">
        <v>480</v>
      </c>
      <c r="AQ344" s="1">
        <v>1</v>
      </c>
      <c r="AR344" s="1">
        <v>1</v>
      </c>
      <c r="AS344" s="1" t="s">
        <v>480</v>
      </c>
      <c r="AT344" s="1">
        <f t="shared" si="47"/>
        <v>12</v>
      </c>
    </row>
    <row r="345" spans="1:46" x14ac:dyDescent="0.25">
      <c r="A345" s="1">
        <f>COUNTIF('Value Matchup'!$D$356:$D$423,'Team History'!B345)</f>
        <v>0</v>
      </c>
      <c r="B345" t="s">
        <v>416</v>
      </c>
      <c r="C345" s="1">
        <f t="shared" si="40"/>
        <v>1</v>
      </c>
      <c r="D345" s="1">
        <f t="shared" si="41"/>
        <v>0</v>
      </c>
      <c r="E345" s="1">
        <f t="shared" si="42"/>
        <v>0</v>
      </c>
      <c r="F345" s="1">
        <f t="shared" si="43"/>
        <v>0</v>
      </c>
      <c r="G345" s="1">
        <f t="shared" si="44"/>
        <v>0</v>
      </c>
      <c r="H345" s="1">
        <f t="shared" si="45"/>
        <v>0</v>
      </c>
      <c r="I345" s="64">
        <f t="shared" si="46"/>
        <v>4</v>
      </c>
      <c r="K345" s="90" t="s">
        <v>480</v>
      </c>
      <c r="L345" s="1" t="s">
        <v>480</v>
      </c>
      <c r="M345" s="1" t="s">
        <v>480</v>
      </c>
      <c r="N345" s="1" t="s">
        <v>480</v>
      </c>
      <c r="O345" s="1" t="s">
        <v>480</v>
      </c>
      <c r="P345" s="1">
        <v>0</v>
      </c>
      <c r="Q345" s="1" t="s">
        <v>480</v>
      </c>
      <c r="R345" s="1" t="s">
        <v>480</v>
      </c>
      <c r="S345" s="1" t="s">
        <v>480</v>
      </c>
      <c r="T345" s="1" t="s">
        <v>480</v>
      </c>
      <c r="U345" s="1" t="s">
        <v>480</v>
      </c>
      <c r="V345" s="1" t="s">
        <v>480</v>
      </c>
      <c r="W345" s="1" t="s">
        <v>480</v>
      </c>
      <c r="X345" s="1" t="s">
        <v>480</v>
      </c>
      <c r="Y345" s="1" t="s">
        <v>480</v>
      </c>
      <c r="Z345" s="1">
        <v>0</v>
      </c>
      <c r="AA345" s="1" t="s">
        <v>480</v>
      </c>
      <c r="AB345" s="1" t="s">
        <v>480</v>
      </c>
      <c r="AC345" s="1" t="s">
        <v>480</v>
      </c>
      <c r="AD345" s="1" t="s">
        <v>480</v>
      </c>
      <c r="AE345" s="1" t="s">
        <v>480</v>
      </c>
      <c r="AF345" s="1">
        <v>1</v>
      </c>
      <c r="AG345" s="1" t="s">
        <v>480</v>
      </c>
      <c r="AH345" s="1" t="s">
        <v>480</v>
      </c>
      <c r="AI345" s="1" t="s">
        <v>480</v>
      </c>
      <c r="AJ345" s="1" t="s">
        <v>480</v>
      </c>
      <c r="AK345" s="1" t="s">
        <v>480</v>
      </c>
      <c r="AL345" s="1" t="s">
        <v>480</v>
      </c>
      <c r="AM345" s="1" t="s">
        <v>480</v>
      </c>
      <c r="AN345" s="1" t="s">
        <v>480</v>
      </c>
      <c r="AO345" s="1" t="s">
        <v>480</v>
      </c>
      <c r="AP345" s="1" t="s">
        <v>480</v>
      </c>
      <c r="AQ345" s="1" t="s">
        <v>480</v>
      </c>
      <c r="AR345" s="1" t="s">
        <v>480</v>
      </c>
      <c r="AS345" s="1" t="s">
        <v>480</v>
      </c>
      <c r="AT345" s="1">
        <f t="shared" si="47"/>
        <v>3</v>
      </c>
    </row>
    <row r="346" spans="1:46" x14ac:dyDescent="0.25">
      <c r="A346" s="1">
        <f>COUNTIF('Value Matchup'!$D$356:$D$423,'Team History'!B346)</f>
        <v>1</v>
      </c>
      <c r="B346" t="s">
        <v>417</v>
      </c>
      <c r="C346" s="1">
        <f t="shared" si="40"/>
        <v>6</v>
      </c>
      <c r="D346" s="1">
        <f t="shared" si="41"/>
        <v>3</v>
      </c>
      <c r="E346" s="1">
        <f t="shared" si="42"/>
        <v>1</v>
      </c>
      <c r="F346" s="1">
        <f t="shared" si="43"/>
        <v>1</v>
      </c>
      <c r="G346" s="1">
        <f t="shared" si="44"/>
        <v>0</v>
      </c>
      <c r="H346" s="1">
        <f t="shared" si="45"/>
        <v>0</v>
      </c>
      <c r="I346" s="64">
        <f t="shared" si="46"/>
        <v>31</v>
      </c>
      <c r="K346" s="90" t="s">
        <v>480</v>
      </c>
      <c r="L346" s="1">
        <v>0</v>
      </c>
      <c r="M346" s="1">
        <v>1</v>
      </c>
      <c r="N346" s="1">
        <v>1</v>
      </c>
      <c r="O346" s="1">
        <v>2</v>
      </c>
      <c r="P346" s="1">
        <v>1</v>
      </c>
      <c r="Q346" s="1">
        <v>4</v>
      </c>
      <c r="R346" s="1">
        <v>0</v>
      </c>
      <c r="S346" s="1" t="s">
        <v>480</v>
      </c>
      <c r="T346" s="1" t="s">
        <v>480</v>
      </c>
      <c r="U346" s="1" t="s">
        <v>480</v>
      </c>
      <c r="V346" s="1" t="s">
        <v>480</v>
      </c>
      <c r="W346" s="1" t="s">
        <v>480</v>
      </c>
      <c r="X346" s="1">
        <v>2</v>
      </c>
      <c r="Y346" s="1" t="s">
        <v>480</v>
      </c>
      <c r="Z346" s="1" t="s">
        <v>480</v>
      </c>
      <c r="AA346" s="1" t="s">
        <v>480</v>
      </c>
      <c r="AB346" s="1" t="s">
        <v>480</v>
      </c>
      <c r="AC346" s="1" t="s">
        <v>480</v>
      </c>
      <c r="AD346" s="1" t="s">
        <v>480</v>
      </c>
      <c r="AE346" s="1" t="s">
        <v>480</v>
      </c>
      <c r="AF346" s="1" t="s">
        <v>480</v>
      </c>
      <c r="AG346" s="1" t="s">
        <v>480</v>
      </c>
      <c r="AH346" s="1" t="s">
        <v>480</v>
      </c>
      <c r="AI346" s="1" t="s">
        <v>480</v>
      </c>
      <c r="AJ346" s="1" t="s">
        <v>480</v>
      </c>
      <c r="AK346" s="1" t="s">
        <v>480</v>
      </c>
      <c r="AL346" s="1" t="s">
        <v>480</v>
      </c>
      <c r="AM346" s="1" t="s">
        <v>480</v>
      </c>
      <c r="AN346" s="1" t="s">
        <v>480</v>
      </c>
      <c r="AO346" s="1" t="s">
        <v>480</v>
      </c>
      <c r="AP346" s="1">
        <v>0</v>
      </c>
      <c r="AQ346" s="1">
        <v>0</v>
      </c>
      <c r="AR346" s="1" t="s">
        <v>480</v>
      </c>
      <c r="AS346" s="1">
        <v>0</v>
      </c>
      <c r="AT346" s="1">
        <f t="shared" si="47"/>
        <v>11</v>
      </c>
    </row>
    <row r="347" spans="1:46" x14ac:dyDescent="0.25">
      <c r="A347" s="1">
        <f>COUNTIF('Value Matchup'!$D$356:$D$423,'Team History'!B347)</f>
        <v>0</v>
      </c>
      <c r="B347" t="s">
        <v>418</v>
      </c>
      <c r="C347" s="1">
        <f t="shared" si="40"/>
        <v>0</v>
      </c>
      <c r="D347" s="1">
        <f t="shared" si="41"/>
        <v>0</v>
      </c>
      <c r="E347" s="1">
        <f t="shared" si="42"/>
        <v>0</v>
      </c>
      <c r="F347" s="1">
        <f t="shared" si="43"/>
        <v>0</v>
      </c>
      <c r="G347" s="1">
        <f t="shared" si="44"/>
        <v>0</v>
      </c>
      <c r="H347" s="1">
        <f t="shared" si="45"/>
        <v>0</v>
      </c>
      <c r="I347" s="64">
        <f t="shared" si="46"/>
        <v>0</v>
      </c>
      <c r="K347" s="90" t="s">
        <v>480</v>
      </c>
      <c r="L347" s="1" t="s">
        <v>480</v>
      </c>
      <c r="M347" s="1" t="s">
        <v>480</v>
      </c>
      <c r="N347" s="1" t="s">
        <v>480</v>
      </c>
      <c r="O347" s="1" t="s">
        <v>480</v>
      </c>
      <c r="P347" s="1" t="s">
        <v>480</v>
      </c>
      <c r="Q347" s="1" t="s">
        <v>480</v>
      </c>
      <c r="R347" s="1" t="s">
        <v>480</v>
      </c>
      <c r="S347" s="1" t="s">
        <v>480</v>
      </c>
      <c r="T347" s="1" t="s">
        <v>480</v>
      </c>
      <c r="U347" s="1" t="s">
        <v>480</v>
      </c>
      <c r="V347" s="1" t="s">
        <v>480</v>
      </c>
      <c r="W347" s="1" t="s">
        <v>480</v>
      </c>
      <c r="X347" s="1" t="s">
        <v>480</v>
      </c>
      <c r="Y347" s="1" t="s">
        <v>480</v>
      </c>
      <c r="Z347" s="1" t="s">
        <v>480</v>
      </c>
      <c r="AA347" s="1" t="s">
        <v>480</v>
      </c>
      <c r="AB347" s="1" t="s">
        <v>480</v>
      </c>
      <c r="AC347" s="1" t="s">
        <v>480</v>
      </c>
      <c r="AD347" s="1" t="s">
        <v>480</v>
      </c>
      <c r="AE347" s="1" t="s">
        <v>480</v>
      </c>
      <c r="AF347" s="1" t="s">
        <v>480</v>
      </c>
      <c r="AG347" s="1" t="s">
        <v>480</v>
      </c>
      <c r="AH347" s="1" t="s">
        <v>480</v>
      </c>
      <c r="AI347" s="1" t="s">
        <v>480</v>
      </c>
      <c r="AJ347" s="1" t="s">
        <v>480</v>
      </c>
      <c r="AK347" s="1" t="s">
        <v>480</v>
      </c>
      <c r="AL347" s="1" t="s">
        <v>480</v>
      </c>
      <c r="AM347" s="1" t="s">
        <v>480</v>
      </c>
      <c r="AN347" s="1" t="s">
        <v>480</v>
      </c>
      <c r="AO347" s="1" t="s">
        <v>480</v>
      </c>
      <c r="AP347" s="1" t="s">
        <v>480</v>
      </c>
      <c r="AQ347" s="1" t="s">
        <v>480</v>
      </c>
      <c r="AR347" s="1" t="s">
        <v>480</v>
      </c>
      <c r="AS347" s="1" t="s">
        <v>480</v>
      </c>
      <c r="AT347" s="1">
        <f t="shared" si="47"/>
        <v>0</v>
      </c>
    </row>
    <row r="348" spans="1:46" x14ac:dyDescent="0.25">
      <c r="A348" s="1">
        <f>COUNTIF('Value Matchup'!$D$356:$D$423,'Team History'!B348)</f>
        <v>1</v>
      </c>
      <c r="B348" t="s">
        <v>419</v>
      </c>
      <c r="C348" s="1">
        <f t="shared" si="40"/>
        <v>1</v>
      </c>
      <c r="D348" s="1">
        <f t="shared" si="41"/>
        <v>0</v>
      </c>
      <c r="E348" s="1">
        <f t="shared" si="42"/>
        <v>0</v>
      </c>
      <c r="F348" s="1">
        <f t="shared" si="43"/>
        <v>0</v>
      </c>
      <c r="G348" s="1">
        <f t="shared" si="44"/>
        <v>0</v>
      </c>
      <c r="H348" s="1">
        <f t="shared" si="45"/>
        <v>0</v>
      </c>
      <c r="I348" s="64">
        <f t="shared" si="46"/>
        <v>11</v>
      </c>
      <c r="K348" s="90" t="s">
        <v>480</v>
      </c>
      <c r="L348" s="1" t="s">
        <v>480</v>
      </c>
      <c r="M348" s="1">
        <v>0</v>
      </c>
      <c r="N348" s="1" t="s">
        <v>480</v>
      </c>
      <c r="O348" s="1" t="s">
        <v>480</v>
      </c>
      <c r="P348" s="1" t="s">
        <v>480</v>
      </c>
      <c r="Q348" s="1" t="s">
        <v>480</v>
      </c>
      <c r="R348" s="1" t="s">
        <v>480</v>
      </c>
      <c r="S348" s="1" t="s">
        <v>480</v>
      </c>
      <c r="T348" s="1">
        <v>0</v>
      </c>
      <c r="U348" s="1" t="s">
        <v>480</v>
      </c>
      <c r="V348" s="1">
        <v>0</v>
      </c>
      <c r="W348" s="1">
        <v>1</v>
      </c>
      <c r="X348" s="1">
        <v>0</v>
      </c>
      <c r="Y348" s="1">
        <v>0</v>
      </c>
      <c r="Z348" s="1" t="s">
        <v>480</v>
      </c>
      <c r="AA348" s="1" t="s">
        <v>480</v>
      </c>
      <c r="AB348" s="1">
        <v>0</v>
      </c>
      <c r="AC348" s="1">
        <v>0</v>
      </c>
      <c r="AD348" s="1">
        <v>0</v>
      </c>
      <c r="AE348" s="1">
        <v>0</v>
      </c>
      <c r="AF348" s="1" t="s">
        <v>480</v>
      </c>
      <c r="AG348" s="1" t="s">
        <v>480</v>
      </c>
      <c r="AH348" s="1" t="s">
        <v>480</v>
      </c>
      <c r="AI348" s="1" t="s">
        <v>480</v>
      </c>
      <c r="AJ348" s="1" t="s">
        <v>480</v>
      </c>
      <c r="AK348" s="1" t="s">
        <v>480</v>
      </c>
      <c r="AL348" s="1" t="s">
        <v>480</v>
      </c>
      <c r="AM348" s="1" t="s">
        <v>480</v>
      </c>
      <c r="AN348" s="1" t="s">
        <v>480</v>
      </c>
      <c r="AO348" s="1" t="s">
        <v>480</v>
      </c>
      <c r="AP348" s="1" t="s">
        <v>480</v>
      </c>
      <c r="AQ348" s="1" t="s">
        <v>480</v>
      </c>
      <c r="AR348" s="1" t="s">
        <v>480</v>
      </c>
      <c r="AS348" s="1" t="s">
        <v>480</v>
      </c>
      <c r="AT348" s="1">
        <f t="shared" si="47"/>
        <v>10</v>
      </c>
    </row>
    <row r="349" spans="1:46" x14ac:dyDescent="0.25">
      <c r="A349" s="1">
        <f>COUNTIF('Value Matchup'!$D$356:$D$423,'Team History'!B349)</f>
        <v>1</v>
      </c>
      <c r="B349" t="s">
        <v>39</v>
      </c>
      <c r="C349" s="1">
        <f t="shared" si="40"/>
        <v>16</v>
      </c>
      <c r="D349" s="1">
        <f t="shared" si="41"/>
        <v>10</v>
      </c>
      <c r="E349" s="1">
        <f t="shared" si="42"/>
        <v>4</v>
      </c>
      <c r="F349" s="1">
        <f t="shared" si="43"/>
        <v>3</v>
      </c>
      <c r="G349" s="1">
        <f t="shared" si="44"/>
        <v>1</v>
      </c>
      <c r="H349" s="1">
        <f t="shared" si="45"/>
        <v>0</v>
      </c>
      <c r="I349" s="64">
        <f t="shared" si="46"/>
        <v>74</v>
      </c>
      <c r="K349" s="90">
        <v>0</v>
      </c>
      <c r="L349" s="1" t="s">
        <v>480</v>
      </c>
      <c r="M349" s="1">
        <v>2</v>
      </c>
      <c r="N349" s="1">
        <v>2</v>
      </c>
      <c r="O349" s="1">
        <v>5</v>
      </c>
      <c r="P349" s="1">
        <v>4</v>
      </c>
      <c r="Q349" s="1">
        <v>0</v>
      </c>
      <c r="R349" s="1">
        <v>2</v>
      </c>
      <c r="S349" s="1">
        <v>2</v>
      </c>
      <c r="T349" s="1">
        <v>1</v>
      </c>
      <c r="U349" s="1">
        <v>1</v>
      </c>
      <c r="V349" s="1">
        <v>2</v>
      </c>
      <c r="W349" s="1">
        <v>1</v>
      </c>
      <c r="X349" s="1">
        <v>0</v>
      </c>
      <c r="Y349" s="1">
        <v>3</v>
      </c>
      <c r="Z349" s="1">
        <v>1</v>
      </c>
      <c r="AA349" s="1">
        <v>2</v>
      </c>
      <c r="AB349" s="1">
        <v>1</v>
      </c>
      <c r="AC349" s="1">
        <v>0</v>
      </c>
      <c r="AD349" s="1">
        <v>4</v>
      </c>
      <c r="AE349" s="1">
        <v>0</v>
      </c>
      <c r="AF349" s="1" t="s">
        <v>480</v>
      </c>
      <c r="AG349" s="1">
        <v>0</v>
      </c>
      <c r="AH349" s="1" t="s">
        <v>480</v>
      </c>
      <c r="AI349" s="1" t="s">
        <v>480</v>
      </c>
      <c r="AJ349" s="1">
        <v>1</v>
      </c>
      <c r="AK349" s="1" t="s">
        <v>480</v>
      </c>
      <c r="AL349" s="1" t="s">
        <v>480</v>
      </c>
      <c r="AM349" s="1" t="s">
        <v>480</v>
      </c>
      <c r="AN349" s="1" t="s">
        <v>480</v>
      </c>
      <c r="AO349" s="1" t="s">
        <v>480</v>
      </c>
      <c r="AP349" s="1" t="s">
        <v>480</v>
      </c>
      <c r="AQ349" s="1" t="s">
        <v>480</v>
      </c>
      <c r="AR349" s="1" t="s">
        <v>480</v>
      </c>
      <c r="AS349" s="1" t="s">
        <v>480</v>
      </c>
      <c r="AT349" s="1">
        <f t="shared" si="47"/>
        <v>22</v>
      </c>
    </row>
    <row r="350" spans="1:46" x14ac:dyDescent="0.25">
      <c r="A350" s="1">
        <f>COUNTIF('Value Matchup'!$D$356:$D$423,'Team History'!B350)</f>
        <v>0</v>
      </c>
      <c r="B350" t="s">
        <v>42</v>
      </c>
      <c r="C350" s="1">
        <f t="shared" si="40"/>
        <v>1</v>
      </c>
      <c r="D350" s="1">
        <f t="shared" si="41"/>
        <v>0</v>
      </c>
      <c r="E350" s="1">
        <f t="shared" si="42"/>
        <v>0</v>
      </c>
      <c r="F350" s="1">
        <f t="shared" si="43"/>
        <v>0</v>
      </c>
      <c r="G350" s="1">
        <f t="shared" si="44"/>
        <v>0</v>
      </c>
      <c r="H350" s="1">
        <f t="shared" si="45"/>
        <v>0</v>
      </c>
      <c r="I350" s="64">
        <f t="shared" si="46"/>
        <v>7</v>
      </c>
      <c r="K350" s="90">
        <v>1</v>
      </c>
      <c r="L350" s="1" t="s">
        <v>480</v>
      </c>
      <c r="M350" s="1" t="s">
        <v>480</v>
      </c>
      <c r="N350" s="1" t="s">
        <v>480</v>
      </c>
      <c r="O350" s="1">
        <v>0</v>
      </c>
      <c r="P350" s="1">
        <v>0</v>
      </c>
      <c r="Q350" s="1" t="s">
        <v>480</v>
      </c>
      <c r="R350" s="1" t="s">
        <v>480</v>
      </c>
      <c r="S350" s="1">
        <v>0</v>
      </c>
      <c r="T350" s="1">
        <v>0</v>
      </c>
      <c r="U350" s="1" t="s">
        <v>480</v>
      </c>
      <c r="V350" s="1" t="s">
        <v>480</v>
      </c>
      <c r="W350" s="1" t="s">
        <v>480</v>
      </c>
      <c r="X350" s="1" t="s">
        <v>480</v>
      </c>
      <c r="Y350" s="1" t="s">
        <v>480</v>
      </c>
      <c r="Z350" s="1" t="s">
        <v>480</v>
      </c>
      <c r="AA350" s="1" t="s">
        <v>480</v>
      </c>
      <c r="AB350" s="1" t="s">
        <v>480</v>
      </c>
      <c r="AC350" s="1" t="s">
        <v>480</v>
      </c>
      <c r="AD350" s="1" t="s">
        <v>480</v>
      </c>
      <c r="AE350" s="1" t="s">
        <v>480</v>
      </c>
      <c r="AF350" s="1" t="s">
        <v>480</v>
      </c>
      <c r="AG350" s="1" t="s">
        <v>480</v>
      </c>
      <c r="AH350" s="1" t="s">
        <v>480</v>
      </c>
      <c r="AI350" s="1" t="s">
        <v>480</v>
      </c>
      <c r="AJ350" s="1" t="s">
        <v>480</v>
      </c>
      <c r="AK350" s="1" t="s">
        <v>480</v>
      </c>
      <c r="AL350" s="1" t="s">
        <v>480</v>
      </c>
      <c r="AM350" s="1" t="s">
        <v>480</v>
      </c>
      <c r="AN350" s="1" t="s">
        <v>480</v>
      </c>
      <c r="AO350" s="1" t="s">
        <v>480</v>
      </c>
      <c r="AP350" s="1" t="s">
        <v>480</v>
      </c>
      <c r="AQ350" s="1" t="s">
        <v>480</v>
      </c>
      <c r="AR350" s="1" t="s">
        <v>480</v>
      </c>
      <c r="AS350" s="1" t="s">
        <v>480</v>
      </c>
      <c r="AT350" s="1">
        <f t="shared" si="47"/>
        <v>5</v>
      </c>
    </row>
    <row r="351" spans="1:46" x14ac:dyDescent="0.25">
      <c r="A351" s="1">
        <f>COUNTIF('Value Matchup'!$D$356:$D$423,'Team History'!B351)</f>
        <v>0</v>
      </c>
      <c r="B351" t="s">
        <v>420</v>
      </c>
      <c r="C351" s="1">
        <f t="shared" si="40"/>
        <v>0</v>
      </c>
      <c r="D351" s="1">
        <f t="shared" si="41"/>
        <v>0</v>
      </c>
      <c r="E351" s="1">
        <f t="shared" si="42"/>
        <v>0</v>
      </c>
      <c r="F351" s="1">
        <f t="shared" si="43"/>
        <v>0</v>
      </c>
      <c r="G351" s="1">
        <f t="shared" si="44"/>
        <v>0</v>
      </c>
      <c r="H351" s="1">
        <f t="shared" si="45"/>
        <v>0</v>
      </c>
      <c r="I351" s="64">
        <f t="shared" si="46"/>
        <v>3</v>
      </c>
      <c r="K351" s="90" t="s">
        <v>480</v>
      </c>
      <c r="L351" s="1">
        <v>0</v>
      </c>
      <c r="M351" s="1" t="s">
        <v>480</v>
      </c>
      <c r="N351" s="1" t="s">
        <v>480</v>
      </c>
      <c r="O351" s="1" t="s">
        <v>480</v>
      </c>
      <c r="P351" s="1" t="s">
        <v>480</v>
      </c>
      <c r="Q351" s="1" t="s">
        <v>480</v>
      </c>
      <c r="R351" s="1" t="s">
        <v>480</v>
      </c>
      <c r="S351" s="1" t="s">
        <v>480</v>
      </c>
      <c r="T351" s="1" t="s">
        <v>480</v>
      </c>
      <c r="U351" s="1" t="s">
        <v>480</v>
      </c>
      <c r="V351" s="1" t="s">
        <v>480</v>
      </c>
      <c r="W351" s="1">
        <v>0</v>
      </c>
      <c r="X351" s="1" t="s">
        <v>480</v>
      </c>
      <c r="Y351" s="1" t="s">
        <v>480</v>
      </c>
      <c r="Z351" s="1" t="s">
        <v>480</v>
      </c>
      <c r="AA351" s="1" t="s">
        <v>480</v>
      </c>
      <c r="AB351" s="1" t="s">
        <v>480</v>
      </c>
      <c r="AC351" s="1" t="s">
        <v>480</v>
      </c>
      <c r="AD351" s="1" t="s">
        <v>480</v>
      </c>
      <c r="AE351" s="1" t="s">
        <v>480</v>
      </c>
      <c r="AF351" s="1" t="s">
        <v>480</v>
      </c>
      <c r="AG351" s="1" t="s">
        <v>480</v>
      </c>
      <c r="AH351" s="1" t="s">
        <v>480</v>
      </c>
      <c r="AI351" s="1" t="s">
        <v>480</v>
      </c>
      <c r="AJ351" s="1" t="s">
        <v>480</v>
      </c>
      <c r="AK351" s="1">
        <v>0</v>
      </c>
      <c r="AL351" s="1" t="s">
        <v>480</v>
      </c>
      <c r="AM351" s="1" t="s">
        <v>480</v>
      </c>
      <c r="AN351" s="1" t="s">
        <v>480</v>
      </c>
      <c r="AO351" s="1" t="s">
        <v>480</v>
      </c>
      <c r="AP351" s="1" t="s">
        <v>480</v>
      </c>
      <c r="AQ351" s="1" t="s">
        <v>480</v>
      </c>
      <c r="AR351" s="1" t="s">
        <v>480</v>
      </c>
      <c r="AS351" s="1" t="s">
        <v>480</v>
      </c>
      <c r="AT351" s="1">
        <f t="shared" si="47"/>
        <v>3</v>
      </c>
    </row>
    <row r="352" spans="1:46" x14ac:dyDescent="0.25">
      <c r="A352" s="1">
        <f>COUNTIF('Value Matchup'!$D$356:$D$423,'Team History'!B352)</f>
        <v>0</v>
      </c>
      <c r="B352" t="s">
        <v>53</v>
      </c>
      <c r="C352" s="1">
        <f t="shared" si="40"/>
        <v>2</v>
      </c>
      <c r="D352" s="1">
        <f t="shared" si="41"/>
        <v>1</v>
      </c>
      <c r="E352" s="1">
        <f t="shared" si="42"/>
        <v>0</v>
      </c>
      <c r="F352" s="1">
        <f t="shared" si="43"/>
        <v>0</v>
      </c>
      <c r="G352" s="1">
        <f t="shared" si="44"/>
        <v>0</v>
      </c>
      <c r="H352" s="1">
        <f t="shared" si="45"/>
        <v>0</v>
      </c>
      <c r="I352" s="64">
        <f t="shared" si="46"/>
        <v>7</v>
      </c>
      <c r="K352" s="90" t="s">
        <v>480</v>
      </c>
      <c r="L352" s="1" t="s">
        <v>480</v>
      </c>
      <c r="M352" s="1" t="s">
        <v>480</v>
      </c>
      <c r="N352" s="1" t="s">
        <v>480</v>
      </c>
      <c r="O352" s="1">
        <v>0</v>
      </c>
      <c r="P352" s="1" t="s">
        <v>480</v>
      </c>
      <c r="Q352" s="1" t="s">
        <v>480</v>
      </c>
      <c r="R352" s="1" t="s">
        <v>480</v>
      </c>
      <c r="S352" s="1" t="s">
        <v>480</v>
      </c>
      <c r="T352" s="1" t="s">
        <v>480</v>
      </c>
      <c r="U352" s="1" t="s">
        <v>480</v>
      </c>
      <c r="V352" s="1" t="s">
        <v>480</v>
      </c>
      <c r="W352" s="1" t="s">
        <v>480</v>
      </c>
      <c r="X352" s="1" t="s">
        <v>480</v>
      </c>
      <c r="Y352" s="1" t="s">
        <v>480</v>
      </c>
      <c r="Z352" s="1" t="s">
        <v>480</v>
      </c>
      <c r="AA352" s="1" t="s">
        <v>480</v>
      </c>
      <c r="AB352" s="1">
        <v>1</v>
      </c>
      <c r="AC352" s="1" t="s">
        <v>480</v>
      </c>
      <c r="AD352" s="1" t="s">
        <v>480</v>
      </c>
      <c r="AE352" s="1" t="s">
        <v>480</v>
      </c>
      <c r="AF352" s="1" t="s">
        <v>480</v>
      </c>
      <c r="AG352" s="1" t="s">
        <v>480</v>
      </c>
      <c r="AH352" s="1" t="s">
        <v>480</v>
      </c>
      <c r="AI352" s="1" t="s">
        <v>480</v>
      </c>
      <c r="AJ352" s="1" t="s">
        <v>480</v>
      </c>
      <c r="AK352" s="1" t="s">
        <v>480</v>
      </c>
      <c r="AL352" s="1" t="s">
        <v>480</v>
      </c>
      <c r="AM352" s="1" t="s">
        <v>480</v>
      </c>
      <c r="AN352" s="1" t="s">
        <v>480</v>
      </c>
      <c r="AO352" s="1" t="s">
        <v>480</v>
      </c>
      <c r="AP352" s="1">
        <v>0</v>
      </c>
      <c r="AQ352" s="1">
        <v>2</v>
      </c>
      <c r="AR352" s="1" t="s">
        <v>480</v>
      </c>
      <c r="AS352" s="1" t="s">
        <v>480</v>
      </c>
      <c r="AT352" s="1">
        <f t="shared" si="47"/>
        <v>4</v>
      </c>
    </row>
    <row r="353" spans="1:46" x14ac:dyDescent="0.25">
      <c r="A353" s="1">
        <f>COUNTIF('Value Matchup'!$D$356:$D$423,'Team History'!B353)</f>
        <v>0</v>
      </c>
      <c r="B353" t="s">
        <v>44</v>
      </c>
      <c r="C353" s="1">
        <f t="shared" si="40"/>
        <v>17</v>
      </c>
      <c r="D353" s="1">
        <f t="shared" si="41"/>
        <v>8</v>
      </c>
      <c r="E353" s="1">
        <f t="shared" si="42"/>
        <v>3</v>
      </c>
      <c r="F353" s="1">
        <f t="shared" si="43"/>
        <v>0</v>
      </c>
      <c r="G353" s="1">
        <f t="shared" si="44"/>
        <v>0</v>
      </c>
      <c r="H353" s="1">
        <f t="shared" si="45"/>
        <v>0</v>
      </c>
      <c r="I353" s="64">
        <f t="shared" si="46"/>
        <v>65</v>
      </c>
      <c r="K353" s="90" t="s">
        <v>480</v>
      </c>
      <c r="L353" s="1">
        <v>1</v>
      </c>
      <c r="M353" s="1">
        <v>3</v>
      </c>
      <c r="N353" s="1">
        <v>1</v>
      </c>
      <c r="O353" s="1">
        <v>2</v>
      </c>
      <c r="P353" s="1">
        <v>0</v>
      </c>
      <c r="Q353" s="1" t="s">
        <v>480</v>
      </c>
      <c r="R353" s="1">
        <v>2</v>
      </c>
      <c r="S353" s="1">
        <v>0</v>
      </c>
      <c r="T353" s="1">
        <v>2</v>
      </c>
      <c r="U353" s="1">
        <v>2</v>
      </c>
      <c r="V353" s="1">
        <v>3</v>
      </c>
      <c r="W353" s="1">
        <v>1</v>
      </c>
      <c r="X353" s="1">
        <v>0</v>
      </c>
      <c r="Y353" s="1" t="s">
        <v>480</v>
      </c>
      <c r="Z353" s="1">
        <v>3</v>
      </c>
      <c r="AA353" s="1">
        <v>1</v>
      </c>
      <c r="AB353" s="1">
        <v>1</v>
      </c>
      <c r="AC353" s="1">
        <v>0</v>
      </c>
      <c r="AD353" s="1" t="s">
        <v>480</v>
      </c>
      <c r="AE353" s="1" t="s">
        <v>480</v>
      </c>
      <c r="AF353" s="1">
        <v>0</v>
      </c>
      <c r="AG353" s="1">
        <v>1</v>
      </c>
      <c r="AH353" s="1" t="s">
        <v>480</v>
      </c>
      <c r="AI353" s="1">
        <v>0</v>
      </c>
      <c r="AJ353" s="1" t="s">
        <v>480</v>
      </c>
      <c r="AK353" s="1">
        <v>1</v>
      </c>
      <c r="AL353" s="1" t="s">
        <v>480</v>
      </c>
      <c r="AM353" s="1">
        <v>1</v>
      </c>
      <c r="AN353" s="1">
        <v>2</v>
      </c>
      <c r="AO353" s="1">
        <v>0</v>
      </c>
      <c r="AP353" s="1">
        <v>0</v>
      </c>
      <c r="AQ353" s="1">
        <v>1</v>
      </c>
      <c r="AR353" s="1">
        <v>0</v>
      </c>
      <c r="AS353" s="1" t="s">
        <v>480</v>
      </c>
      <c r="AT353" s="1">
        <f t="shared" si="47"/>
        <v>26</v>
      </c>
    </row>
    <row r="354" spans="1:46" x14ac:dyDescent="0.25">
      <c r="A354" s="1">
        <f>COUNTIF('Value Matchup'!$D$356:$D$423,'Team History'!B354)</f>
        <v>0</v>
      </c>
      <c r="B354" t="s">
        <v>93</v>
      </c>
      <c r="C354" s="1">
        <f t="shared" si="40"/>
        <v>1</v>
      </c>
      <c r="D354" s="1">
        <f t="shared" si="41"/>
        <v>0</v>
      </c>
      <c r="E354" s="1">
        <f t="shared" si="42"/>
        <v>0</v>
      </c>
      <c r="F354" s="1">
        <f t="shared" si="43"/>
        <v>0</v>
      </c>
      <c r="G354" s="1">
        <f t="shared" si="44"/>
        <v>0</v>
      </c>
      <c r="H354" s="1">
        <f t="shared" si="45"/>
        <v>0</v>
      </c>
      <c r="I354" s="64">
        <f t="shared" si="46"/>
        <v>4</v>
      </c>
      <c r="K354" s="90">
        <v>0</v>
      </c>
      <c r="L354" s="1" t="s">
        <v>480</v>
      </c>
      <c r="M354" s="1" t="s">
        <v>480</v>
      </c>
      <c r="N354" s="1">
        <v>1</v>
      </c>
      <c r="O354" s="1" t="s">
        <v>480</v>
      </c>
      <c r="P354" s="1" t="s">
        <v>480</v>
      </c>
      <c r="Q354" s="1" t="s">
        <v>480</v>
      </c>
      <c r="R354" s="1" t="s">
        <v>480</v>
      </c>
      <c r="S354" s="1" t="s">
        <v>480</v>
      </c>
      <c r="T354" s="1" t="s">
        <v>480</v>
      </c>
      <c r="U354" s="1" t="s">
        <v>480</v>
      </c>
      <c r="V354" s="1" t="s">
        <v>480</v>
      </c>
      <c r="W354" s="1" t="s">
        <v>480</v>
      </c>
      <c r="X354" s="1" t="s">
        <v>480</v>
      </c>
      <c r="Y354" s="1" t="s">
        <v>480</v>
      </c>
      <c r="Z354" s="1" t="s">
        <v>480</v>
      </c>
      <c r="AA354" s="1" t="s">
        <v>480</v>
      </c>
      <c r="AB354" s="1" t="s">
        <v>480</v>
      </c>
      <c r="AC354" s="1" t="s">
        <v>480</v>
      </c>
      <c r="AD354" s="1" t="s">
        <v>480</v>
      </c>
      <c r="AE354" s="1" t="s">
        <v>480</v>
      </c>
      <c r="AF354" s="1" t="s">
        <v>480</v>
      </c>
      <c r="AG354" s="1" t="s">
        <v>480</v>
      </c>
      <c r="AH354" s="1" t="s">
        <v>480</v>
      </c>
      <c r="AI354" s="1" t="s">
        <v>480</v>
      </c>
      <c r="AJ354" s="1" t="s">
        <v>480</v>
      </c>
      <c r="AK354" s="1" t="s">
        <v>480</v>
      </c>
      <c r="AL354" s="1" t="s">
        <v>480</v>
      </c>
      <c r="AM354" s="1" t="s">
        <v>480</v>
      </c>
      <c r="AN354" s="1" t="s">
        <v>480</v>
      </c>
      <c r="AO354" s="1" t="s">
        <v>480</v>
      </c>
      <c r="AP354" s="1" t="s">
        <v>480</v>
      </c>
      <c r="AQ354" s="1" t="s">
        <v>480</v>
      </c>
      <c r="AR354" s="1" t="s">
        <v>480</v>
      </c>
      <c r="AS354" s="1" t="s">
        <v>480</v>
      </c>
      <c r="AT354" s="1">
        <f t="shared" si="47"/>
        <v>2</v>
      </c>
    </row>
    <row r="355" spans="1:46" x14ac:dyDescent="0.25">
      <c r="A355" s="1">
        <f>COUNTIF('Value Matchup'!$D$356:$D$423,'Team History'!B355)</f>
        <v>0</v>
      </c>
      <c r="B355" t="s">
        <v>421</v>
      </c>
      <c r="C355" s="1">
        <f t="shared" si="40"/>
        <v>0</v>
      </c>
      <c r="D355" s="1">
        <f t="shared" si="41"/>
        <v>0</v>
      </c>
      <c r="E355" s="1">
        <f t="shared" si="42"/>
        <v>0</v>
      </c>
      <c r="F355" s="1">
        <f t="shared" si="43"/>
        <v>0</v>
      </c>
      <c r="G355" s="1">
        <f t="shared" si="44"/>
        <v>0</v>
      </c>
      <c r="H355" s="1">
        <f t="shared" si="45"/>
        <v>0</v>
      </c>
      <c r="I355" s="64">
        <f t="shared" si="46"/>
        <v>0</v>
      </c>
      <c r="K355" s="90" t="s">
        <v>480</v>
      </c>
      <c r="L355" s="1" t="s">
        <v>480</v>
      </c>
      <c r="M355" s="1" t="s">
        <v>480</v>
      </c>
      <c r="N355" s="1" t="s">
        <v>480</v>
      </c>
      <c r="O355" s="1" t="s">
        <v>480</v>
      </c>
      <c r="P355" s="1" t="s">
        <v>480</v>
      </c>
      <c r="Q355" s="1" t="s">
        <v>480</v>
      </c>
      <c r="R355" s="1" t="s">
        <v>480</v>
      </c>
      <c r="S355" s="1" t="s">
        <v>480</v>
      </c>
      <c r="T355" s="1" t="s">
        <v>480</v>
      </c>
      <c r="U355" s="1" t="s">
        <v>480</v>
      </c>
      <c r="V355" s="1" t="s">
        <v>480</v>
      </c>
      <c r="W355" s="1" t="s">
        <v>480</v>
      </c>
      <c r="X355" s="1" t="s">
        <v>480</v>
      </c>
      <c r="Y355" s="1" t="s">
        <v>480</v>
      </c>
      <c r="Z355" s="1" t="s">
        <v>480</v>
      </c>
      <c r="AA355" s="1" t="s">
        <v>480</v>
      </c>
      <c r="AB355" s="1" t="s">
        <v>480</v>
      </c>
      <c r="AC355" s="1" t="s">
        <v>480</v>
      </c>
      <c r="AD355" s="1" t="s">
        <v>480</v>
      </c>
      <c r="AE355" s="1" t="s">
        <v>480</v>
      </c>
      <c r="AF355" s="1" t="s">
        <v>480</v>
      </c>
      <c r="AG355" s="1" t="s">
        <v>480</v>
      </c>
      <c r="AH355" s="1" t="s">
        <v>480</v>
      </c>
      <c r="AI355" s="1" t="s">
        <v>480</v>
      </c>
      <c r="AJ355" s="1" t="s">
        <v>480</v>
      </c>
      <c r="AK355" s="1" t="s">
        <v>480</v>
      </c>
      <c r="AL355" s="1" t="s">
        <v>480</v>
      </c>
      <c r="AM355" s="1" t="s">
        <v>480</v>
      </c>
      <c r="AN355" s="1" t="s">
        <v>480</v>
      </c>
      <c r="AO355" s="1" t="s">
        <v>480</v>
      </c>
      <c r="AP355" s="1" t="s">
        <v>480</v>
      </c>
      <c r="AQ355" s="1" t="s">
        <v>480</v>
      </c>
      <c r="AR355" s="1" t="s">
        <v>480</v>
      </c>
      <c r="AS355" s="1" t="s">
        <v>480</v>
      </c>
      <c r="AT355" s="1">
        <f t="shared" si="47"/>
        <v>0</v>
      </c>
    </row>
    <row r="1048280" spans="11:13" x14ac:dyDescent="0.25">
      <c r="K1048280" s="12"/>
      <c r="L1048280" s="12"/>
      <c r="M1048280" s="12"/>
    </row>
    <row r="1048281" spans="11:13" x14ac:dyDescent="0.25">
      <c r="K1048281" s="47"/>
      <c r="L1048281" s="47"/>
      <c r="M1048281" s="47"/>
    </row>
  </sheetData>
  <hyperlinks>
    <hyperlink ref="B1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R1048295"/>
  <sheetViews>
    <sheetView zoomScaleNormal="100" workbookViewId="0">
      <pane xSplit="2" ySplit="2" topLeftCell="C3" activePane="bottomRight" state="frozen"/>
      <selection activeCell="R2189" sqref="R2189"/>
      <selection pane="topRight" activeCell="R2189" sqref="R2189"/>
      <selection pane="bottomLeft" activeCell="R2189" sqref="R2189"/>
      <selection pane="bottomRight" activeCell="C3" sqref="C3"/>
    </sheetView>
  </sheetViews>
  <sheetFormatPr defaultColWidth="9.140625" defaultRowHeight="15" x14ac:dyDescent="0.25"/>
  <cols>
    <col min="1" max="1" width="4" style="1" bestFit="1" customWidth="1"/>
    <col min="2" max="2" width="22.7109375" bestFit="1" customWidth="1"/>
    <col min="3" max="3" width="6" style="1" bestFit="1" customWidth="1"/>
    <col min="4" max="4" width="6" style="90" customWidth="1"/>
    <col min="5" max="39" width="5.85546875" style="53" customWidth="1"/>
  </cols>
  <sheetData>
    <row r="1" spans="1:44" x14ac:dyDescent="0.25">
      <c r="A1" s="1">
        <f>SUM(A3:A356)</f>
        <v>68</v>
      </c>
      <c r="B1" s="12" t="s">
        <v>427</v>
      </c>
      <c r="C1" s="12"/>
      <c r="D1" s="12"/>
      <c r="E1" s="84"/>
      <c r="F1" s="84"/>
      <c r="G1" s="84"/>
      <c r="H1" s="84"/>
      <c r="I1" s="84"/>
      <c r="J1" s="84"/>
      <c r="K1" s="84"/>
      <c r="L1" s="84"/>
      <c r="M1" s="84"/>
      <c r="N1" s="84"/>
      <c r="O1" s="86" t="s">
        <v>509</v>
      </c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</row>
    <row r="2" spans="1:44" s="48" customFormat="1" ht="40.5" customHeight="1" x14ac:dyDescent="0.25">
      <c r="A2" s="47" t="s">
        <v>428</v>
      </c>
      <c r="B2" s="48" t="s">
        <v>11</v>
      </c>
      <c r="C2" s="47" t="s">
        <v>481</v>
      </c>
      <c r="D2" s="68">
        <v>2021</v>
      </c>
      <c r="E2" s="68">
        <v>2019</v>
      </c>
      <c r="F2" s="68">
        <v>2018</v>
      </c>
      <c r="G2" s="68">
        <v>2017</v>
      </c>
      <c r="H2" s="68">
        <v>2016</v>
      </c>
      <c r="I2" s="68">
        <v>2015</v>
      </c>
      <c r="J2" s="68">
        <v>2014</v>
      </c>
      <c r="K2" s="68">
        <v>2013</v>
      </c>
      <c r="L2" s="68">
        <v>2012</v>
      </c>
      <c r="M2" s="68">
        <v>2011</v>
      </c>
      <c r="N2" s="68">
        <v>2010</v>
      </c>
      <c r="O2" s="68">
        <v>2009</v>
      </c>
      <c r="P2" s="68">
        <v>2008</v>
      </c>
      <c r="Q2" s="68">
        <v>2007</v>
      </c>
      <c r="R2" s="68">
        <v>2006</v>
      </c>
      <c r="S2" s="68">
        <v>2005</v>
      </c>
      <c r="T2" s="68">
        <v>2004</v>
      </c>
      <c r="U2" s="68">
        <v>2003</v>
      </c>
      <c r="V2" s="68">
        <v>2002</v>
      </c>
      <c r="W2" s="68">
        <v>2001</v>
      </c>
      <c r="X2" s="68">
        <v>2000</v>
      </c>
      <c r="Y2" s="68">
        <v>1999</v>
      </c>
      <c r="Z2" s="68">
        <v>1998</v>
      </c>
      <c r="AA2" s="68">
        <v>1997</v>
      </c>
      <c r="AB2" s="68">
        <v>1996</v>
      </c>
      <c r="AC2" s="68">
        <v>1995</v>
      </c>
      <c r="AD2" s="68">
        <v>1994</v>
      </c>
      <c r="AE2" s="68">
        <v>1993</v>
      </c>
      <c r="AF2" s="68">
        <v>1992</v>
      </c>
      <c r="AG2" s="68">
        <v>1991</v>
      </c>
      <c r="AH2" s="68">
        <v>1990</v>
      </c>
      <c r="AI2" s="68">
        <v>1989</v>
      </c>
      <c r="AJ2" s="68">
        <v>1988</v>
      </c>
      <c r="AK2" s="68">
        <v>1987</v>
      </c>
      <c r="AL2" s="68">
        <v>1986</v>
      </c>
      <c r="AM2" s="68">
        <v>1985</v>
      </c>
      <c r="AR2" s="48" t="s">
        <v>11</v>
      </c>
    </row>
    <row r="3" spans="1:44" x14ac:dyDescent="0.25">
      <c r="A3" s="1">
        <f>COUNTIF('Value Matchup'!$D$356:$D$423,PASE!B3)</f>
        <v>1</v>
      </c>
      <c r="B3" t="s">
        <v>107</v>
      </c>
      <c r="C3" s="64">
        <f>IFERROR(AVERAGE(E3:AM3),0)</f>
        <v>-7.6388888888888895E-2</v>
      </c>
      <c r="D3" s="94">
        <f>IFERROR(LOOKUP(2,1/('2022 Bracket Picker'!$J:$J=PASE!$B3)/('2022 Bracket Picker'!$B:$B=PASE!D$2),('2022 Bracket Picker'!$S:$S)),"")</f>
        <v>0.83333333333333337</v>
      </c>
      <c r="E3" s="83">
        <f>IFERROR(LOOKUP(2,1/('2022 Bracket Picker'!$J:$J=PASE!$B3)/('2022 Bracket Picker'!$B:$B=PASE!E$2),('2022 Bracket Picker'!$S:$S)),"")</f>
        <v>-7.6388888888888895E-2</v>
      </c>
      <c r="F3" s="83" t="str">
        <f>IFERROR(LOOKUP(2,1/('2022 Bracket Picker'!$J:$J=PASE!$B3)/('2022 Bracket Picker'!$B:$B=PASE!F$2),('2022 Bracket Picker'!$S:$S)),"")</f>
        <v/>
      </c>
      <c r="AQ3">
        <f>COUNTIF(B:B,AR3)</f>
        <v>1</v>
      </c>
      <c r="AR3" t="s">
        <v>107</v>
      </c>
    </row>
    <row r="4" spans="1:44" x14ac:dyDescent="0.25">
      <c r="A4" s="1">
        <f>COUNTIF('Value Matchup'!$D$356:$D$423,PASE!B4)</f>
        <v>0</v>
      </c>
      <c r="B4" t="s">
        <v>109</v>
      </c>
      <c r="C4" s="64">
        <f t="shared" ref="C4:C67" si="0">IFERROR(AVERAGE(E4:AM4),0)</f>
        <v>-0.4375</v>
      </c>
      <c r="D4" s="94" t="str">
        <f>IFERROR(LOOKUP(2,1/('2022 Bracket Picker'!$J:$J=PASE!$B4)/('2022 Bracket Picker'!$B:$B=PASE!D$2),('2022 Bracket Picker'!$S:$S)),"")</f>
        <v/>
      </c>
      <c r="E4" s="91" t="s">
        <v>480</v>
      </c>
      <c r="F4" s="53" t="s">
        <v>480</v>
      </c>
      <c r="G4" s="53" t="s">
        <v>480</v>
      </c>
      <c r="H4" s="53" t="s">
        <v>480</v>
      </c>
      <c r="I4" s="53" t="s">
        <v>480</v>
      </c>
      <c r="J4" s="53" t="s">
        <v>480</v>
      </c>
      <c r="K4" s="53" t="s">
        <v>480</v>
      </c>
      <c r="L4" s="53" t="s">
        <v>480</v>
      </c>
      <c r="M4" s="53" t="s">
        <v>480</v>
      </c>
      <c r="N4" s="53" t="s">
        <v>480</v>
      </c>
      <c r="O4" s="53" t="s">
        <v>480</v>
      </c>
      <c r="P4" s="53" t="s">
        <v>480</v>
      </c>
      <c r="Q4" s="53" t="s">
        <v>480</v>
      </c>
      <c r="R4" s="53">
        <v>-0.25</v>
      </c>
      <c r="S4" s="53" t="s">
        <v>480</v>
      </c>
      <c r="T4" s="53">
        <v>-0.625</v>
      </c>
      <c r="U4" s="53" t="s">
        <v>480</v>
      </c>
      <c r="V4" s="53" t="s">
        <v>480</v>
      </c>
      <c r="W4" s="53" t="s">
        <v>480</v>
      </c>
      <c r="X4" s="53" t="s">
        <v>480</v>
      </c>
      <c r="Y4" s="53" t="s">
        <v>480</v>
      </c>
      <c r="Z4" s="53" t="s">
        <v>480</v>
      </c>
      <c r="AA4" s="53" t="s">
        <v>480</v>
      </c>
      <c r="AB4" s="53" t="s">
        <v>480</v>
      </c>
      <c r="AC4" s="53" t="s">
        <v>480</v>
      </c>
      <c r="AD4" s="53" t="s">
        <v>480</v>
      </c>
      <c r="AE4" s="53" t="s">
        <v>480</v>
      </c>
      <c r="AF4" s="53" t="s">
        <v>480</v>
      </c>
      <c r="AG4" s="53" t="s">
        <v>480</v>
      </c>
      <c r="AH4" s="53" t="s">
        <v>480</v>
      </c>
      <c r="AI4" s="53" t="s">
        <v>480</v>
      </c>
      <c r="AJ4" s="53" t="s">
        <v>480</v>
      </c>
      <c r="AK4" s="53" t="s">
        <v>480</v>
      </c>
      <c r="AL4" s="53" t="s">
        <v>480</v>
      </c>
      <c r="AM4" s="53" t="s">
        <v>480</v>
      </c>
      <c r="AQ4">
        <f t="shared" ref="AQ4:AQ67" si="1">COUNTIF(B:B,AR4)</f>
        <v>1</v>
      </c>
      <c r="AR4" t="s">
        <v>109</v>
      </c>
    </row>
    <row r="5" spans="1:44" x14ac:dyDescent="0.25">
      <c r="A5" s="1">
        <f>COUNTIF('Value Matchup'!$D$356:$D$423,PASE!B5)</f>
        <v>0</v>
      </c>
      <c r="B5" t="s">
        <v>111</v>
      </c>
      <c r="C5" s="64">
        <f t="shared" si="0"/>
        <v>-0.22058823529411764</v>
      </c>
      <c r="D5" s="94" t="str">
        <f>IFERROR(LOOKUP(2,1/('2022 Bracket Picker'!$J:$J=PASE!$B5)/('2022 Bracket Picker'!$B:$B=PASE!D$2),('2022 Bracket Picker'!$S:$S)),"")</f>
        <v/>
      </c>
      <c r="E5" s="91" t="s">
        <v>480</v>
      </c>
      <c r="F5" s="53" t="s">
        <v>480</v>
      </c>
      <c r="G5" s="53" t="s">
        <v>480</v>
      </c>
      <c r="H5" s="53" t="s">
        <v>480</v>
      </c>
      <c r="I5" s="53" t="s">
        <v>480</v>
      </c>
      <c r="J5" s="53" t="s">
        <v>480</v>
      </c>
      <c r="K5" s="53">
        <v>-0.5</v>
      </c>
      <c r="L5" s="53" t="s">
        <v>480</v>
      </c>
      <c r="M5" s="53">
        <v>-6.6176470588235295E-2</v>
      </c>
      <c r="N5" s="53" t="s">
        <v>480</v>
      </c>
      <c r="O5" s="53">
        <v>-0.25</v>
      </c>
      <c r="P5" s="53" t="s">
        <v>480</v>
      </c>
      <c r="Q5" s="53" t="s">
        <v>480</v>
      </c>
      <c r="R5" s="53" t="s">
        <v>480</v>
      </c>
      <c r="S5" s="53" t="s">
        <v>480</v>
      </c>
      <c r="T5" s="53" t="s">
        <v>480</v>
      </c>
      <c r="U5" s="53" t="s">
        <v>480</v>
      </c>
      <c r="V5" s="53" t="s">
        <v>480</v>
      </c>
      <c r="W5" s="53" t="s">
        <v>480</v>
      </c>
      <c r="X5" s="53" t="s">
        <v>480</v>
      </c>
      <c r="Y5" s="53" t="s">
        <v>480</v>
      </c>
      <c r="Z5" s="53" t="s">
        <v>480</v>
      </c>
      <c r="AA5" s="53" t="s">
        <v>480</v>
      </c>
      <c r="AB5" s="53" t="s">
        <v>480</v>
      </c>
      <c r="AC5" s="53" t="s">
        <v>480</v>
      </c>
      <c r="AD5" s="53" t="s">
        <v>480</v>
      </c>
      <c r="AE5" s="53" t="s">
        <v>480</v>
      </c>
      <c r="AF5" s="53" t="s">
        <v>480</v>
      </c>
      <c r="AG5" s="53" t="s">
        <v>480</v>
      </c>
      <c r="AH5" s="53" t="s">
        <v>480</v>
      </c>
      <c r="AI5" s="53" t="s">
        <v>480</v>
      </c>
      <c r="AJ5" s="53" t="s">
        <v>480</v>
      </c>
      <c r="AK5" s="53" t="s">
        <v>480</v>
      </c>
      <c r="AL5" s="53">
        <v>-6.6176470588235295E-2</v>
      </c>
      <c r="AM5" s="53" t="s">
        <v>480</v>
      </c>
      <c r="AQ5">
        <f t="shared" si="1"/>
        <v>1</v>
      </c>
      <c r="AR5" t="s">
        <v>111</v>
      </c>
    </row>
    <row r="6" spans="1:44" x14ac:dyDescent="0.25">
      <c r="A6" s="1">
        <f>COUNTIF('Value Matchup'!$D$356:$D$423,PASE!B6)</f>
        <v>1</v>
      </c>
      <c r="B6" t="s">
        <v>113</v>
      </c>
      <c r="C6" s="64">
        <f t="shared" si="0"/>
        <v>0.10064338235294115</v>
      </c>
      <c r="D6" s="94">
        <f>IFERROR(LOOKUP(2,1/('2022 Bracket Picker'!$J:$J=PASE!$B6)/('2022 Bracket Picker'!$B:$B=PASE!D$2),('2022 Bracket Picker'!$S:$S)),"")</f>
        <v>-0.34722222222222232</v>
      </c>
      <c r="E6" s="91" t="s">
        <v>480</v>
      </c>
      <c r="F6" s="53">
        <v>0.41176470588235292</v>
      </c>
      <c r="G6" s="53" t="s">
        <v>480</v>
      </c>
      <c r="H6" s="53" t="s">
        <v>480</v>
      </c>
      <c r="I6" s="53" t="s">
        <v>480</v>
      </c>
      <c r="J6" s="53" t="s">
        <v>480</v>
      </c>
      <c r="K6" s="53" t="s">
        <v>480</v>
      </c>
      <c r="L6" s="53">
        <v>-0.58823529411764708</v>
      </c>
      <c r="M6" s="53" t="s">
        <v>480</v>
      </c>
      <c r="N6" s="53" t="s">
        <v>480</v>
      </c>
      <c r="O6" s="53" t="s">
        <v>480</v>
      </c>
      <c r="P6" s="53" t="s">
        <v>480</v>
      </c>
      <c r="Q6" s="53" t="s">
        <v>480</v>
      </c>
      <c r="R6" s="53">
        <v>0.38235294117647056</v>
      </c>
      <c r="S6" s="53">
        <v>-1.1176470588235294</v>
      </c>
      <c r="T6" s="53">
        <v>2.2794117647058822</v>
      </c>
      <c r="U6" s="53">
        <v>-0.61764705882352944</v>
      </c>
      <c r="V6" s="53">
        <v>-1.3602941176470589</v>
      </c>
      <c r="W6" s="53" t="s">
        <v>480</v>
      </c>
      <c r="X6" s="53" t="s">
        <v>480</v>
      </c>
      <c r="Y6" s="53" t="s">
        <v>480</v>
      </c>
      <c r="Z6" s="53" t="s">
        <v>480</v>
      </c>
      <c r="AA6" s="53" t="s">
        <v>480</v>
      </c>
      <c r="AB6" s="53" t="s">
        <v>480</v>
      </c>
      <c r="AC6" s="53">
        <v>-0.11764705882352944</v>
      </c>
      <c r="AD6" s="53">
        <v>0.41176470588235292</v>
      </c>
      <c r="AE6" s="53" t="s">
        <v>480</v>
      </c>
      <c r="AF6" s="53">
        <v>-0.11764705882352944</v>
      </c>
      <c r="AG6" s="53">
        <v>0.45588235294117641</v>
      </c>
      <c r="AH6" s="53">
        <v>1.0735294117647058</v>
      </c>
      <c r="AI6" s="53">
        <v>-1.0808823529411764</v>
      </c>
      <c r="AJ6" s="53" t="s">
        <v>480</v>
      </c>
      <c r="AK6" s="53">
        <v>-0.36029411764705888</v>
      </c>
      <c r="AL6" s="53">
        <v>0.88235294117647056</v>
      </c>
      <c r="AM6" s="53">
        <v>1.0735294117647058</v>
      </c>
      <c r="AQ6">
        <f t="shared" si="1"/>
        <v>1</v>
      </c>
      <c r="AR6" t="s">
        <v>113</v>
      </c>
    </row>
    <row r="7" spans="1:44" x14ac:dyDescent="0.25">
      <c r="A7" s="1">
        <f>COUNTIF('Value Matchup'!$D$356:$D$423,PASE!B7)</f>
        <v>0</v>
      </c>
      <c r="B7" t="s">
        <v>115</v>
      </c>
      <c r="C7" s="64">
        <f t="shared" si="0"/>
        <v>-7.3529411764705881E-3</v>
      </c>
      <c r="D7" s="94" t="str">
        <f>IFERROR(LOOKUP(2,1/('2022 Bracket Picker'!$J:$J=PASE!$B7)/('2022 Bracket Picker'!$B:$B=PASE!D$2),('2022 Bracket Picker'!$S:$S)),"")</f>
        <v/>
      </c>
      <c r="E7" s="91" t="s">
        <v>480</v>
      </c>
      <c r="F7" s="53" t="s">
        <v>480</v>
      </c>
      <c r="G7" s="53" t="s">
        <v>480</v>
      </c>
      <c r="H7" s="53" t="s">
        <v>480</v>
      </c>
      <c r="I7" s="53" t="s">
        <v>480</v>
      </c>
      <c r="J7" s="53" t="s">
        <v>480</v>
      </c>
      <c r="K7" s="53" t="s">
        <v>480</v>
      </c>
      <c r="L7" s="53" t="s">
        <v>480</v>
      </c>
      <c r="M7" s="53" t="s">
        <v>480</v>
      </c>
      <c r="N7" s="53" t="s">
        <v>480</v>
      </c>
      <c r="O7" s="53" t="s">
        <v>480</v>
      </c>
      <c r="P7" s="53" t="s">
        <v>480</v>
      </c>
      <c r="Q7" s="53" t="s">
        <v>480</v>
      </c>
      <c r="R7" s="53" t="s">
        <v>480</v>
      </c>
      <c r="S7" s="53">
        <v>-7.3529411764705881E-3</v>
      </c>
      <c r="T7" s="53" t="s">
        <v>480</v>
      </c>
      <c r="U7" s="53" t="s">
        <v>480</v>
      </c>
      <c r="V7" s="53" t="s">
        <v>480</v>
      </c>
      <c r="W7" s="53" t="s">
        <v>480</v>
      </c>
      <c r="X7" s="53" t="s">
        <v>480</v>
      </c>
      <c r="Y7" s="53" t="s">
        <v>480</v>
      </c>
      <c r="Z7" s="53" t="s">
        <v>480</v>
      </c>
      <c r="AA7" s="53" t="s">
        <v>480</v>
      </c>
      <c r="AB7" s="53" t="s">
        <v>480</v>
      </c>
      <c r="AC7" s="53" t="s">
        <v>480</v>
      </c>
      <c r="AD7" s="53" t="s">
        <v>480</v>
      </c>
      <c r="AE7" s="53" t="s">
        <v>480</v>
      </c>
      <c r="AF7" s="53" t="s">
        <v>480</v>
      </c>
      <c r="AG7" s="53" t="s">
        <v>480</v>
      </c>
      <c r="AH7" s="53" t="s">
        <v>480</v>
      </c>
      <c r="AI7" s="53" t="s">
        <v>480</v>
      </c>
      <c r="AJ7" s="53" t="s">
        <v>480</v>
      </c>
      <c r="AK7" s="53" t="s">
        <v>480</v>
      </c>
      <c r="AL7" s="53" t="s">
        <v>480</v>
      </c>
      <c r="AM7" s="53" t="s">
        <v>480</v>
      </c>
      <c r="AQ7">
        <f t="shared" si="1"/>
        <v>1</v>
      </c>
      <c r="AR7" t="s">
        <v>115</v>
      </c>
    </row>
    <row r="8" spans="1:44" x14ac:dyDescent="0.25">
      <c r="A8" s="1">
        <f>COUNTIF('Value Matchup'!$D$356:$D$423,PASE!B8)</f>
        <v>0</v>
      </c>
      <c r="B8" t="s">
        <v>117</v>
      </c>
      <c r="C8" s="64">
        <f t="shared" si="0"/>
        <v>-7.3529411764705881E-3</v>
      </c>
      <c r="D8" s="94" t="str">
        <f>IFERROR(LOOKUP(2,1/('2022 Bracket Picker'!$J:$J=PASE!$B8)/('2022 Bracket Picker'!$B:$B=PASE!D$2),('2022 Bracket Picker'!$S:$S)),"")</f>
        <v/>
      </c>
      <c r="E8" s="91" t="s">
        <v>480</v>
      </c>
      <c r="F8" s="53" t="s">
        <v>480</v>
      </c>
      <c r="G8" s="53" t="s">
        <v>480</v>
      </c>
      <c r="H8" s="53" t="s">
        <v>480</v>
      </c>
      <c r="I8" s="53" t="s">
        <v>480</v>
      </c>
      <c r="J8" s="53" t="s">
        <v>480</v>
      </c>
      <c r="K8" s="53" t="s">
        <v>480</v>
      </c>
      <c r="L8" s="53" t="s">
        <v>480</v>
      </c>
      <c r="M8" s="53">
        <v>-7.3529411764705881E-3</v>
      </c>
      <c r="N8" s="53" t="s">
        <v>480</v>
      </c>
      <c r="O8" s="53">
        <v>-7.3529411764705881E-3</v>
      </c>
      <c r="P8" s="53" t="s">
        <v>480</v>
      </c>
      <c r="Q8" s="53" t="s">
        <v>480</v>
      </c>
      <c r="R8" s="53" t="s">
        <v>480</v>
      </c>
      <c r="S8" s="53" t="s">
        <v>480</v>
      </c>
      <c r="T8" s="53">
        <v>-7.3529411764705881E-3</v>
      </c>
      <c r="U8" s="53" t="s">
        <v>480</v>
      </c>
      <c r="V8" s="53" t="s">
        <v>480</v>
      </c>
      <c r="W8" s="53">
        <v>-7.3529411764705881E-3</v>
      </c>
      <c r="X8" s="53" t="s">
        <v>480</v>
      </c>
      <c r="Y8" s="53" t="s">
        <v>480</v>
      </c>
      <c r="Z8" s="53" t="s">
        <v>480</v>
      </c>
      <c r="AA8" s="53" t="s">
        <v>480</v>
      </c>
      <c r="AB8" s="53" t="s">
        <v>480</v>
      </c>
      <c r="AC8" s="53" t="s">
        <v>480</v>
      </c>
      <c r="AD8" s="53" t="s">
        <v>480</v>
      </c>
      <c r="AE8" s="53" t="s">
        <v>480</v>
      </c>
      <c r="AF8" s="53" t="s">
        <v>480</v>
      </c>
      <c r="AG8" s="53" t="s">
        <v>480</v>
      </c>
      <c r="AH8" s="53" t="s">
        <v>480</v>
      </c>
      <c r="AI8" s="53" t="s">
        <v>480</v>
      </c>
      <c r="AJ8" s="53" t="s">
        <v>480</v>
      </c>
      <c r="AK8" s="53" t="s">
        <v>480</v>
      </c>
      <c r="AL8" s="53" t="s">
        <v>480</v>
      </c>
      <c r="AM8" s="53" t="s">
        <v>480</v>
      </c>
      <c r="AQ8">
        <f t="shared" si="1"/>
        <v>1</v>
      </c>
      <c r="AR8" t="s">
        <v>117</v>
      </c>
    </row>
    <row r="9" spans="1:44" x14ac:dyDescent="0.25">
      <c r="A9" s="1">
        <f>COUNTIF('Value Matchup'!$D$356:$D$423,PASE!B9)</f>
        <v>0</v>
      </c>
      <c r="B9" t="s">
        <v>59</v>
      </c>
      <c r="C9" s="64">
        <f t="shared" si="0"/>
        <v>-0.1</v>
      </c>
      <c r="D9" s="94" t="str">
        <f>IFERROR(LOOKUP(2,1/('2022 Bracket Picker'!$J:$J=PASE!$B9)/('2022 Bracket Picker'!$B:$B=PASE!D$2),('2022 Bracket Picker'!$S:$S)),"")</f>
        <v/>
      </c>
      <c r="E9" s="91" t="s">
        <v>480</v>
      </c>
      <c r="F9" s="53" t="s">
        <v>480</v>
      </c>
      <c r="G9" s="53" t="s">
        <v>480</v>
      </c>
      <c r="H9" s="53" t="s">
        <v>480</v>
      </c>
      <c r="I9" s="53">
        <v>-0.16911764705882354</v>
      </c>
      <c r="J9" s="53">
        <v>-7.3529411764705881E-3</v>
      </c>
      <c r="K9" s="53">
        <v>-6.6176470588235295E-2</v>
      </c>
      <c r="L9" s="53" t="s">
        <v>480</v>
      </c>
      <c r="M9" s="53" t="s">
        <v>480</v>
      </c>
      <c r="N9" s="53" t="s">
        <v>480</v>
      </c>
      <c r="O9" s="53" t="s">
        <v>480</v>
      </c>
      <c r="P9" s="53" t="s">
        <v>480</v>
      </c>
      <c r="Q9" s="53">
        <v>-0.25</v>
      </c>
      <c r="R9" s="53">
        <v>-7.3529411764705881E-3</v>
      </c>
      <c r="S9" s="53" t="s">
        <v>480</v>
      </c>
      <c r="T9" s="53" t="s">
        <v>480</v>
      </c>
      <c r="U9" s="53" t="s">
        <v>480</v>
      </c>
      <c r="V9" s="53" t="s">
        <v>480</v>
      </c>
      <c r="W9" s="53" t="s">
        <v>480</v>
      </c>
      <c r="X9" s="53" t="s">
        <v>480</v>
      </c>
      <c r="Y9" s="53" t="s">
        <v>480</v>
      </c>
      <c r="Z9" s="53" t="s">
        <v>480</v>
      </c>
      <c r="AA9" s="53" t="s">
        <v>480</v>
      </c>
      <c r="AB9" s="53" t="s">
        <v>480</v>
      </c>
      <c r="AC9" s="53" t="s">
        <v>480</v>
      </c>
      <c r="AD9" s="53" t="s">
        <v>480</v>
      </c>
      <c r="AE9" s="53" t="s">
        <v>480</v>
      </c>
      <c r="AF9" s="53" t="s">
        <v>480</v>
      </c>
      <c r="AG9" s="53" t="s">
        <v>480</v>
      </c>
      <c r="AH9" s="53" t="s">
        <v>480</v>
      </c>
      <c r="AI9" s="53" t="s">
        <v>480</v>
      </c>
      <c r="AJ9" s="53" t="s">
        <v>480</v>
      </c>
      <c r="AK9" s="53" t="s">
        <v>480</v>
      </c>
      <c r="AL9" s="53" t="s">
        <v>480</v>
      </c>
      <c r="AM9" s="53" t="s">
        <v>480</v>
      </c>
      <c r="AQ9">
        <f t="shared" si="1"/>
        <v>1</v>
      </c>
      <c r="AR9" t="s">
        <v>59</v>
      </c>
    </row>
    <row r="10" spans="1:44" x14ac:dyDescent="0.25">
      <c r="A10" s="1">
        <f>COUNTIF('Value Matchup'!$D$356:$D$423,PASE!B10)</f>
        <v>0</v>
      </c>
      <c r="B10" t="s">
        <v>119</v>
      </c>
      <c r="C10" s="64">
        <f t="shared" si="0"/>
        <v>-3.6764705882352942E-2</v>
      </c>
      <c r="D10" s="94" t="str">
        <f>IFERROR(LOOKUP(2,1/('2022 Bracket Picker'!$J:$J=PASE!$B10)/('2022 Bracket Picker'!$B:$B=PASE!D$2),('2022 Bracket Picker'!$S:$S)),"")</f>
        <v/>
      </c>
      <c r="E10" s="91" t="s">
        <v>480</v>
      </c>
      <c r="F10" s="53" t="s">
        <v>480</v>
      </c>
      <c r="G10" s="53" t="s">
        <v>480</v>
      </c>
      <c r="H10" s="53" t="s">
        <v>480</v>
      </c>
      <c r="I10" s="53" t="s">
        <v>480</v>
      </c>
      <c r="J10" s="53" t="s">
        <v>480</v>
      </c>
      <c r="K10" s="53" t="s">
        <v>480</v>
      </c>
      <c r="L10" s="53" t="s">
        <v>480</v>
      </c>
      <c r="M10" s="53" t="s">
        <v>480</v>
      </c>
      <c r="N10" s="53" t="s">
        <v>480</v>
      </c>
      <c r="O10" s="53" t="s">
        <v>480</v>
      </c>
      <c r="P10" s="53" t="s">
        <v>480</v>
      </c>
      <c r="Q10" s="53" t="s">
        <v>480</v>
      </c>
      <c r="R10" s="53" t="s">
        <v>480</v>
      </c>
      <c r="S10" s="53" t="s">
        <v>480</v>
      </c>
      <c r="T10" s="53" t="s">
        <v>480</v>
      </c>
      <c r="U10" s="53" t="s">
        <v>480</v>
      </c>
      <c r="V10" s="53">
        <v>-7.3529411764705881E-3</v>
      </c>
      <c r="W10" s="53" t="s">
        <v>480</v>
      </c>
      <c r="X10" s="53" t="s">
        <v>480</v>
      </c>
      <c r="Y10" s="53">
        <v>-6.6176470588235295E-2</v>
      </c>
      <c r="Z10" s="53" t="s">
        <v>480</v>
      </c>
      <c r="AA10" s="53" t="s">
        <v>480</v>
      </c>
      <c r="AB10" s="53" t="s">
        <v>480</v>
      </c>
      <c r="AC10" s="53" t="s">
        <v>480</v>
      </c>
      <c r="AD10" s="53" t="s">
        <v>480</v>
      </c>
      <c r="AE10" s="53" t="s">
        <v>480</v>
      </c>
      <c r="AF10" s="53" t="s">
        <v>480</v>
      </c>
      <c r="AG10" s="53" t="s">
        <v>480</v>
      </c>
      <c r="AH10" s="53" t="s">
        <v>480</v>
      </c>
      <c r="AI10" s="53" t="s">
        <v>480</v>
      </c>
      <c r="AJ10" s="53" t="s">
        <v>480</v>
      </c>
      <c r="AK10" s="53" t="s">
        <v>480</v>
      </c>
      <c r="AL10" s="53" t="s">
        <v>480</v>
      </c>
      <c r="AM10" s="53" t="s">
        <v>480</v>
      </c>
      <c r="AQ10">
        <f t="shared" si="1"/>
        <v>1</v>
      </c>
      <c r="AR10" t="s">
        <v>119</v>
      </c>
    </row>
    <row r="11" spans="1:44" x14ac:dyDescent="0.25">
      <c r="A11" s="1">
        <f>COUNTIF('Value Matchup'!$D$356:$D$423,PASE!B11)</f>
        <v>0</v>
      </c>
      <c r="B11" t="s">
        <v>120</v>
      </c>
      <c r="C11" s="64">
        <f t="shared" si="0"/>
        <v>-0.10049019607843136</v>
      </c>
      <c r="D11" s="94" t="str">
        <f>IFERROR(LOOKUP(2,1/('2022 Bracket Picker'!$J:$J=PASE!$B11)/('2022 Bracket Picker'!$B:$B=PASE!D$2),('2022 Bracket Picker'!$S:$S)),"")</f>
        <v/>
      </c>
      <c r="E11" s="91" t="s">
        <v>480</v>
      </c>
      <c r="F11" s="53" t="s">
        <v>480</v>
      </c>
      <c r="G11" s="53" t="s">
        <v>480</v>
      </c>
      <c r="H11" s="53" t="s">
        <v>480</v>
      </c>
      <c r="I11" s="53" t="s">
        <v>480</v>
      </c>
      <c r="J11" s="53">
        <v>-6.6176470588235295E-2</v>
      </c>
      <c r="K11" s="53" t="s">
        <v>480</v>
      </c>
      <c r="L11" s="53" t="s">
        <v>480</v>
      </c>
      <c r="M11" s="53" t="s">
        <v>480</v>
      </c>
      <c r="N11" s="53" t="s">
        <v>480</v>
      </c>
      <c r="O11" s="53">
        <v>-0.16911764705882354</v>
      </c>
      <c r="P11" s="53">
        <v>-6.6176470588235295E-2</v>
      </c>
      <c r="Q11" s="53" t="s">
        <v>480</v>
      </c>
      <c r="R11" s="53" t="s">
        <v>480</v>
      </c>
      <c r="S11" s="53" t="s">
        <v>480</v>
      </c>
      <c r="T11" s="53" t="s">
        <v>480</v>
      </c>
      <c r="U11" s="53" t="s">
        <v>480</v>
      </c>
      <c r="V11" s="53" t="s">
        <v>480</v>
      </c>
      <c r="W11" s="53" t="s">
        <v>480</v>
      </c>
      <c r="X11" s="53" t="s">
        <v>480</v>
      </c>
      <c r="Y11" s="53" t="s">
        <v>480</v>
      </c>
      <c r="Z11" s="53" t="s">
        <v>480</v>
      </c>
      <c r="AA11" s="53" t="s">
        <v>480</v>
      </c>
      <c r="AB11" s="53" t="s">
        <v>480</v>
      </c>
      <c r="AC11" s="53" t="s">
        <v>480</v>
      </c>
      <c r="AD11" s="53" t="s">
        <v>480</v>
      </c>
      <c r="AE11" s="53" t="s">
        <v>480</v>
      </c>
      <c r="AF11" s="53" t="s">
        <v>480</v>
      </c>
      <c r="AG11" s="53" t="s">
        <v>480</v>
      </c>
      <c r="AH11" s="53" t="s">
        <v>480</v>
      </c>
      <c r="AI11" s="53" t="s">
        <v>480</v>
      </c>
      <c r="AJ11" s="53" t="s">
        <v>480</v>
      </c>
      <c r="AK11" s="53" t="s">
        <v>480</v>
      </c>
      <c r="AL11" s="53" t="s">
        <v>480</v>
      </c>
      <c r="AM11" s="53" t="s">
        <v>480</v>
      </c>
      <c r="AQ11">
        <f t="shared" si="1"/>
        <v>1</v>
      </c>
      <c r="AR11" t="s">
        <v>120</v>
      </c>
    </row>
    <row r="12" spans="1:44" x14ac:dyDescent="0.25">
      <c r="A12" s="1">
        <f>COUNTIF('Value Matchup'!$D$356:$D$423,PASE!B12)</f>
        <v>1</v>
      </c>
      <c r="B12" t="s">
        <v>122</v>
      </c>
      <c r="C12" s="64">
        <f t="shared" si="0"/>
        <v>-0.16911764705882354</v>
      </c>
      <c r="D12" s="94">
        <f>IFERROR(LOOKUP(2,1/('2022 Bracket Picker'!$J:$J=PASE!$B12)/('2022 Bracket Picker'!$B:$B=PASE!D$2),('2022 Bracket Picker'!$S:$S)),"")</f>
        <v>-6.9444444444444441E-3</v>
      </c>
      <c r="E12" s="91" t="s">
        <v>480</v>
      </c>
      <c r="F12" s="53" t="s">
        <v>480</v>
      </c>
      <c r="G12" s="53" t="s">
        <v>480</v>
      </c>
      <c r="H12" s="53" t="s">
        <v>480</v>
      </c>
      <c r="I12" s="53" t="s">
        <v>480</v>
      </c>
      <c r="J12" s="53" t="s">
        <v>480</v>
      </c>
      <c r="K12" s="53" t="s">
        <v>480</v>
      </c>
      <c r="L12" s="53" t="s">
        <v>480</v>
      </c>
      <c r="M12" s="53" t="s">
        <v>480</v>
      </c>
      <c r="N12" s="53" t="s">
        <v>480</v>
      </c>
      <c r="O12" s="53" t="s">
        <v>480</v>
      </c>
      <c r="P12" s="53" t="s">
        <v>480</v>
      </c>
      <c r="Q12" s="53" t="s">
        <v>480</v>
      </c>
      <c r="R12" s="53" t="s">
        <v>480</v>
      </c>
      <c r="S12" s="53" t="s">
        <v>480</v>
      </c>
      <c r="T12" s="53" t="s">
        <v>480</v>
      </c>
      <c r="U12" s="53" t="s">
        <v>480</v>
      </c>
      <c r="V12" s="53" t="s">
        <v>480</v>
      </c>
      <c r="W12" s="53" t="s">
        <v>480</v>
      </c>
      <c r="X12" s="53">
        <v>-0.16911764705882354</v>
      </c>
      <c r="Y12" s="53" t="s">
        <v>480</v>
      </c>
      <c r="Z12" s="53" t="s">
        <v>480</v>
      </c>
      <c r="AA12" s="53" t="s">
        <v>480</v>
      </c>
      <c r="AB12" s="53" t="s">
        <v>480</v>
      </c>
      <c r="AC12" s="53" t="s">
        <v>480</v>
      </c>
      <c r="AD12" s="53" t="s">
        <v>480</v>
      </c>
      <c r="AE12" s="53" t="s">
        <v>480</v>
      </c>
      <c r="AF12" s="53" t="s">
        <v>480</v>
      </c>
      <c r="AG12" s="53" t="s">
        <v>480</v>
      </c>
      <c r="AH12" s="53" t="s">
        <v>480</v>
      </c>
      <c r="AI12" s="53" t="s">
        <v>480</v>
      </c>
      <c r="AJ12" s="53" t="s">
        <v>480</v>
      </c>
      <c r="AK12" s="53" t="s">
        <v>480</v>
      </c>
      <c r="AL12" s="53" t="s">
        <v>480</v>
      </c>
      <c r="AM12" s="53" t="s">
        <v>480</v>
      </c>
      <c r="AQ12">
        <f t="shared" si="1"/>
        <v>1</v>
      </c>
      <c r="AR12" t="s">
        <v>122</v>
      </c>
    </row>
    <row r="13" spans="1:44" x14ac:dyDescent="0.25">
      <c r="A13" s="1">
        <f>COUNTIF('Value Matchup'!$D$356:$D$423,PASE!B13)</f>
        <v>0</v>
      </c>
      <c r="B13" t="s">
        <v>48</v>
      </c>
      <c r="C13" s="64">
        <f t="shared" si="0"/>
        <v>-0.27016129032258063</v>
      </c>
      <c r="D13" s="94" t="str">
        <f>IFERROR(LOOKUP(2,1/('2022 Bracket Picker'!$J:$J=PASE!$B13)/('2022 Bracket Picker'!$B:$B=PASE!D$2),('2022 Bracket Picker'!$S:$S)),"")</f>
        <v/>
      </c>
      <c r="E13" s="91" t="s">
        <v>480</v>
      </c>
      <c r="F13" s="53">
        <v>-1.5441176470588236</v>
      </c>
      <c r="G13" s="53">
        <v>-0.36029411764705888</v>
      </c>
      <c r="H13" s="53">
        <v>-1.0808823529411764</v>
      </c>
      <c r="I13" s="53">
        <v>0.63970588235294112</v>
      </c>
      <c r="J13" s="53">
        <v>-0.34558823529411775</v>
      </c>
      <c r="K13" s="53">
        <v>0.91911764705882359</v>
      </c>
      <c r="L13" s="53" t="s">
        <v>480</v>
      </c>
      <c r="M13" s="53">
        <v>1.8823529411764706</v>
      </c>
      <c r="N13" s="53" t="s">
        <v>480</v>
      </c>
      <c r="O13" s="53">
        <v>1.5</v>
      </c>
      <c r="P13" s="53">
        <v>-0.61764705882352944</v>
      </c>
      <c r="Q13" s="53">
        <v>-0.72058823529411764</v>
      </c>
      <c r="R13" s="53">
        <v>0.27941176470588236</v>
      </c>
      <c r="S13" s="53">
        <v>1.1691176470588236</v>
      </c>
      <c r="T13" s="53">
        <v>-0.58823529411764708</v>
      </c>
      <c r="U13" s="53">
        <v>-0.34558823529411775</v>
      </c>
      <c r="V13" s="53">
        <v>0.16911764705882359</v>
      </c>
      <c r="W13" s="53">
        <v>2.6397058823529411</v>
      </c>
      <c r="X13" s="53">
        <v>-2.3455882352941178</v>
      </c>
      <c r="Y13" s="53">
        <v>-1.5441176470588236</v>
      </c>
      <c r="Z13" s="53">
        <v>-0.34558823529411775</v>
      </c>
      <c r="AA13" s="53" t="s">
        <v>480</v>
      </c>
      <c r="AB13" s="53">
        <v>0.16911764705882359</v>
      </c>
      <c r="AC13" s="53">
        <v>-1.1176470588235294</v>
      </c>
      <c r="AD13" s="53">
        <v>1.6397058823529411</v>
      </c>
      <c r="AE13" s="53">
        <v>-2.3602941176470589</v>
      </c>
      <c r="AF13" s="53">
        <v>-1.8308823529411764</v>
      </c>
      <c r="AG13" s="53">
        <v>-0.36029411764705888</v>
      </c>
      <c r="AH13" s="53">
        <v>-1.3602941176470589</v>
      </c>
      <c r="AI13" s="53">
        <v>-1.3455882352941178</v>
      </c>
      <c r="AJ13" s="53">
        <v>0.65441176470588225</v>
      </c>
      <c r="AK13" s="53">
        <v>-0.61764705882352944</v>
      </c>
      <c r="AL13" s="53">
        <v>-0.58823529411764708</v>
      </c>
      <c r="AM13" s="53">
        <v>-0.61764705882352944</v>
      </c>
      <c r="AQ13">
        <f t="shared" si="1"/>
        <v>1</v>
      </c>
      <c r="AR13" t="s">
        <v>48</v>
      </c>
    </row>
    <row r="14" spans="1:44" x14ac:dyDescent="0.25">
      <c r="A14" s="1">
        <f>COUNTIF('Value Matchup'!$D$356:$D$423,PASE!B14)</f>
        <v>0</v>
      </c>
      <c r="B14" t="s">
        <v>125</v>
      </c>
      <c r="C14" s="64">
        <f t="shared" si="0"/>
        <v>-5.6242496998799525E-2</v>
      </c>
      <c r="D14" s="94" t="str">
        <f>IFERROR(LOOKUP(2,1/('2022 Bracket Picker'!$J:$J=PASE!$B14)/('2022 Bracket Picker'!$B:$B=PASE!D$2),('2022 Bracket Picker'!$S:$S)),"")</f>
        <v/>
      </c>
      <c r="E14" s="91">
        <v>-0.61428571428571432</v>
      </c>
      <c r="F14" s="53">
        <v>-0.625</v>
      </c>
      <c r="G14" s="53" t="s">
        <v>480</v>
      </c>
      <c r="H14" s="53" t="s">
        <v>480</v>
      </c>
      <c r="I14" s="53" t="s">
        <v>480</v>
      </c>
      <c r="J14" s="53">
        <v>-0.61764705882352944</v>
      </c>
      <c r="K14" s="53" t="s">
        <v>480</v>
      </c>
      <c r="L14" s="53" t="s">
        <v>480</v>
      </c>
      <c r="M14" s="53" t="s">
        <v>480</v>
      </c>
      <c r="N14" s="53" t="s">
        <v>480</v>
      </c>
      <c r="O14" s="53">
        <v>-8.0882352941176405E-2</v>
      </c>
      <c r="P14" s="53" t="s">
        <v>480</v>
      </c>
      <c r="Q14" s="53" t="s">
        <v>480</v>
      </c>
      <c r="R14" s="53" t="s">
        <v>480</v>
      </c>
      <c r="S14" s="53" t="s">
        <v>480</v>
      </c>
      <c r="T14" s="53" t="s">
        <v>480</v>
      </c>
      <c r="U14" s="53">
        <v>0.38235294117647056</v>
      </c>
      <c r="V14" s="53" t="s">
        <v>480</v>
      </c>
      <c r="W14" s="53" t="s">
        <v>480</v>
      </c>
      <c r="X14" s="53" t="s">
        <v>480</v>
      </c>
      <c r="Y14" s="53" t="s">
        <v>480</v>
      </c>
      <c r="Z14" s="53" t="s">
        <v>480</v>
      </c>
      <c r="AA14" s="53" t="s">
        <v>480</v>
      </c>
      <c r="AB14" s="53" t="s">
        <v>480</v>
      </c>
      <c r="AC14" s="53">
        <v>0.88235294117647056</v>
      </c>
      <c r="AD14" s="53" t="s">
        <v>480</v>
      </c>
      <c r="AE14" s="53" t="s">
        <v>480</v>
      </c>
      <c r="AF14" s="53" t="s">
        <v>480</v>
      </c>
      <c r="AG14" s="53">
        <v>0.27941176470588236</v>
      </c>
      <c r="AH14" s="53" t="s">
        <v>480</v>
      </c>
      <c r="AI14" s="53" t="s">
        <v>480</v>
      </c>
      <c r="AJ14" s="53" t="s">
        <v>480</v>
      </c>
      <c r="AK14" s="53" t="s">
        <v>480</v>
      </c>
      <c r="AL14" s="53" t="s">
        <v>480</v>
      </c>
      <c r="AM14" s="53" t="s">
        <v>480</v>
      </c>
      <c r="AQ14">
        <f t="shared" si="1"/>
        <v>1</v>
      </c>
      <c r="AR14" t="s">
        <v>125</v>
      </c>
    </row>
    <row r="15" spans="1:44" x14ac:dyDescent="0.25">
      <c r="A15" s="1">
        <f>COUNTIF('Value Matchup'!$D$356:$D$423,PASE!B15)</f>
        <v>1</v>
      </c>
      <c r="B15" t="s">
        <v>41</v>
      </c>
      <c r="C15" s="64">
        <f t="shared" si="0"/>
        <v>9.4427244582043338E-2</v>
      </c>
      <c r="D15" s="94" t="str">
        <f>IFERROR(LOOKUP(2,1/('2022 Bracket Picker'!$J:$J=PASE!$B15)/('2022 Bracket Picker'!$B:$B=PASE!D$2),('2022 Bracket Picker'!$S:$S)),"")</f>
        <v/>
      </c>
      <c r="E15" s="91" t="s">
        <v>480</v>
      </c>
      <c r="F15" s="53">
        <v>-0.92647058823529416</v>
      </c>
      <c r="G15" s="53">
        <v>0.27941176470588236</v>
      </c>
      <c r="H15" s="53" t="s">
        <v>480</v>
      </c>
      <c r="I15" s="53">
        <v>-0.11764705882352944</v>
      </c>
      <c r="J15" s="53" t="s">
        <v>480</v>
      </c>
      <c r="K15" s="53" t="s">
        <v>480</v>
      </c>
      <c r="L15" s="53" t="s">
        <v>480</v>
      </c>
      <c r="M15" s="53" t="s">
        <v>480</v>
      </c>
      <c r="N15" s="53" t="s">
        <v>480</v>
      </c>
      <c r="O15" s="53" t="s">
        <v>480</v>
      </c>
      <c r="P15" s="53">
        <v>0.41176470588235292</v>
      </c>
      <c r="Q15" s="53">
        <v>-0.5</v>
      </c>
      <c r="R15" s="53">
        <v>-0.72058823529411764</v>
      </c>
      <c r="S15" s="53" t="s">
        <v>480</v>
      </c>
      <c r="T15" s="53" t="s">
        <v>480</v>
      </c>
      <c r="U15" s="53" t="s">
        <v>480</v>
      </c>
      <c r="V15" s="53" t="s">
        <v>480</v>
      </c>
      <c r="W15" s="53">
        <v>-0.92647058823529416</v>
      </c>
      <c r="X15" s="53">
        <v>-0.625</v>
      </c>
      <c r="Y15" s="53">
        <v>-0.54411764705882359</v>
      </c>
      <c r="Z15" s="53">
        <v>-8.0882352941176405E-2</v>
      </c>
      <c r="AA15" s="53" t="s">
        <v>480</v>
      </c>
      <c r="AB15" s="53">
        <v>1.5</v>
      </c>
      <c r="AC15" s="53">
        <v>2.6397058823529411</v>
      </c>
      <c r="AD15" s="53" t="s">
        <v>480</v>
      </c>
      <c r="AE15" s="53">
        <v>0.45588235294117641</v>
      </c>
      <c r="AF15" s="53">
        <v>-0.83088235294117641</v>
      </c>
      <c r="AG15" s="53">
        <v>-0.34558823529411775</v>
      </c>
      <c r="AH15" s="53">
        <v>2.4558823529411766</v>
      </c>
      <c r="AI15" s="53">
        <v>-0.11764705882352944</v>
      </c>
      <c r="AJ15" s="53">
        <v>-0.625</v>
      </c>
      <c r="AK15" s="53" t="s">
        <v>480</v>
      </c>
      <c r="AL15" s="53" t="s">
        <v>480</v>
      </c>
      <c r="AM15" s="53">
        <v>0.41176470588235292</v>
      </c>
      <c r="AQ15">
        <f t="shared" si="1"/>
        <v>1</v>
      </c>
      <c r="AR15" t="s">
        <v>41</v>
      </c>
    </row>
    <row r="16" spans="1:44" x14ac:dyDescent="0.25">
      <c r="A16" s="1">
        <f>COUNTIF('Value Matchup'!$D$356:$D$423,PASE!B16)</f>
        <v>0</v>
      </c>
      <c r="B16" t="s">
        <v>126</v>
      </c>
      <c r="C16" s="64">
        <f t="shared" si="0"/>
        <v>-7.3529411764705881E-3</v>
      </c>
      <c r="D16" s="94" t="str">
        <f>IFERROR(LOOKUP(2,1/('2022 Bracket Picker'!$J:$J=PASE!$B16)/('2022 Bracket Picker'!$B:$B=PASE!D$2),('2022 Bracket Picker'!$S:$S)),"")</f>
        <v/>
      </c>
      <c r="E16" s="91" t="s">
        <v>480</v>
      </c>
      <c r="F16" s="53" t="s">
        <v>480</v>
      </c>
      <c r="G16" s="53" t="s">
        <v>480</v>
      </c>
      <c r="H16" s="53" t="s">
        <v>480</v>
      </c>
      <c r="I16" s="53" t="s">
        <v>480</v>
      </c>
      <c r="J16" s="53" t="s">
        <v>480</v>
      </c>
      <c r="K16" s="53" t="s">
        <v>480</v>
      </c>
      <c r="L16" s="53" t="s">
        <v>480</v>
      </c>
      <c r="M16" s="53" t="s">
        <v>480</v>
      </c>
      <c r="N16" s="53">
        <v>-7.3529411764705881E-3</v>
      </c>
      <c r="O16" s="53" t="s">
        <v>480</v>
      </c>
      <c r="P16" s="53" t="s">
        <v>480</v>
      </c>
      <c r="Q16" s="53" t="s">
        <v>480</v>
      </c>
      <c r="R16" s="53" t="s">
        <v>480</v>
      </c>
      <c r="S16" s="53" t="s">
        <v>480</v>
      </c>
      <c r="T16" s="53" t="s">
        <v>480</v>
      </c>
      <c r="U16" s="53" t="s">
        <v>480</v>
      </c>
      <c r="V16" s="53" t="s">
        <v>480</v>
      </c>
      <c r="W16" s="53" t="s">
        <v>480</v>
      </c>
      <c r="X16" s="53" t="s">
        <v>480</v>
      </c>
      <c r="Y16" s="53" t="s">
        <v>480</v>
      </c>
      <c r="Z16" s="53" t="s">
        <v>480</v>
      </c>
      <c r="AA16" s="53" t="s">
        <v>480</v>
      </c>
      <c r="AB16" s="53" t="s">
        <v>480</v>
      </c>
      <c r="AC16" s="53" t="s">
        <v>480</v>
      </c>
      <c r="AD16" s="53" t="s">
        <v>480</v>
      </c>
      <c r="AE16" s="53" t="s">
        <v>480</v>
      </c>
      <c r="AF16" s="53" t="s">
        <v>480</v>
      </c>
      <c r="AG16" s="53" t="s">
        <v>480</v>
      </c>
      <c r="AH16" s="53" t="s">
        <v>480</v>
      </c>
      <c r="AI16" s="53" t="s">
        <v>480</v>
      </c>
      <c r="AJ16" s="53" t="s">
        <v>480</v>
      </c>
      <c r="AK16" s="53" t="s">
        <v>480</v>
      </c>
      <c r="AL16" s="53" t="s">
        <v>480</v>
      </c>
      <c r="AM16" s="53" t="s">
        <v>480</v>
      </c>
      <c r="AQ16">
        <f t="shared" si="1"/>
        <v>1</v>
      </c>
      <c r="AR16" t="s">
        <v>126</v>
      </c>
    </row>
    <row r="17" spans="1:44" x14ac:dyDescent="0.25">
      <c r="A17" s="1">
        <f>COUNTIF('Value Matchup'!$D$356:$D$423,PASE!B17)</f>
        <v>0</v>
      </c>
      <c r="B17" t="s">
        <v>127</v>
      </c>
      <c r="C17" s="64">
        <f t="shared" si="0"/>
        <v>-6.6176470588235295E-2</v>
      </c>
      <c r="E17" s="91" t="s">
        <v>480</v>
      </c>
      <c r="F17" s="53" t="s">
        <v>480</v>
      </c>
      <c r="G17" s="53" t="s">
        <v>480</v>
      </c>
      <c r="H17" s="53" t="s">
        <v>480</v>
      </c>
      <c r="I17" s="53" t="s">
        <v>480</v>
      </c>
      <c r="J17" s="53" t="s">
        <v>480</v>
      </c>
      <c r="K17" s="53" t="s">
        <v>480</v>
      </c>
      <c r="L17" s="53" t="s">
        <v>480</v>
      </c>
      <c r="M17" s="53" t="s">
        <v>480</v>
      </c>
      <c r="N17" s="53" t="s">
        <v>480</v>
      </c>
      <c r="O17" s="53" t="s">
        <v>480</v>
      </c>
      <c r="P17" s="53" t="s">
        <v>480</v>
      </c>
      <c r="Q17" s="53" t="s">
        <v>480</v>
      </c>
      <c r="R17" s="53" t="s">
        <v>480</v>
      </c>
      <c r="S17" s="53" t="s">
        <v>480</v>
      </c>
      <c r="T17" s="53" t="s">
        <v>480</v>
      </c>
      <c r="U17" s="53" t="s">
        <v>480</v>
      </c>
      <c r="V17" s="53" t="s">
        <v>480</v>
      </c>
      <c r="W17" s="53" t="s">
        <v>480</v>
      </c>
      <c r="X17" s="53" t="s">
        <v>480</v>
      </c>
      <c r="Y17" s="53">
        <v>-6.6176470588235295E-2</v>
      </c>
      <c r="Z17" s="53" t="s">
        <v>480</v>
      </c>
      <c r="AA17" s="53" t="s">
        <v>480</v>
      </c>
      <c r="AB17" s="53" t="s">
        <v>480</v>
      </c>
      <c r="AC17" s="53" t="s">
        <v>480</v>
      </c>
      <c r="AD17" s="53" t="s">
        <v>480</v>
      </c>
      <c r="AE17" s="53" t="s">
        <v>480</v>
      </c>
      <c r="AF17" s="53" t="s">
        <v>480</v>
      </c>
      <c r="AG17" s="53" t="s">
        <v>480</v>
      </c>
      <c r="AH17" s="53" t="s">
        <v>480</v>
      </c>
      <c r="AI17" s="53" t="s">
        <v>480</v>
      </c>
      <c r="AJ17" s="53" t="s">
        <v>480</v>
      </c>
      <c r="AK17" s="53" t="s">
        <v>480</v>
      </c>
      <c r="AL17" s="53" t="s">
        <v>480</v>
      </c>
      <c r="AM17" s="53" t="s">
        <v>480</v>
      </c>
      <c r="AQ17">
        <f t="shared" si="1"/>
        <v>1</v>
      </c>
      <c r="AR17" t="s">
        <v>127</v>
      </c>
    </row>
    <row r="18" spans="1:44" x14ac:dyDescent="0.25">
      <c r="A18" s="1">
        <f>COUNTIF('Value Matchup'!$D$356:$D$423,PASE!B18)</f>
        <v>0</v>
      </c>
      <c r="B18" t="s">
        <v>128</v>
      </c>
      <c r="C18" s="64">
        <f t="shared" si="0"/>
        <v>0</v>
      </c>
      <c r="E18" s="91" t="s">
        <v>480</v>
      </c>
      <c r="F18" s="53" t="s">
        <v>480</v>
      </c>
      <c r="G18" s="53" t="s">
        <v>480</v>
      </c>
      <c r="H18" s="53" t="s">
        <v>480</v>
      </c>
      <c r="I18" s="53" t="s">
        <v>480</v>
      </c>
      <c r="J18" s="53" t="s">
        <v>480</v>
      </c>
      <c r="K18" s="53" t="s">
        <v>480</v>
      </c>
      <c r="L18" s="53" t="s">
        <v>480</v>
      </c>
      <c r="M18" s="53" t="s">
        <v>480</v>
      </c>
      <c r="N18" s="53" t="s">
        <v>480</v>
      </c>
      <c r="O18" s="53" t="s">
        <v>480</v>
      </c>
      <c r="P18" s="53" t="s">
        <v>480</v>
      </c>
      <c r="Q18" s="53" t="s">
        <v>480</v>
      </c>
      <c r="R18" s="53" t="s">
        <v>480</v>
      </c>
      <c r="S18" s="53" t="s">
        <v>480</v>
      </c>
      <c r="T18" s="53" t="s">
        <v>480</v>
      </c>
      <c r="U18" s="53" t="s">
        <v>480</v>
      </c>
      <c r="V18" s="53" t="s">
        <v>480</v>
      </c>
      <c r="W18" s="53" t="s">
        <v>480</v>
      </c>
      <c r="X18" s="53" t="s">
        <v>480</v>
      </c>
      <c r="Y18" s="53" t="s">
        <v>480</v>
      </c>
      <c r="Z18" s="53" t="s">
        <v>480</v>
      </c>
      <c r="AA18" s="53" t="s">
        <v>480</v>
      </c>
      <c r="AB18" s="53" t="s">
        <v>480</v>
      </c>
      <c r="AC18" s="53" t="s">
        <v>480</v>
      </c>
      <c r="AD18" s="53" t="s">
        <v>480</v>
      </c>
      <c r="AE18" s="53" t="s">
        <v>480</v>
      </c>
      <c r="AF18" s="53" t="s">
        <v>480</v>
      </c>
      <c r="AG18" s="53" t="s">
        <v>480</v>
      </c>
      <c r="AH18" s="53" t="s">
        <v>480</v>
      </c>
      <c r="AI18" s="53" t="s">
        <v>480</v>
      </c>
      <c r="AJ18" s="53" t="s">
        <v>480</v>
      </c>
      <c r="AK18" s="53" t="s">
        <v>480</v>
      </c>
      <c r="AL18" s="53" t="s">
        <v>480</v>
      </c>
      <c r="AM18" s="53" t="s">
        <v>480</v>
      </c>
      <c r="AQ18">
        <f t="shared" si="1"/>
        <v>1</v>
      </c>
      <c r="AR18" t="s">
        <v>128</v>
      </c>
    </row>
    <row r="19" spans="1:44" x14ac:dyDescent="0.25">
      <c r="A19" s="1">
        <f>COUNTIF('Value Matchup'!$D$356:$D$423,PASE!B19)</f>
        <v>0</v>
      </c>
      <c r="B19" t="s">
        <v>129</v>
      </c>
      <c r="C19" s="64">
        <f t="shared" si="0"/>
        <v>0.74056956115779637</v>
      </c>
      <c r="E19" s="91">
        <v>2.8857142857142857</v>
      </c>
      <c r="F19" s="53">
        <v>-0.54411764705882359</v>
      </c>
      <c r="G19" s="53" t="s">
        <v>480</v>
      </c>
      <c r="H19" s="53" t="s">
        <v>480</v>
      </c>
      <c r="I19" s="53" t="s">
        <v>480</v>
      </c>
      <c r="J19" s="53" t="s">
        <v>480</v>
      </c>
      <c r="K19" s="53" t="s">
        <v>480</v>
      </c>
      <c r="L19" s="53" t="s">
        <v>480</v>
      </c>
      <c r="M19" s="53" t="s">
        <v>480</v>
      </c>
      <c r="N19" s="53" t="s">
        <v>480</v>
      </c>
      <c r="O19" s="53" t="s">
        <v>480</v>
      </c>
      <c r="P19" s="53" t="s">
        <v>480</v>
      </c>
      <c r="Q19" s="53" t="s">
        <v>480</v>
      </c>
      <c r="R19" s="53" t="s">
        <v>480</v>
      </c>
      <c r="S19" s="53" t="s">
        <v>480</v>
      </c>
      <c r="T19" s="53" t="s">
        <v>480</v>
      </c>
      <c r="U19" s="53">
        <v>1.3823529411764706</v>
      </c>
      <c r="V19" s="53" t="s">
        <v>480</v>
      </c>
      <c r="W19" s="53" t="s">
        <v>480</v>
      </c>
      <c r="X19" s="53">
        <v>7.3529411764705843E-2</v>
      </c>
      <c r="Y19" s="53">
        <v>-1.3455882352941178</v>
      </c>
      <c r="Z19" s="53" t="s">
        <v>480</v>
      </c>
      <c r="AA19" s="53" t="s">
        <v>480</v>
      </c>
      <c r="AB19" s="53" t="s">
        <v>480</v>
      </c>
      <c r="AC19" s="53" t="s">
        <v>480</v>
      </c>
      <c r="AD19" s="53" t="s">
        <v>480</v>
      </c>
      <c r="AE19" s="53" t="s">
        <v>480</v>
      </c>
      <c r="AF19" s="53" t="s">
        <v>480</v>
      </c>
      <c r="AG19" s="53" t="s">
        <v>480</v>
      </c>
      <c r="AH19" s="53" t="s">
        <v>480</v>
      </c>
      <c r="AI19" s="53" t="s">
        <v>480</v>
      </c>
      <c r="AJ19" s="53">
        <v>0.27941176470588236</v>
      </c>
      <c r="AK19" s="53">
        <v>0.27941176470588236</v>
      </c>
      <c r="AL19" s="53">
        <v>2.2794117647058822</v>
      </c>
      <c r="AM19" s="53">
        <v>1.375</v>
      </c>
      <c r="AQ19">
        <f t="shared" si="1"/>
        <v>1</v>
      </c>
      <c r="AR19" t="s">
        <v>129</v>
      </c>
    </row>
    <row r="20" spans="1:44" x14ac:dyDescent="0.25">
      <c r="A20" s="1">
        <f>COUNTIF('Value Matchup'!$D$356:$D$423,PASE!B20)</f>
        <v>0</v>
      </c>
      <c r="B20" t="s">
        <v>130</v>
      </c>
      <c r="C20" s="64">
        <f t="shared" si="0"/>
        <v>6.7647058823529393E-2</v>
      </c>
      <c r="E20" s="91" t="s">
        <v>480</v>
      </c>
      <c r="F20" s="53" t="s">
        <v>480</v>
      </c>
      <c r="G20" s="53" t="s">
        <v>480</v>
      </c>
      <c r="H20" s="53">
        <v>-7.3529411764705881E-3</v>
      </c>
      <c r="I20" s="53" t="s">
        <v>480</v>
      </c>
      <c r="J20" s="53" t="s">
        <v>480</v>
      </c>
      <c r="K20" s="53" t="s">
        <v>480</v>
      </c>
      <c r="L20" s="53" t="s">
        <v>480</v>
      </c>
      <c r="M20" s="53" t="s">
        <v>480</v>
      </c>
      <c r="N20" s="53" t="s">
        <v>480</v>
      </c>
      <c r="O20" s="53" t="s">
        <v>480</v>
      </c>
      <c r="P20" s="53">
        <v>-6.6176470588235295E-2</v>
      </c>
      <c r="Q20" s="53" t="s">
        <v>480</v>
      </c>
      <c r="R20" s="53" t="s">
        <v>480</v>
      </c>
      <c r="S20" s="53" t="s">
        <v>480</v>
      </c>
      <c r="T20" s="53" t="s">
        <v>480</v>
      </c>
      <c r="U20" s="53">
        <v>-0.25</v>
      </c>
      <c r="V20" s="53" t="s">
        <v>480</v>
      </c>
      <c r="W20" s="53" t="s">
        <v>480</v>
      </c>
      <c r="X20" s="53" t="s">
        <v>480</v>
      </c>
      <c r="Y20" s="53" t="s">
        <v>480</v>
      </c>
      <c r="Z20" s="53" t="s">
        <v>480</v>
      </c>
      <c r="AA20" s="53" t="s">
        <v>480</v>
      </c>
      <c r="AB20" s="53">
        <v>-0.16911764705882354</v>
      </c>
      <c r="AC20" s="53" t="s">
        <v>480</v>
      </c>
      <c r="AD20" s="53" t="s">
        <v>480</v>
      </c>
      <c r="AE20" s="53" t="s">
        <v>480</v>
      </c>
      <c r="AF20" s="53" t="s">
        <v>480</v>
      </c>
      <c r="AG20" s="53" t="s">
        <v>480</v>
      </c>
      <c r="AH20" s="53" t="s">
        <v>480</v>
      </c>
      <c r="AI20" s="53" t="s">
        <v>480</v>
      </c>
      <c r="AJ20" s="53" t="s">
        <v>480</v>
      </c>
      <c r="AK20" s="53">
        <v>0.83088235294117641</v>
      </c>
      <c r="AL20" s="53" t="s">
        <v>480</v>
      </c>
      <c r="AM20" s="53" t="s">
        <v>480</v>
      </c>
      <c r="AQ20">
        <f t="shared" si="1"/>
        <v>1</v>
      </c>
      <c r="AR20" t="s">
        <v>130</v>
      </c>
    </row>
    <row r="21" spans="1:44" x14ac:dyDescent="0.25">
      <c r="A21" s="1">
        <f>COUNTIF('Value Matchup'!$D$356:$D$423,PASE!B21)</f>
        <v>0</v>
      </c>
      <c r="B21" t="s">
        <v>132</v>
      </c>
      <c r="C21" s="64">
        <f t="shared" si="0"/>
        <v>9.1911764705882359E-2</v>
      </c>
      <c r="E21" s="91" t="s">
        <v>480</v>
      </c>
      <c r="F21" s="53" t="s">
        <v>480</v>
      </c>
      <c r="G21" s="53" t="s">
        <v>480</v>
      </c>
      <c r="H21" s="53" t="s">
        <v>480</v>
      </c>
      <c r="I21" s="53" t="s">
        <v>480</v>
      </c>
      <c r="J21" s="53" t="s">
        <v>480</v>
      </c>
      <c r="K21" s="53" t="s">
        <v>480</v>
      </c>
      <c r="L21" s="53" t="s">
        <v>480</v>
      </c>
      <c r="M21" s="53" t="s">
        <v>480</v>
      </c>
      <c r="N21" s="53" t="s">
        <v>480</v>
      </c>
      <c r="O21" s="53" t="s">
        <v>480</v>
      </c>
      <c r="P21" s="53" t="s">
        <v>480</v>
      </c>
      <c r="Q21" s="53" t="s">
        <v>480</v>
      </c>
      <c r="R21" s="53" t="s">
        <v>480</v>
      </c>
      <c r="S21" s="53" t="s">
        <v>480</v>
      </c>
      <c r="T21" s="53" t="s">
        <v>480</v>
      </c>
      <c r="U21" s="53" t="s">
        <v>480</v>
      </c>
      <c r="V21" s="53" t="s">
        <v>480</v>
      </c>
      <c r="W21" s="53" t="s">
        <v>480</v>
      </c>
      <c r="X21" s="53">
        <v>-0.625</v>
      </c>
      <c r="Y21" s="53" t="s">
        <v>480</v>
      </c>
      <c r="Z21" s="53" t="s">
        <v>480</v>
      </c>
      <c r="AA21" s="53" t="s">
        <v>480</v>
      </c>
      <c r="AB21" s="53" t="s">
        <v>480</v>
      </c>
      <c r="AC21" s="53">
        <v>-0.5</v>
      </c>
      <c r="AD21" s="53" t="s">
        <v>480</v>
      </c>
      <c r="AE21" s="53">
        <v>-6.6176470588235295E-2</v>
      </c>
      <c r="AF21" s="53" t="s">
        <v>480</v>
      </c>
      <c r="AG21" s="53" t="s">
        <v>480</v>
      </c>
      <c r="AH21" s="53">
        <v>1.5</v>
      </c>
      <c r="AI21" s="53">
        <v>0.41176470588235292</v>
      </c>
      <c r="AJ21" s="53" t="s">
        <v>480</v>
      </c>
      <c r="AK21" s="53" t="s">
        <v>480</v>
      </c>
      <c r="AL21" s="53">
        <v>-0.16911764705882354</v>
      </c>
      <c r="AM21" s="53" t="s">
        <v>480</v>
      </c>
      <c r="AQ21">
        <f t="shared" si="1"/>
        <v>1</v>
      </c>
      <c r="AR21" t="s">
        <v>132</v>
      </c>
    </row>
    <row r="22" spans="1:44" x14ac:dyDescent="0.25">
      <c r="A22" s="1">
        <f>COUNTIF('Value Matchup'!$D$356:$D$423,PASE!B22)</f>
        <v>1</v>
      </c>
      <c r="B22" t="s">
        <v>46</v>
      </c>
      <c r="C22" s="64">
        <f t="shared" si="0"/>
        <v>-5.1960784313725465E-2</v>
      </c>
      <c r="E22" s="91">
        <v>0.4</v>
      </c>
      <c r="F22" s="53" t="s">
        <v>480</v>
      </c>
      <c r="G22" s="53">
        <v>0.16911764705882359</v>
      </c>
      <c r="H22" s="53">
        <v>-1.1176470588235294</v>
      </c>
      <c r="I22" s="53">
        <v>-1.8308823529411764</v>
      </c>
      <c r="J22" s="53">
        <v>0.91911764705882359</v>
      </c>
      <c r="K22" s="53" t="s">
        <v>480</v>
      </c>
      <c r="L22" s="53">
        <v>1.1691176470588236</v>
      </c>
      <c r="M22" s="53" t="s">
        <v>480</v>
      </c>
      <c r="N22" s="53">
        <v>1.1691176470588236</v>
      </c>
      <c r="O22" s="53" t="s">
        <v>480</v>
      </c>
      <c r="P22" s="53">
        <v>-0.625</v>
      </c>
      <c r="Q22" s="53" t="s">
        <v>480</v>
      </c>
      <c r="R22" s="53" t="s">
        <v>480</v>
      </c>
      <c r="S22" s="53" t="s">
        <v>480</v>
      </c>
      <c r="T22" s="53" t="s">
        <v>480</v>
      </c>
      <c r="U22" s="53" t="s">
        <v>480</v>
      </c>
      <c r="V22" s="53" t="s">
        <v>480</v>
      </c>
      <c r="W22" s="53" t="s">
        <v>480</v>
      </c>
      <c r="X22" s="53" t="s">
        <v>480</v>
      </c>
      <c r="Y22" s="53" t="s">
        <v>480</v>
      </c>
      <c r="Z22" s="53" t="s">
        <v>480</v>
      </c>
      <c r="AA22" s="53" t="s">
        <v>480</v>
      </c>
      <c r="AB22" s="53" t="s">
        <v>480</v>
      </c>
      <c r="AC22" s="53" t="s">
        <v>480</v>
      </c>
      <c r="AD22" s="53" t="s">
        <v>480</v>
      </c>
      <c r="AE22" s="53" t="s">
        <v>480</v>
      </c>
      <c r="AF22" s="53" t="s">
        <v>480</v>
      </c>
      <c r="AG22" s="53" t="s">
        <v>480</v>
      </c>
      <c r="AH22" s="53" t="s">
        <v>480</v>
      </c>
      <c r="AI22" s="53" t="s">
        <v>480</v>
      </c>
      <c r="AJ22" s="53">
        <v>-0.72058823529411764</v>
      </c>
      <c r="AK22" s="53" t="s">
        <v>480</v>
      </c>
      <c r="AL22" s="53" t="s">
        <v>480</v>
      </c>
      <c r="AM22" s="53" t="s">
        <v>480</v>
      </c>
      <c r="AQ22">
        <f t="shared" si="1"/>
        <v>1</v>
      </c>
      <c r="AR22" t="s">
        <v>46</v>
      </c>
    </row>
    <row r="23" spans="1:44" x14ac:dyDescent="0.25">
      <c r="A23" s="1">
        <f>COUNTIF('Value Matchup'!$D$356:$D$423,PASE!B23)</f>
        <v>0</v>
      </c>
      <c r="B23" t="s">
        <v>62</v>
      </c>
      <c r="C23" s="64">
        <f t="shared" si="0"/>
        <v>-0.24038865546218488</v>
      </c>
      <c r="E23" s="91">
        <v>-0.61428571428571432</v>
      </c>
      <c r="F23" s="53" t="s">
        <v>480</v>
      </c>
      <c r="G23" s="53" t="s">
        <v>480</v>
      </c>
      <c r="H23" s="53" t="s">
        <v>480</v>
      </c>
      <c r="I23" s="53">
        <v>-6.6176470588235295E-2</v>
      </c>
      <c r="J23" s="53" t="s">
        <v>480</v>
      </c>
      <c r="K23" s="53">
        <v>-0.625</v>
      </c>
      <c r="L23" s="53">
        <v>-0.16911764705882354</v>
      </c>
      <c r="M23" s="53">
        <v>-0.25</v>
      </c>
      <c r="N23" s="53" t="s">
        <v>480</v>
      </c>
      <c r="O23" s="53" t="s">
        <v>480</v>
      </c>
      <c r="P23" s="53">
        <v>-6.6176470588235295E-2</v>
      </c>
      <c r="Q23" s="53">
        <v>-6.6176470588235295E-2</v>
      </c>
      <c r="R23" s="53">
        <v>-6.6176470588235295E-2</v>
      </c>
      <c r="S23" s="53" t="s">
        <v>480</v>
      </c>
      <c r="T23" s="53" t="s">
        <v>480</v>
      </c>
      <c r="U23" s="53" t="s">
        <v>480</v>
      </c>
      <c r="V23" s="53" t="s">
        <v>480</v>
      </c>
      <c r="W23" s="53" t="s">
        <v>480</v>
      </c>
      <c r="X23" s="53" t="s">
        <v>480</v>
      </c>
      <c r="Y23" s="53" t="s">
        <v>480</v>
      </c>
      <c r="Z23" s="53" t="s">
        <v>480</v>
      </c>
      <c r="AA23" s="53" t="s">
        <v>480</v>
      </c>
      <c r="AB23" s="53" t="s">
        <v>480</v>
      </c>
      <c r="AC23" s="53" t="s">
        <v>480</v>
      </c>
      <c r="AD23" s="53" t="s">
        <v>480</v>
      </c>
      <c r="AE23" s="53" t="s">
        <v>480</v>
      </c>
      <c r="AF23" s="53" t="s">
        <v>480</v>
      </c>
      <c r="AG23" s="53" t="s">
        <v>480</v>
      </c>
      <c r="AH23" s="53" t="s">
        <v>480</v>
      </c>
      <c r="AI23" s="53" t="s">
        <v>480</v>
      </c>
      <c r="AJ23" s="53" t="s">
        <v>480</v>
      </c>
      <c r="AK23" s="53" t="s">
        <v>480</v>
      </c>
      <c r="AL23" s="53" t="s">
        <v>480</v>
      </c>
      <c r="AM23" s="53" t="s">
        <v>480</v>
      </c>
      <c r="AQ23">
        <f t="shared" si="1"/>
        <v>1</v>
      </c>
      <c r="AR23" t="s">
        <v>62</v>
      </c>
    </row>
    <row r="24" spans="1:44" x14ac:dyDescent="0.25">
      <c r="A24" s="1">
        <f>COUNTIF('Value Matchup'!$D$356:$D$423,PASE!B24)</f>
        <v>0</v>
      </c>
      <c r="B24" t="s">
        <v>134</v>
      </c>
      <c r="C24" s="64">
        <f t="shared" si="0"/>
        <v>0</v>
      </c>
      <c r="E24" s="91" t="s">
        <v>480</v>
      </c>
      <c r="F24" s="53" t="s">
        <v>480</v>
      </c>
      <c r="G24" s="53" t="s">
        <v>480</v>
      </c>
      <c r="H24" s="53" t="s">
        <v>480</v>
      </c>
      <c r="I24" s="53" t="s">
        <v>480</v>
      </c>
      <c r="J24" s="53" t="s">
        <v>480</v>
      </c>
      <c r="K24" s="53" t="s">
        <v>480</v>
      </c>
      <c r="L24" s="53" t="s">
        <v>480</v>
      </c>
      <c r="M24" s="53" t="s">
        <v>480</v>
      </c>
      <c r="N24" s="53" t="s">
        <v>480</v>
      </c>
      <c r="O24" s="53" t="s">
        <v>480</v>
      </c>
      <c r="P24" s="53" t="s">
        <v>480</v>
      </c>
      <c r="Q24" s="53" t="s">
        <v>480</v>
      </c>
      <c r="R24" s="53" t="s">
        <v>480</v>
      </c>
      <c r="S24" s="53" t="s">
        <v>480</v>
      </c>
      <c r="T24" s="53" t="s">
        <v>480</v>
      </c>
      <c r="U24" s="53" t="s">
        <v>480</v>
      </c>
      <c r="V24" s="53" t="s">
        <v>480</v>
      </c>
      <c r="W24" s="53" t="s">
        <v>480</v>
      </c>
      <c r="X24" s="53" t="s">
        <v>480</v>
      </c>
      <c r="Y24" s="53" t="s">
        <v>480</v>
      </c>
      <c r="Z24" s="53" t="s">
        <v>480</v>
      </c>
      <c r="AA24" s="53" t="s">
        <v>480</v>
      </c>
      <c r="AB24" s="53" t="s">
        <v>480</v>
      </c>
      <c r="AC24" s="53" t="s">
        <v>480</v>
      </c>
      <c r="AD24" s="53" t="s">
        <v>480</v>
      </c>
      <c r="AE24" s="53" t="s">
        <v>480</v>
      </c>
      <c r="AF24" s="53" t="s">
        <v>480</v>
      </c>
      <c r="AG24" s="53" t="s">
        <v>480</v>
      </c>
      <c r="AH24" s="53" t="s">
        <v>480</v>
      </c>
      <c r="AI24" s="53" t="s">
        <v>480</v>
      </c>
      <c r="AJ24" s="53" t="s">
        <v>480</v>
      </c>
      <c r="AK24" s="53" t="s">
        <v>480</v>
      </c>
      <c r="AL24" s="53" t="s">
        <v>480</v>
      </c>
      <c r="AM24" s="53" t="s">
        <v>480</v>
      </c>
      <c r="AQ24">
        <f t="shared" si="1"/>
        <v>1</v>
      </c>
      <c r="AR24" t="s">
        <v>134</v>
      </c>
    </row>
    <row r="25" spans="1:44" x14ac:dyDescent="0.25">
      <c r="A25" s="1">
        <f>COUNTIF('Value Matchup'!$D$356:$D$423,PASE!B25)</f>
        <v>0</v>
      </c>
      <c r="B25" t="s">
        <v>136</v>
      </c>
      <c r="C25" s="64">
        <f t="shared" si="0"/>
        <v>-6.6176470588235295E-2</v>
      </c>
      <c r="E25" s="91" t="s">
        <v>480</v>
      </c>
      <c r="F25" s="53" t="s">
        <v>480</v>
      </c>
      <c r="G25" s="53" t="s">
        <v>480</v>
      </c>
      <c r="H25" s="53" t="s">
        <v>480</v>
      </c>
      <c r="I25" s="53" t="s">
        <v>480</v>
      </c>
      <c r="J25" s="53" t="s">
        <v>480</v>
      </c>
      <c r="K25" s="53" t="s">
        <v>480</v>
      </c>
      <c r="L25" s="53" t="s">
        <v>480</v>
      </c>
      <c r="M25" s="53" t="s">
        <v>480</v>
      </c>
      <c r="N25" s="53" t="s">
        <v>480</v>
      </c>
      <c r="O25" s="53">
        <v>-6.6176470588235295E-2</v>
      </c>
      <c r="P25" s="53" t="s">
        <v>480</v>
      </c>
      <c r="Q25" s="53" t="s">
        <v>480</v>
      </c>
      <c r="R25" s="53" t="s">
        <v>480</v>
      </c>
      <c r="S25" s="53" t="s">
        <v>480</v>
      </c>
      <c r="T25" s="53" t="s">
        <v>480</v>
      </c>
      <c r="U25" s="53" t="s">
        <v>480</v>
      </c>
      <c r="V25" s="53" t="s">
        <v>480</v>
      </c>
      <c r="W25" s="53" t="s">
        <v>480</v>
      </c>
      <c r="X25" s="53" t="s">
        <v>480</v>
      </c>
      <c r="Y25" s="53" t="s">
        <v>480</v>
      </c>
      <c r="Z25" s="53" t="s">
        <v>480</v>
      </c>
      <c r="AA25" s="53" t="s">
        <v>480</v>
      </c>
      <c r="AB25" s="53" t="s">
        <v>480</v>
      </c>
      <c r="AC25" s="53" t="s">
        <v>480</v>
      </c>
      <c r="AD25" s="53" t="s">
        <v>480</v>
      </c>
      <c r="AE25" s="53" t="s">
        <v>480</v>
      </c>
      <c r="AF25" s="53" t="s">
        <v>480</v>
      </c>
      <c r="AG25" s="53" t="s">
        <v>480</v>
      </c>
      <c r="AH25" s="53" t="s">
        <v>480</v>
      </c>
      <c r="AI25" s="53" t="s">
        <v>480</v>
      </c>
      <c r="AJ25" s="53" t="s">
        <v>480</v>
      </c>
      <c r="AK25" s="53" t="s">
        <v>480</v>
      </c>
      <c r="AL25" s="53" t="s">
        <v>480</v>
      </c>
      <c r="AM25" s="53" t="s">
        <v>480</v>
      </c>
      <c r="AQ25">
        <f t="shared" si="1"/>
        <v>1</v>
      </c>
      <c r="AR25" t="s">
        <v>136</v>
      </c>
    </row>
    <row r="26" spans="1:44" x14ac:dyDescent="0.25">
      <c r="A26" s="1">
        <f>COUNTIF('Value Matchup'!$D$356:$D$423,PASE!B26)</f>
        <v>0</v>
      </c>
      <c r="B26" t="s">
        <v>137</v>
      </c>
      <c r="C26" s="64">
        <f t="shared" si="0"/>
        <v>-0.25857843137254904</v>
      </c>
      <c r="E26" s="91" t="s">
        <v>480</v>
      </c>
      <c r="F26" s="53" t="s">
        <v>480</v>
      </c>
      <c r="G26" s="53" t="s">
        <v>480</v>
      </c>
      <c r="H26" s="53" t="s">
        <v>480</v>
      </c>
      <c r="I26" s="53">
        <v>-0.625</v>
      </c>
      <c r="J26" s="53" t="s">
        <v>480</v>
      </c>
      <c r="K26" s="53">
        <v>-0.25</v>
      </c>
      <c r="L26" s="53" t="s">
        <v>480</v>
      </c>
      <c r="M26" s="53" t="s">
        <v>480</v>
      </c>
      <c r="N26" s="53" t="s">
        <v>480</v>
      </c>
      <c r="O26" s="53" t="s">
        <v>480</v>
      </c>
      <c r="P26" s="53">
        <v>-0.16911764705882354</v>
      </c>
      <c r="Q26" s="53" t="s">
        <v>480</v>
      </c>
      <c r="R26" s="53" t="s">
        <v>480</v>
      </c>
      <c r="S26" s="53" t="s">
        <v>480</v>
      </c>
      <c r="T26" s="53" t="s">
        <v>480</v>
      </c>
      <c r="U26" s="53" t="s">
        <v>480</v>
      </c>
      <c r="V26" s="53" t="s">
        <v>480</v>
      </c>
      <c r="W26" s="53" t="s">
        <v>480</v>
      </c>
      <c r="X26" s="53" t="s">
        <v>480</v>
      </c>
      <c r="Y26" s="53" t="s">
        <v>480</v>
      </c>
      <c r="Z26" s="53" t="s">
        <v>480</v>
      </c>
      <c r="AA26" s="53" t="s">
        <v>480</v>
      </c>
      <c r="AB26" s="53" t="s">
        <v>480</v>
      </c>
      <c r="AC26" s="53" t="s">
        <v>480</v>
      </c>
      <c r="AD26" s="53">
        <v>-0.16911764705882354</v>
      </c>
      <c r="AE26" s="53">
        <v>-0.16911764705882354</v>
      </c>
      <c r="AF26" s="53" t="s">
        <v>480</v>
      </c>
      <c r="AG26" s="53" t="s">
        <v>480</v>
      </c>
      <c r="AH26" s="53" t="s">
        <v>480</v>
      </c>
      <c r="AI26" s="53" t="s">
        <v>480</v>
      </c>
      <c r="AJ26" s="53">
        <v>-0.16911764705882354</v>
      </c>
      <c r="AK26" s="53" t="s">
        <v>480</v>
      </c>
      <c r="AL26" s="53" t="s">
        <v>480</v>
      </c>
      <c r="AM26" s="53" t="s">
        <v>480</v>
      </c>
      <c r="AQ26">
        <f t="shared" si="1"/>
        <v>1</v>
      </c>
      <c r="AR26" t="s">
        <v>137</v>
      </c>
    </row>
    <row r="27" spans="1:44" x14ac:dyDescent="0.25">
      <c r="A27" s="1">
        <f>COUNTIF('Value Matchup'!$D$356:$D$423,PASE!B27)</f>
        <v>0</v>
      </c>
      <c r="B27" t="s">
        <v>138</v>
      </c>
      <c r="C27" s="64">
        <f t="shared" si="0"/>
        <v>0.14237967914438501</v>
      </c>
      <c r="E27" s="91" t="s">
        <v>480</v>
      </c>
      <c r="F27" s="53" t="s">
        <v>480</v>
      </c>
      <c r="G27" s="53" t="s">
        <v>480</v>
      </c>
      <c r="H27" s="53" t="s">
        <v>480</v>
      </c>
      <c r="I27" s="53" t="s">
        <v>480</v>
      </c>
      <c r="J27" s="53" t="s">
        <v>480</v>
      </c>
      <c r="K27" s="53" t="s">
        <v>480</v>
      </c>
      <c r="L27" s="53" t="s">
        <v>480</v>
      </c>
      <c r="M27" s="53" t="s">
        <v>480</v>
      </c>
      <c r="N27" s="53" t="s">
        <v>480</v>
      </c>
      <c r="O27" s="53">
        <v>-0.92647058823529416</v>
      </c>
      <c r="P27" s="53" t="s">
        <v>480</v>
      </c>
      <c r="Q27" s="53">
        <v>7.3529411764705843E-2</v>
      </c>
      <c r="R27" s="53">
        <v>0.45588235294117641</v>
      </c>
      <c r="S27" s="53">
        <v>-0.54411764705882359</v>
      </c>
      <c r="T27" s="53">
        <v>-8.0882352941176405E-2</v>
      </c>
      <c r="U27" s="53" t="s">
        <v>480</v>
      </c>
      <c r="V27" s="53">
        <v>-0.625</v>
      </c>
      <c r="W27" s="53">
        <v>-0.83088235294117641</v>
      </c>
      <c r="X27" s="53" t="s">
        <v>480</v>
      </c>
      <c r="Y27" s="53" t="s">
        <v>480</v>
      </c>
      <c r="Z27" s="53" t="s">
        <v>480</v>
      </c>
      <c r="AA27" s="53">
        <v>-0.11764705882352944</v>
      </c>
      <c r="AB27" s="53">
        <v>0.375</v>
      </c>
      <c r="AC27" s="53" t="s">
        <v>480</v>
      </c>
      <c r="AD27" s="53">
        <v>2.4117647058823528</v>
      </c>
      <c r="AE27" s="53" t="s">
        <v>480</v>
      </c>
      <c r="AF27" s="53" t="s">
        <v>480</v>
      </c>
      <c r="AG27" s="53" t="s">
        <v>480</v>
      </c>
      <c r="AH27" s="53" t="s">
        <v>480</v>
      </c>
      <c r="AI27" s="53" t="s">
        <v>480</v>
      </c>
      <c r="AJ27" s="53" t="s">
        <v>480</v>
      </c>
      <c r="AK27" s="53" t="s">
        <v>480</v>
      </c>
      <c r="AL27" s="53" t="s">
        <v>480</v>
      </c>
      <c r="AM27" s="53">
        <v>1.375</v>
      </c>
      <c r="AQ27">
        <f t="shared" si="1"/>
        <v>1</v>
      </c>
      <c r="AR27" t="s">
        <v>138</v>
      </c>
    </row>
    <row r="28" spans="1:44" x14ac:dyDescent="0.25">
      <c r="A28" s="1">
        <f>COUNTIF('Value Matchup'!$D$356:$D$423,PASE!B28)</f>
        <v>0</v>
      </c>
      <c r="B28" t="s">
        <v>140</v>
      </c>
      <c r="C28" s="64">
        <f t="shared" si="0"/>
        <v>-0.1176470588235294</v>
      </c>
      <c r="E28" s="91" t="s">
        <v>480</v>
      </c>
      <c r="F28" s="53" t="s">
        <v>480</v>
      </c>
      <c r="G28" s="53" t="s">
        <v>480</v>
      </c>
      <c r="H28" s="53" t="s">
        <v>480</v>
      </c>
      <c r="I28" s="53" t="s">
        <v>480</v>
      </c>
      <c r="J28" s="53" t="s">
        <v>480</v>
      </c>
      <c r="K28" s="53" t="s">
        <v>480</v>
      </c>
      <c r="L28" s="53" t="s">
        <v>480</v>
      </c>
      <c r="M28" s="53">
        <v>-7.3529411764705881E-3</v>
      </c>
      <c r="N28" s="53" t="s">
        <v>480</v>
      </c>
      <c r="O28" s="53" t="s">
        <v>480</v>
      </c>
      <c r="P28" s="53" t="s">
        <v>480</v>
      </c>
      <c r="Q28" s="53" t="s">
        <v>480</v>
      </c>
      <c r="R28" s="53" t="s">
        <v>480</v>
      </c>
      <c r="S28" s="53" t="s">
        <v>480</v>
      </c>
      <c r="T28" s="53" t="s">
        <v>480</v>
      </c>
      <c r="U28" s="53" t="s">
        <v>480</v>
      </c>
      <c r="V28" s="53">
        <v>-7.3529411764705881E-3</v>
      </c>
      <c r="W28" s="53" t="s">
        <v>480</v>
      </c>
      <c r="X28" s="53" t="s">
        <v>480</v>
      </c>
      <c r="Y28" s="53" t="s">
        <v>480</v>
      </c>
      <c r="Z28" s="53" t="s">
        <v>480</v>
      </c>
      <c r="AA28" s="53">
        <v>-0.5</v>
      </c>
      <c r="AB28" s="53" t="s">
        <v>480</v>
      </c>
      <c r="AC28" s="53" t="s">
        <v>480</v>
      </c>
      <c r="AD28" s="53" t="s">
        <v>480</v>
      </c>
      <c r="AE28" s="53" t="s">
        <v>480</v>
      </c>
      <c r="AF28" s="53" t="s">
        <v>480</v>
      </c>
      <c r="AG28" s="53" t="s">
        <v>480</v>
      </c>
      <c r="AH28" s="53">
        <v>-7.3529411764705881E-3</v>
      </c>
      <c r="AI28" s="53" t="s">
        <v>480</v>
      </c>
      <c r="AJ28" s="53">
        <v>-6.6176470588235295E-2</v>
      </c>
      <c r="AK28" s="53" t="s">
        <v>480</v>
      </c>
      <c r="AL28" s="53" t="s">
        <v>480</v>
      </c>
      <c r="AM28" s="53" t="s">
        <v>480</v>
      </c>
      <c r="AQ28">
        <f t="shared" si="1"/>
        <v>1</v>
      </c>
      <c r="AR28" t="s">
        <v>140</v>
      </c>
    </row>
    <row r="29" spans="1:44" x14ac:dyDescent="0.25">
      <c r="A29" s="1">
        <f>COUNTIF('Value Matchup'!$D$356:$D$423,PASE!B29)</f>
        <v>0</v>
      </c>
      <c r="B29" t="s">
        <v>141</v>
      </c>
      <c r="C29" s="64">
        <f t="shared" si="0"/>
        <v>0</v>
      </c>
      <c r="E29" s="91" t="s">
        <v>480</v>
      </c>
      <c r="F29" s="53" t="s">
        <v>480</v>
      </c>
      <c r="G29" s="53" t="s">
        <v>480</v>
      </c>
      <c r="H29" s="53" t="s">
        <v>480</v>
      </c>
      <c r="I29" s="53" t="s">
        <v>480</v>
      </c>
      <c r="J29" s="53" t="s">
        <v>480</v>
      </c>
      <c r="K29" s="53" t="s">
        <v>480</v>
      </c>
      <c r="L29" s="53" t="s">
        <v>480</v>
      </c>
      <c r="M29" s="53" t="s">
        <v>480</v>
      </c>
      <c r="N29" s="53" t="s">
        <v>480</v>
      </c>
      <c r="O29" s="53" t="s">
        <v>480</v>
      </c>
      <c r="P29" s="53" t="s">
        <v>480</v>
      </c>
      <c r="Q29" s="53" t="s">
        <v>480</v>
      </c>
      <c r="R29" s="53" t="s">
        <v>480</v>
      </c>
      <c r="S29" s="53" t="s">
        <v>480</v>
      </c>
      <c r="T29" s="53" t="s">
        <v>480</v>
      </c>
      <c r="U29" s="53" t="s">
        <v>480</v>
      </c>
      <c r="V29" s="53" t="s">
        <v>480</v>
      </c>
      <c r="W29" s="53" t="s">
        <v>480</v>
      </c>
      <c r="X29" s="53" t="s">
        <v>480</v>
      </c>
      <c r="Y29" s="53" t="s">
        <v>480</v>
      </c>
      <c r="Z29" s="53" t="s">
        <v>480</v>
      </c>
      <c r="AA29" s="53" t="s">
        <v>480</v>
      </c>
      <c r="AB29" s="53" t="s">
        <v>480</v>
      </c>
      <c r="AC29" s="53" t="s">
        <v>480</v>
      </c>
      <c r="AD29" s="53" t="s">
        <v>480</v>
      </c>
      <c r="AE29" s="53" t="s">
        <v>480</v>
      </c>
      <c r="AF29" s="53" t="s">
        <v>480</v>
      </c>
      <c r="AG29" s="53" t="s">
        <v>480</v>
      </c>
      <c r="AH29" s="53" t="s">
        <v>480</v>
      </c>
      <c r="AI29" s="53" t="s">
        <v>480</v>
      </c>
      <c r="AJ29" s="53" t="s">
        <v>480</v>
      </c>
      <c r="AK29" s="53" t="s">
        <v>480</v>
      </c>
      <c r="AL29" s="53" t="s">
        <v>480</v>
      </c>
      <c r="AM29" s="53" t="s">
        <v>480</v>
      </c>
      <c r="AQ29">
        <f t="shared" si="1"/>
        <v>1</v>
      </c>
      <c r="AR29" t="s">
        <v>141</v>
      </c>
    </row>
    <row r="30" spans="1:44" x14ac:dyDescent="0.25">
      <c r="A30" s="1">
        <f>COUNTIF('Value Matchup'!$D$356:$D$423,PASE!B30)</f>
        <v>0</v>
      </c>
      <c r="B30" t="s">
        <v>142</v>
      </c>
      <c r="C30" s="64">
        <f t="shared" si="0"/>
        <v>9.0084033613445372E-2</v>
      </c>
      <c r="E30" s="91">
        <v>-6.4285714285714279E-2</v>
      </c>
      <c r="F30" s="53" t="s">
        <v>480</v>
      </c>
      <c r="G30" s="53" t="s">
        <v>480</v>
      </c>
      <c r="H30" s="53" t="s">
        <v>480</v>
      </c>
      <c r="I30" s="53" t="s">
        <v>480</v>
      </c>
      <c r="J30" s="53" t="s">
        <v>480</v>
      </c>
      <c r="K30" s="53" t="s">
        <v>480</v>
      </c>
      <c r="L30" s="53" t="s">
        <v>480</v>
      </c>
      <c r="M30" s="53" t="s">
        <v>480</v>
      </c>
      <c r="N30" s="53" t="s">
        <v>480</v>
      </c>
      <c r="O30" s="53" t="s">
        <v>480</v>
      </c>
      <c r="P30" s="53" t="s">
        <v>480</v>
      </c>
      <c r="Q30" s="53" t="s">
        <v>480</v>
      </c>
      <c r="R30" s="53">
        <v>1.75</v>
      </c>
      <c r="S30" s="53" t="s">
        <v>480</v>
      </c>
      <c r="T30" s="53" t="s">
        <v>480</v>
      </c>
      <c r="U30" s="53" t="s">
        <v>480</v>
      </c>
      <c r="V30" s="53" t="s">
        <v>480</v>
      </c>
      <c r="W30" s="53" t="s">
        <v>480</v>
      </c>
      <c r="X30" s="53" t="s">
        <v>480</v>
      </c>
      <c r="Y30" s="53" t="s">
        <v>480</v>
      </c>
      <c r="Z30" s="53" t="s">
        <v>480</v>
      </c>
      <c r="AA30" s="53" t="s">
        <v>480</v>
      </c>
      <c r="AB30" s="53">
        <v>-0.72058823529411764</v>
      </c>
      <c r="AC30" s="53" t="s">
        <v>480</v>
      </c>
      <c r="AD30" s="53" t="s">
        <v>480</v>
      </c>
      <c r="AE30" s="53" t="s">
        <v>480</v>
      </c>
      <c r="AF30" s="53" t="s">
        <v>480</v>
      </c>
      <c r="AG30" s="53" t="s">
        <v>480</v>
      </c>
      <c r="AH30" s="53" t="s">
        <v>480</v>
      </c>
      <c r="AI30" s="53" t="s">
        <v>480</v>
      </c>
      <c r="AJ30" s="53">
        <v>-0.58823529411764708</v>
      </c>
      <c r="AK30" s="53" t="s">
        <v>480</v>
      </c>
      <c r="AL30" s="53">
        <v>7.3529411764705843E-2</v>
      </c>
      <c r="AM30" s="53" t="s">
        <v>480</v>
      </c>
      <c r="AQ30">
        <f t="shared" si="1"/>
        <v>1</v>
      </c>
      <c r="AR30" t="s">
        <v>142</v>
      </c>
    </row>
    <row r="31" spans="1:44" x14ac:dyDescent="0.25">
      <c r="A31" s="1">
        <f>COUNTIF('Value Matchup'!$D$356:$D$423,PASE!B31)</f>
        <v>0</v>
      </c>
      <c r="B31" t="s">
        <v>144</v>
      </c>
      <c r="C31" s="64">
        <f t="shared" si="0"/>
        <v>-6.6176470588235295E-2</v>
      </c>
      <c r="E31" s="91" t="s">
        <v>480</v>
      </c>
      <c r="F31" s="53" t="s">
        <v>480</v>
      </c>
      <c r="G31" s="53" t="s">
        <v>480</v>
      </c>
      <c r="H31" s="53" t="s">
        <v>480</v>
      </c>
      <c r="I31" s="53" t="s">
        <v>480</v>
      </c>
      <c r="J31" s="53" t="s">
        <v>480</v>
      </c>
      <c r="K31" s="53" t="s">
        <v>480</v>
      </c>
      <c r="L31" s="53" t="s">
        <v>480</v>
      </c>
      <c r="M31" s="53" t="s">
        <v>480</v>
      </c>
      <c r="N31" s="53" t="s">
        <v>480</v>
      </c>
      <c r="O31" s="53" t="s">
        <v>480</v>
      </c>
      <c r="P31" s="53" t="s">
        <v>480</v>
      </c>
      <c r="Q31" s="53" t="s">
        <v>480</v>
      </c>
      <c r="R31" s="53" t="s">
        <v>480</v>
      </c>
      <c r="S31" s="53" t="s">
        <v>480</v>
      </c>
      <c r="T31" s="53" t="s">
        <v>480</v>
      </c>
      <c r="U31" s="53" t="s">
        <v>480</v>
      </c>
      <c r="V31" s="53" t="s">
        <v>480</v>
      </c>
      <c r="W31" s="53" t="s">
        <v>480</v>
      </c>
      <c r="X31" s="53" t="s">
        <v>480</v>
      </c>
      <c r="Y31" s="53" t="s">
        <v>480</v>
      </c>
      <c r="Z31" s="53" t="s">
        <v>480</v>
      </c>
      <c r="AA31" s="53" t="s">
        <v>480</v>
      </c>
      <c r="AB31" s="53" t="s">
        <v>480</v>
      </c>
      <c r="AC31" s="53" t="s">
        <v>480</v>
      </c>
      <c r="AD31" s="53" t="s">
        <v>480</v>
      </c>
      <c r="AE31" s="53" t="s">
        <v>480</v>
      </c>
      <c r="AF31" s="53" t="s">
        <v>480</v>
      </c>
      <c r="AG31" s="53" t="s">
        <v>480</v>
      </c>
      <c r="AH31" s="53" t="s">
        <v>480</v>
      </c>
      <c r="AI31" s="53" t="s">
        <v>480</v>
      </c>
      <c r="AJ31" s="53" t="s">
        <v>480</v>
      </c>
      <c r="AK31" s="53" t="s">
        <v>480</v>
      </c>
      <c r="AL31" s="53">
        <v>-6.6176470588235295E-2</v>
      </c>
      <c r="AM31" s="53" t="s">
        <v>480</v>
      </c>
      <c r="AQ31">
        <f t="shared" si="1"/>
        <v>1</v>
      </c>
      <c r="AR31" t="s">
        <v>144</v>
      </c>
    </row>
    <row r="32" spans="1:44" x14ac:dyDescent="0.25">
      <c r="A32" s="1">
        <f>COUNTIF('Value Matchup'!$D$356:$D$423,PASE!B32)</f>
        <v>0</v>
      </c>
      <c r="B32" t="s">
        <v>146</v>
      </c>
      <c r="C32" s="64">
        <f t="shared" si="0"/>
        <v>0</v>
      </c>
      <c r="E32" s="91" t="s">
        <v>480</v>
      </c>
      <c r="F32" s="53" t="s">
        <v>480</v>
      </c>
      <c r="G32" s="53" t="s">
        <v>480</v>
      </c>
      <c r="H32" s="53" t="s">
        <v>480</v>
      </c>
      <c r="I32" s="53" t="s">
        <v>480</v>
      </c>
      <c r="J32" s="53" t="s">
        <v>480</v>
      </c>
      <c r="K32" s="53" t="s">
        <v>480</v>
      </c>
      <c r="L32" s="53" t="s">
        <v>480</v>
      </c>
      <c r="M32" s="53" t="s">
        <v>480</v>
      </c>
      <c r="N32" s="53" t="s">
        <v>480</v>
      </c>
      <c r="O32" s="53" t="s">
        <v>480</v>
      </c>
      <c r="P32" s="53" t="s">
        <v>480</v>
      </c>
      <c r="Q32" s="53" t="s">
        <v>480</v>
      </c>
      <c r="R32" s="53" t="s">
        <v>480</v>
      </c>
      <c r="S32" s="53" t="s">
        <v>480</v>
      </c>
      <c r="T32" s="53" t="s">
        <v>480</v>
      </c>
      <c r="U32" s="53" t="s">
        <v>480</v>
      </c>
      <c r="V32" s="53" t="s">
        <v>480</v>
      </c>
      <c r="W32" s="53" t="s">
        <v>480</v>
      </c>
      <c r="X32" s="53" t="s">
        <v>480</v>
      </c>
      <c r="Y32" s="53" t="s">
        <v>480</v>
      </c>
      <c r="Z32" s="53" t="s">
        <v>480</v>
      </c>
      <c r="AA32" s="53" t="s">
        <v>480</v>
      </c>
      <c r="AB32" s="53" t="s">
        <v>480</v>
      </c>
      <c r="AC32" s="53" t="s">
        <v>480</v>
      </c>
      <c r="AD32" s="53" t="s">
        <v>480</v>
      </c>
      <c r="AE32" s="53" t="s">
        <v>480</v>
      </c>
      <c r="AF32" s="53" t="s">
        <v>480</v>
      </c>
      <c r="AG32" s="53" t="s">
        <v>480</v>
      </c>
      <c r="AH32" s="53" t="s">
        <v>480</v>
      </c>
      <c r="AI32" s="53" t="s">
        <v>480</v>
      </c>
      <c r="AJ32" s="53" t="s">
        <v>480</v>
      </c>
      <c r="AK32" s="53" t="s">
        <v>480</v>
      </c>
      <c r="AL32" s="53" t="s">
        <v>480</v>
      </c>
      <c r="AM32" s="53" t="s">
        <v>480</v>
      </c>
      <c r="AQ32">
        <f t="shared" si="1"/>
        <v>1</v>
      </c>
      <c r="AR32" t="s">
        <v>146</v>
      </c>
    </row>
    <row r="33" spans="1:44" x14ac:dyDescent="0.25">
      <c r="A33" s="1">
        <f>COUNTIF('Value Matchup'!$D$356:$D$423,PASE!B33)</f>
        <v>0</v>
      </c>
      <c r="B33" t="s">
        <v>148</v>
      </c>
      <c r="C33" s="64">
        <f t="shared" si="0"/>
        <v>-5.5147058823529684E-3</v>
      </c>
      <c r="E33" s="91" t="s">
        <v>480</v>
      </c>
      <c r="F33" s="53">
        <v>-0.16911764705882354</v>
      </c>
      <c r="G33" s="53">
        <v>-0.25</v>
      </c>
      <c r="H33" s="53" t="s">
        <v>480</v>
      </c>
      <c r="I33" s="53" t="s">
        <v>480</v>
      </c>
      <c r="J33" s="53" t="s">
        <v>480</v>
      </c>
      <c r="K33" s="53">
        <v>-0.625</v>
      </c>
      <c r="L33" s="53" t="s">
        <v>480</v>
      </c>
      <c r="M33" s="53">
        <v>-0.16911764705882354</v>
      </c>
      <c r="N33" s="53" t="s">
        <v>480</v>
      </c>
      <c r="O33" s="53" t="s">
        <v>480</v>
      </c>
      <c r="P33" s="53" t="s">
        <v>480</v>
      </c>
      <c r="Q33" s="53" t="s">
        <v>480</v>
      </c>
      <c r="R33" s="53">
        <v>0.41176470588235292</v>
      </c>
      <c r="S33" s="53">
        <v>0.83088235294117641</v>
      </c>
      <c r="T33" s="53" t="s">
        <v>480</v>
      </c>
      <c r="U33" s="53" t="s">
        <v>480</v>
      </c>
      <c r="V33" s="53" t="s">
        <v>480</v>
      </c>
      <c r="W33" s="53" t="s">
        <v>480</v>
      </c>
      <c r="X33" s="53" t="s">
        <v>480</v>
      </c>
      <c r="Y33" s="53" t="s">
        <v>480</v>
      </c>
      <c r="Z33" s="53" t="s">
        <v>480</v>
      </c>
      <c r="AA33" s="53" t="s">
        <v>480</v>
      </c>
      <c r="AB33" s="53" t="s">
        <v>480</v>
      </c>
      <c r="AC33" s="53" t="s">
        <v>480</v>
      </c>
      <c r="AD33" s="53" t="s">
        <v>480</v>
      </c>
      <c r="AE33" s="53" t="s">
        <v>480</v>
      </c>
      <c r="AF33" s="53" t="s">
        <v>480</v>
      </c>
      <c r="AG33" s="53" t="s">
        <v>480</v>
      </c>
      <c r="AH33" s="53" t="s">
        <v>480</v>
      </c>
      <c r="AI33" s="53">
        <v>-6.6176470588235295E-2</v>
      </c>
      <c r="AJ33" s="53" t="s">
        <v>480</v>
      </c>
      <c r="AK33" s="53">
        <v>-7.3529411764705881E-3</v>
      </c>
      <c r="AL33" s="53" t="s">
        <v>480</v>
      </c>
      <c r="AM33" s="53" t="s">
        <v>480</v>
      </c>
      <c r="AQ33">
        <f t="shared" si="1"/>
        <v>1</v>
      </c>
      <c r="AR33" t="s">
        <v>148</v>
      </c>
    </row>
    <row r="34" spans="1:44" x14ac:dyDescent="0.25">
      <c r="A34" s="1">
        <f>COUNTIF('Value Matchup'!$D$356:$D$423,PASE!B34)</f>
        <v>0</v>
      </c>
      <c r="B34" t="s">
        <v>30</v>
      </c>
      <c r="C34" s="64">
        <f t="shared" si="0"/>
        <v>2.3634453781512521E-3</v>
      </c>
      <c r="E34" s="91">
        <v>-7.1428571428571397E-2</v>
      </c>
      <c r="F34" s="53">
        <v>0.75</v>
      </c>
      <c r="G34" s="53" t="s">
        <v>480</v>
      </c>
      <c r="H34" s="53">
        <v>-0.16911764705882354</v>
      </c>
      <c r="I34" s="53">
        <v>-0.5</v>
      </c>
      <c r="J34" s="53" t="s">
        <v>480</v>
      </c>
      <c r="K34" s="53" t="s">
        <v>480</v>
      </c>
      <c r="L34" s="53" t="s">
        <v>480</v>
      </c>
      <c r="M34" s="53" t="s">
        <v>480</v>
      </c>
      <c r="N34" s="53" t="s">
        <v>480</v>
      </c>
      <c r="O34" s="53" t="s">
        <v>480</v>
      </c>
      <c r="P34" s="53" t="s">
        <v>480</v>
      </c>
      <c r="Q34" s="53" t="s">
        <v>480</v>
      </c>
      <c r="R34" s="53" t="s">
        <v>480</v>
      </c>
      <c r="S34" s="53" t="s">
        <v>480</v>
      </c>
      <c r="T34" s="53" t="s">
        <v>480</v>
      </c>
      <c r="U34" s="53" t="s">
        <v>480</v>
      </c>
      <c r="V34" s="53" t="s">
        <v>480</v>
      </c>
      <c r="W34" s="53" t="s">
        <v>480</v>
      </c>
      <c r="X34" s="53" t="s">
        <v>480</v>
      </c>
      <c r="Y34" s="53" t="s">
        <v>480</v>
      </c>
      <c r="Z34" s="53" t="s">
        <v>480</v>
      </c>
      <c r="AA34" s="53" t="s">
        <v>480</v>
      </c>
      <c r="AB34" s="53" t="s">
        <v>480</v>
      </c>
      <c r="AC34" s="53" t="s">
        <v>480</v>
      </c>
      <c r="AD34" s="53" t="s">
        <v>480</v>
      </c>
      <c r="AE34" s="53" t="s">
        <v>480</v>
      </c>
      <c r="AF34" s="53" t="s">
        <v>480</v>
      </c>
      <c r="AG34" s="53" t="s">
        <v>480</v>
      </c>
      <c r="AH34" s="53" t="s">
        <v>480</v>
      </c>
      <c r="AI34" s="53" t="s">
        <v>480</v>
      </c>
      <c r="AJ34" s="53" t="s">
        <v>480</v>
      </c>
      <c r="AK34" s="53" t="s">
        <v>480</v>
      </c>
      <c r="AL34" s="53" t="s">
        <v>480</v>
      </c>
      <c r="AM34" s="53" t="s">
        <v>480</v>
      </c>
      <c r="AQ34">
        <f t="shared" si="1"/>
        <v>1</v>
      </c>
      <c r="AR34" t="s">
        <v>30</v>
      </c>
    </row>
    <row r="35" spans="1:44" x14ac:dyDescent="0.25">
      <c r="A35" s="1">
        <f>COUNTIF('Value Matchup'!$D$356:$D$423,PASE!B35)</f>
        <v>0</v>
      </c>
      <c r="B35" t="s">
        <v>33</v>
      </c>
      <c r="C35" s="64">
        <f t="shared" si="0"/>
        <v>0.70539215686274515</v>
      </c>
      <c r="E35" s="91" t="s">
        <v>480</v>
      </c>
      <c r="F35" s="53">
        <v>0.38235294117647056</v>
      </c>
      <c r="G35" s="53">
        <v>0.45588235294117641</v>
      </c>
      <c r="H35" s="53">
        <v>0.41176470588235292</v>
      </c>
      <c r="I35" s="53">
        <v>-8.0882352941176405E-2</v>
      </c>
      <c r="J35" s="53" t="s">
        <v>480</v>
      </c>
      <c r="K35" s="53">
        <v>-8.0882352941176405E-2</v>
      </c>
      <c r="L35" s="53" t="s">
        <v>480</v>
      </c>
      <c r="M35" s="53">
        <v>4.2794117647058822</v>
      </c>
      <c r="N35" s="53">
        <v>3.8823529411764706</v>
      </c>
      <c r="O35" s="53">
        <v>-0.58823529411764708</v>
      </c>
      <c r="P35" s="53">
        <v>7.3529411764705843E-2</v>
      </c>
      <c r="Q35" s="53">
        <v>0.88235294117647056</v>
      </c>
      <c r="R35" s="53" t="s">
        <v>480</v>
      </c>
      <c r="S35" s="53" t="s">
        <v>480</v>
      </c>
      <c r="T35" s="53" t="s">
        <v>480</v>
      </c>
      <c r="U35" s="53">
        <v>1.5</v>
      </c>
      <c r="V35" s="53" t="s">
        <v>480</v>
      </c>
      <c r="W35" s="53">
        <v>0.38235294117647056</v>
      </c>
      <c r="X35" s="53">
        <v>-0.5</v>
      </c>
      <c r="Y35" s="53" t="s">
        <v>480</v>
      </c>
      <c r="Z35" s="53">
        <v>-0.25</v>
      </c>
      <c r="AA35" s="53">
        <v>-0.16911764705882354</v>
      </c>
      <c r="AB35" s="53" t="s">
        <v>480</v>
      </c>
      <c r="AC35" s="53" t="s">
        <v>480</v>
      </c>
      <c r="AD35" s="53" t="s">
        <v>480</v>
      </c>
      <c r="AE35" s="53" t="s">
        <v>480</v>
      </c>
      <c r="AF35" s="53" t="s">
        <v>480</v>
      </c>
      <c r="AG35" s="53" t="s">
        <v>480</v>
      </c>
      <c r="AH35" s="53" t="s">
        <v>480</v>
      </c>
      <c r="AI35" s="53" t="s">
        <v>480</v>
      </c>
      <c r="AJ35" s="53" t="s">
        <v>480</v>
      </c>
      <c r="AK35" s="53" t="s">
        <v>480</v>
      </c>
      <c r="AL35" s="53" t="s">
        <v>480</v>
      </c>
      <c r="AM35" s="53" t="s">
        <v>480</v>
      </c>
      <c r="AQ35">
        <f t="shared" si="1"/>
        <v>1</v>
      </c>
      <c r="AR35" t="s">
        <v>33</v>
      </c>
    </row>
    <row r="36" spans="1:44" x14ac:dyDescent="0.25">
      <c r="A36" s="1">
        <f>COUNTIF('Value Matchup'!$D$356:$D$423,PASE!B36)</f>
        <v>1</v>
      </c>
      <c r="B36" t="s">
        <v>72</v>
      </c>
      <c r="C36" s="64">
        <f t="shared" si="0"/>
        <v>-0.40972222222222221</v>
      </c>
      <c r="E36" s="91" t="s">
        <v>480</v>
      </c>
      <c r="F36" s="53" t="s">
        <v>480</v>
      </c>
      <c r="G36" s="53" t="s">
        <v>480</v>
      </c>
      <c r="H36" s="53" t="s">
        <v>480</v>
      </c>
      <c r="I36" s="53">
        <v>-0.625</v>
      </c>
      <c r="J36" s="53">
        <v>-0.61764705882352944</v>
      </c>
      <c r="K36" s="53" t="s">
        <v>480</v>
      </c>
      <c r="L36" s="53">
        <v>-0.16911764705882354</v>
      </c>
      <c r="M36" s="53">
        <v>0.16911764705882359</v>
      </c>
      <c r="N36" s="53">
        <v>7.3529411764705843E-2</v>
      </c>
      <c r="O36" s="53">
        <v>-0.72058823529411764</v>
      </c>
      <c r="P36" s="53">
        <v>-0.72058823529411764</v>
      </c>
      <c r="Q36" s="53">
        <v>-0.72058823529411764</v>
      </c>
      <c r="R36" s="53" t="s">
        <v>480</v>
      </c>
      <c r="S36" s="53" t="s">
        <v>480</v>
      </c>
      <c r="T36" s="53">
        <v>-0.5</v>
      </c>
      <c r="U36" s="53">
        <v>-0.5</v>
      </c>
      <c r="V36" s="53" t="s">
        <v>480</v>
      </c>
      <c r="W36" s="53">
        <v>-0.5</v>
      </c>
      <c r="X36" s="53" t="s">
        <v>480</v>
      </c>
      <c r="Y36" s="53" t="s">
        <v>480</v>
      </c>
      <c r="Z36" s="53" t="s">
        <v>480</v>
      </c>
      <c r="AA36" s="53" t="s">
        <v>480</v>
      </c>
      <c r="AB36" s="53" t="s">
        <v>480</v>
      </c>
      <c r="AC36" s="53">
        <v>-0.72058823529411764</v>
      </c>
      <c r="AD36" s="53" t="s">
        <v>480</v>
      </c>
      <c r="AE36" s="53">
        <v>7.3529411764705843E-2</v>
      </c>
      <c r="AF36" s="53">
        <v>-0.61764705882352944</v>
      </c>
      <c r="AG36" s="53">
        <v>0.38235294117647056</v>
      </c>
      <c r="AH36" s="53">
        <v>-0.5</v>
      </c>
      <c r="AI36" s="53" t="s">
        <v>480</v>
      </c>
      <c r="AJ36" s="53">
        <v>-0.54411764705882359</v>
      </c>
      <c r="AK36" s="53">
        <v>-0.61764705882352944</v>
      </c>
      <c r="AL36" s="53" t="s">
        <v>480</v>
      </c>
      <c r="AM36" s="53" t="s">
        <v>480</v>
      </c>
      <c r="AQ36">
        <f t="shared" si="1"/>
        <v>1</v>
      </c>
      <c r="AR36" t="s">
        <v>72</v>
      </c>
    </row>
    <row r="37" spans="1:44" x14ac:dyDescent="0.25">
      <c r="A37" s="1">
        <f>COUNTIF('Value Matchup'!$D$356:$D$423,PASE!B37)</f>
        <v>0</v>
      </c>
      <c r="B37" t="s">
        <v>487</v>
      </c>
      <c r="C37" s="64">
        <f t="shared" si="0"/>
        <v>0</v>
      </c>
      <c r="E37" s="91" t="s">
        <v>480</v>
      </c>
      <c r="F37" s="53" t="s">
        <v>480</v>
      </c>
      <c r="G37" s="53" t="s">
        <v>480</v>
      </c>
      <c r="H37" s="53" t="s">
        <v>480</v>
      </c>
      <c r="I37" s="53" t="s">
        <v>480</v>
      </c>
      <c r="J37" s="53" t="s">
        <v>480</v>
      </c>
      <c r="K37" s="53" t="s">
        <v>480</v>
      </c>
      <c r="L37" s="53" t="s">
        <v>480</v>
      </c>
      <c r="M37" s="53" t="s">
        <v>480</v>
      </c>
      <c r="N37" s="53" t="s">
        <v>480</v>
      </c>
      <c r="O37" s="53" t="s">
        <v>480</v>
      </c>
      <c r="P37" s="53" t="s">
        <v>480</v>
      </c>
      <c r="Q37" s="53" t="s">
        <v>480</v>
      </c>
      <c r="R37" s="53" t="s">
        <v>480</v>
      </c>
      <c r="S37" s="53" t="s">
        <v>480</v>
      </c>
      <c r="T37" s="53" t="s">
        <v>480</v>
      </c>
      <c r="U37" s="53" t="s">
        <v>480</v>
      </c>
      <c r="V37" s="53" t="s">
        <v>480</v>
      </c>
      <c r="W37" s="53" t="s">
        <v>480</v>
      </c>
      <c r="X37" s="53" t="s">
        <v>480</v>
      </c>
      <c r="Y37" s="53" t="s">
        <v>480</v>
      </c>
      <c r="Z37" s="53" t="s">
        <v>480</v>
      </c>
      <c r="AA37" s="53" t="s">
        <v>480</v>
      </c>
      <c r="AB37" s="53" t="s">
        <v>480</v>
      </c>
      <c r="AC37" s="53" t="s">
        <v>480</v>
      </c>
      <c r="AD37" s="53" t="s">
        <v>480</v>
      </c>
      <c r="AE37" s="53" t="s">
        <v>480</v>
      </c>
      <c r="AF37" s="53" t="s">
        <v>480</v>
      </c>
      <c r="AG37" s="53" t="s">
        <v>480</v>
      </c>
      <c r="AH37" s="53" t="s">
        <v>480</v>
      </c>
      <c r="AI37" s="53" t="s">
        <v>480</v>
      </c>
      <c r="AJ37" s="53" t="s">
        <v>480</v>
      </c>
      <c r="AK37" s="53" t="s">
        <v>480</v>
      </c>
      <c r="AL37" s="53" t="s">
        <v>480</v>
      </c>
      <c r="AM37" s="53" t="s">
        <v>480</v>
      </c>
      <c r="AQ37">
        <f t="shared" si="1"/>
        <v>1</v>
      </c>
      <c r="AR37" t="s">
        <v>487</v>
      </c>
    </row>
    <row r="38" spans="1:44" x14ac:dyDescent="0.25">
      <c r="A38" s="1">
        <f>COUNTIF('Value Matchup'!$D$356:$D$423,PASE!B38)</f>
        <v>0</v>
      </c>
      <c r="B38" t="s">
        <v>151</v>
      </c>
      <c r="C38" s="64">
        <f t="shared" si="0"/>
        <v>-7.3529411764705881E-3</v>
      </c>
      <c r="E38" s="91" t="s">
        <v>480</v>
      </c>
      <c r="F38" s="53" t="s">
        <v>480</v>
      </c>
      <c r="G38" s="53" t="s">
        <v>480</v>
      </c>
      <c r="H38" s="53" t="s">
        <v>480</v>
      </c>
      <c r="I38" s="53" t="s">
        <v>480</v>
      </c>
      <c r="J38" s="53">
        <v>-7.3529411764705881E-3</v>
      </c>
      <c r="K38" s="53" t="s">
        <v>480</v>
      </c>
      <c r="L38" s="53" t="s">
        <v>480</v>
      </c>
      <c r="M38" s="53" t="s">
        <v>480</v>
      </c>
      <c r="N38" s="53" t="s">
        <v>480</v>
      </c>
      <c r="O38" s="53" t="s">
        <v>480</v>
      </c>
      <c r="P38" s="53" t="s">
        <v>480</v>
      </c>
      <c r="Q38" s="53" t="s">
        <v>480</v>
      </c>
      <c r="R38" s="53" t="s">
        <v>480</v>
      </c>
      <c r="S38" s="53" t="s">
        <v>480</v>
      </c>
      <c r="T38" s="53" t="s">
        <v>480</v>
      </c>
      <c r="U38" s="53" t="s">
        <v>480</v>
      </c>
      <c r="V38" s="53" t="s">
        <v>480</v>
      </c>
      <c r="W38" s="53" t="s">
        <v>480</v>
      </c>
      <c r="X38" s="53" t="s">
        <v>480</v>
      </c>
      <c r="Y38" s="53" t="s">
        <v>480</v>
      </c>
      <c r="Z38" s="53" t="s">
        <v>480</v>
      </c>
      <c r="AA38" s="53" t="s">
        <v>480</v>
      </c>
      <c r="AB38" s="53" t="s">
        <v>480</v>
      </c>
      <c r="AC38" s="53" t="s">
        <v>480</v>
      </c>
      <c r="AD38" s="53" t="s">
        <v>480</v>
      </c>
      <c r="AE38" s="53" t="s">
        <v>480</v>
      </c>
      <c r="AF38" s="53" t="s">
        <v>480</v>
      </c>
      <c r="AG38" s="53" t="s">
        <v>480</v>
      </c>
      <c r="AH38" s="53" t="s">
        <v>480</v>
      </c>
      <c r="AI38" s="53" t="s">
        <v>480</v>
      </c>
      <c r="AJ38" s="53" t="s">
        <v>480</v>
      </c>
      <c r="AK38" s="53" t="s">
        <v>480</v>
      </c>
      <c r="AL38" s="53" t="s">
        <v>480</v>
      </c>
      <c r="AM38" s="53" t="s">
        <v>480</v>
      </c>
      <c r="AQ38">
        <f t="shared" si="1"/>
        <v>1</v>
      </c>
      <c r="AR38" t="s">
        <v>151</v>
      </c>
    </row>
    <row r="39" spans="1:44" x14ac:dyDescent="0.25">
      <c r="A39" s="1">
        <f>COUNTIF('Value Matchup'!$D$356:$D$423,PASE!B39)</f>
        <v>0</v>
      </c>
      <c r="B39" t="s">
        <v>153</v>
      </c>
      <c r="C39" s="64">
        <f t="shared" si="0"/>
        <v>-6.6176470588235295E-2</v>
      </c>
      <c r="E39" s="91" t="s">
        <v>480</v>
      </c>
      <c r="F39" s="53" t="s">
        <v>480</v>
      </c>
      <c r="G39" s="53" t="s">
        <v>480</v>
      </c>
      <c r="H39" s="53">
        <v>-6.6176470588235295E-2</v>
      </c>
      <c r="I39" s="53" t="s">
        <v>480</v>
      </c>
      <c r="J39" s="53" t="s">
        <v>480</v>
      </c>
      <c r="K39" s="53" t="s">
        <v>480</v>
      </c>
      <c r="L39" s="53" t="s">
        <v>480</v>
      </c>
      <c r="M39" s="53" t="s">
        <v>480</v>
      </c>
      <c r="N39" s="53" t="s">
        <v>480</v>
      </c>
      <c r="O39" s="53" t="s">
        <v>480</v>
      </c>
      <c r="P39" s="53" t="s">
        <v>480</v>
      </c>
      <c r="Q39" s="53" t="s">
        <v>480</v>
      </c>
      <c r="R39" s="53" t="s">
        <v>480</v>
      </c>
      <c r="S39" s="53" t="s">
        <v>480</v>
      </c>
      <c r="T39" s="53" t="s">
        <v>480</v>
      </c>
      <c r="U39" s="53" t="s">
        <v>480</v>
      </c>
      <c r="V39" s="53" t="s">
        <v>480</v>
      </c>
      <c r="W39" s="53" t="s">
        <v>480</v>
      </c>
      <c r="X39" s="53" t="s">
        <v>480</v>
      </c>
      <c r="Y39" s="53" t="s">
        <v>480</v>
      </c>
      <c r="Z39" s="53" t="s">
        <v>480</v>
      </c>
      <c r="AA39" s="53" t="s">
        <v>480</v>
      </c>
      <c r="AB39" s="53" t="s">
        <v>480</v>
      </c>
      <c r="AC39" s="53" t="s">
        <v>480</v>
      </c>
      <c r="AD39" s="53" t="s">
        <v>480</v>
      </c>
      <c r="AE39" s="53" t="s">
        <v>480</v>
      </c>
      <c r="AF39" s="53" t="s">
        <v>480</v>
      </c>
      <c r="AG39" s="53" t="s">
        <v>480</v>
      </c>
      <c r="AH39" s="53" t="s">
        <v>480</v>
      </c>
      <c r="AI39" s="53" t="s">
        <v>480</v>
      </c>
      <c r="AJ39" s="53" t="s">
        <v>480</v>
      </c>
      <c r="AK39" s="53" t="s">
        <v>480</v>
      </c>
      <c r="AL39" s="53" t="s">
        <v>480</v>
      </c>
      <c r="AM39" s="53" t="s">
        <v>480</v>
      </c>
      <c r="AQ39">
        <f t="shared" si="1"/>
        <v>1</v>
      </c>
      <c r="AR39" t="s">
        <v>153</v>
      </c>
    </row>
    <row r="40" spans="1:44" x14ac:dyDescent="0.25">
      <c r="A40" s="1">
        <f>COUNTIF('Value Matchup'!$D$356:$D$423,PASE!B40)</f>
        <v>0</v>
      </c>
      <c r="B40" t="s">
        <v>155</v>
      </c>
      <c r="C40" s="64">
        <f t="shared" si="0"/>
        <v>-0.11764705882352941</v>
      </c>
      <c r="E40" s="91" t="s">
        <v>480</v>
      </c>
      <c r="F40" s="53">
        <v>-6.6176470588235295E-2</v>
      </c>
      <c r="G40" s="53" t="s">
        <v>480</v>
      </c>
      <c r="H40" s="53" t="s">
        <v>480</v>
      </c>
      <c r="I40" s="53" t="s">
        <v>480</v>
      </c>
      <c r="J40" s="53" t="s">
        <v>480</v>
      </c>
      <c r="K40" s="53" t="s">
        <v>480</v>
      </c>
      <c r="L40" s="53" t="s">
        <v>480</v>
      </c>
      <c r="M40" s="53" t="s">
        <v>480</v>
      </c>
      <c r="N40" s="53" t="s">
        <v>480</v>
      </c>
      <c r="O40" s="53" t="s">
        <v>480</v>
      </c>
      <c r="P40" s="53">
        <v>-0.16911764705882354</v>
      </c>
      <c r="Q40" s="53" t="s">
        <v>480</v>
      </c>
      <c r="R40" s="53" t="s">
        <v>480</v>
      </c>
      <c r="S40" s="53" t="s">
        <v>480</v>
      </c>
      <c r="T40" s="53" t="s">
        <v>480</v>
      </c>
      <c r="U40" s="53" t="s">
        <v>480</v>
      </c>
      <c r="V40" s="53" t="s">
        <v>480</v>
      </c>
      <c r="W40" s="53" t="s">
        <v>480</v>
      </c>
      <c r="X40" s="53" t="s">
        <v>480</v>
      </c>
      <c r="Y40" s="53" t="s">
        <v>480</v>
      </c>
      <c r="Z40" s="53" t="s">
        <v>480</v>
      </c>
      <c r="AA40" s="53" t="s">
        <v>480</v>
      </c>
      <c r="AB40" s="53" t="s">
        <v>480</v>
      </c>
      <c r="AC40" s="53" t="s">
        <v>480</v>
      </c>
      <c r="AD40" s="53" t="s">
        <v>480</v>
      </c>
      <c r="AE40" s="53" t="s">
        <v>480</v>
      </c>
      <c r="AF40" s="53" t="s">
        <v>480</v>
      </c>
      <c r="AG40" s="53" t="s">
        <v>480</v>
      </c>
      <c r="AH40" s="53" t="s">
        <v>480</v>
      </c>
      <c r="AI40" s="53" t="s">
        <v>480</v>
      </c>
      <c r="AJ40" s="53" t="s">
        <v>480</v>
      </c>
      <c r="AK40" s="53" t="s">
        <v>480</v>
      </c>
      <c r="AL40" s="53" t="s">
        <v>480</v>
      </c>
      <c r="AM40" s="53" t="s">
        <v>480</v>
      </c>
      <c r="AQ40">
        <f t="shared" si="1"/>
        <v>1</v>
      </c>
      <c r="AR40" t="s">
        <v>155</v>
      </c>
    </row>
    <row r="41" spans="1:44" x14ac:dyDescent="0.25">
      <c r="A41" s="1">
        <f>COUNTIF('Value Matchup'!$D$356:$D$423,PASE!B41)</f>
        <v>0</v>
      </c>
      <c r="B41" t="s">
        <v>156</v>
      </c>
      <c r="C41" s="64">
        <f t="shared" si="0"/>
        <v>-0.15808823529411764</v>
      </c>
      <c r="E41" s="91" t="s">
        <v>480</v>
      </c>
      <c r="F41" s="53" t="s">
        <v>480</v>
      </c>
      <c r="G41" s="53" t="s">
        <v>480</v>
      </c>
      <c r="H41" s="53" t="s">
        <v>480</v>
      </c>
      <c r="I41" s="53" t="s">
        <v>480</v>
      </c>
      <c r="J41" s="53" t="s">
        <v>480</v>
      </c>
      <c r="K41" s="53" t="s">
        <v>480</v>
      </c>
      <c r="L41" s="53" t="s">
        <v>480</v>
      </c>
      <c r="M41" s="53" t="s">
        <v>480</v>
      </c>
      <c r="N41" s="53" t="s">
        <v>480</v>
      </c>
      <c r="O41" s="53">
        <v>-6.6176470588235295E-2</v>
      </c>
      <c r="P41" s="53" t="s">
        <v>480</v>
      </c>
      <c r="Q41" s="53" t="s">
        <v>480</v>
      </c>
      <c r="R41" s="53" t="s">
        <v>480</v>
      </c>
      <c r="S41" s="53" t="s">
        <v>480</v>
      </c>
      <c r="T41" s="53" t="s">
        <v>480</v>
      </c>
      <c r="U41" s="53" t="s">
        <v>480</v>
      </c>
      <c r="V41" s="53" t="s">
        <v>480</v>
      </c>
      <c r="W41" s="53">
        <v>-0.25</v>
      </c>
      <c r="X41" s="53" t="s">
        <v>480</v>
      </c>
      <c r="Y41" s="53" t="s">
        <v>480</v>
      </c>
      <c r="Z41" s="53" t="s">
        <v>480</v>
      </c>
      <c r="AA41" s="53" t="s">
        <v>480</v>
      </c>
      <c r="AB41" s="53" t="s">
        <v>480</v>
      </c>
      <c r="AC41" s="53" t="s">
        <v>480</v>
      </c>
      <c r="AD41" s="53" t="s">
        <v>480</v>
      </c>
      <c r="AE41" s="53" t="s">
        <v>480</v>
      </c>
      <c r="AF41" s="53" t="s">
        <v>480</v>
      </c>
      <c r="AG41" s="53" t="s">
        <v>480</v>
      </c>
      <c r="AH41" s="53" t="s">
        <v>480</v>
      </c>
      <c r="AI41" s="53" t="s">
        <v>480</v>
      </c>
      <c r="AJ41" s="53" t="s">
        <v>480</v>
      </c>
      <c r="AK41" s="53" t="s">
        <v>480</v>
      </c>
      <c r="AL41" s="53" t="s">
        <v>480</v>
      </c>
      <c r="AM41" s="53" t="s">
        <v>480</v>
      </c>
      <c r="AQ41">
        <f t="shared" si="1"/>
        <v>1</v>
      </c>
      <c r="AR41" t="s">
        <v>156</v>
      </c>
    </row>
    <row r="42" spans="1:44" x14ac:dyDescent="0.25">
      <c r="A42" s="1">
        <f>COUNTIF('Value Matchup'!$D$356:$D$423,PASE!B42)</f>
        <v>0</v>
      </c>
      <c r="B42" t="s">
        <v>84</v>
      </c>
      <c r="C42" s="64">
        <f t="shared" si="0"/>
        <v>-0.21743697478991605</v>
      </c>
      <c r="E42" s="91" t="s">
        <v>480</v>
      </c>
      <c r="F42" s="53" t="s">
        <v>480</v>
      </c>
      <c r="G42" s="53" t="s">
        <v>480</v>
      </c>
      <c r="H42" s="53">
        <v>-1.5441176470588236</v>
      </c>
      <c r="I42" s="53" t="s">
        <v>480</v>
      </c>
      <c r="J42" s="53" t="s">
        <v>480</v>
      </c>
      <c r="K42" s="53">
        <v>0.5</v>
      </c>
      <c r="L42" s="53">
        <v>-0.5</v>
      </c>
      <c r="M42" s="53" t="s">
        <v>480</v>
      </c>
      <c r="N42" s="53">
        <v>0.27941176470588236</v>
      </c>
      <c r="O42" s="53">
        <v>-0.92647058823529416</v>
      </c>
      <c r="P42" s="53" t="s">
        <v>480</v>
      </c>
      <c r="Q42" s="53" t="s">
        <v>480</v>
      </c>
      <c r="R42" s="53">
        <v>-0.92647058823529416</v>
      </c>
      <c r="S42" s="53" t="s">
        <v>480</v>
      </c>
      <c r="T42" s="53" t="s">
        <v>480</v>
      </c>
      <c r="U42" s="53">
        <v>0.27941176470588236</v>
      </c>
      <c r="V42" s="53">
        <v>-8.0882352941176405E-2</v>
      </c>
      <c r="W42" s="53">
        <v>-0.72058823529411764</v>
      </c>
      <c r="X42" s="53" t="s">
        <v>480</v>
      </c>
      <c r="Y42" s="53" t="s">
        <v>480</v>
      </c>
      <c r="Z42" s="53" t="s">
        <v>480</v>
      </c>
      <c r="AA42" s="53">
        <v>0.88235294117647056</v>
      </c>
      <c r="AB42" s="53">
        <v>-0.5</v>
      </c>
      <c r="AC42" s="53" t="s">
        <v>480</v>
      </c>
      <c r="AD42" s="53">
        <v>-1.1176470588235294</v>
      </c>
      <c r="AE42" s="53">
        <v>0.91911764705882359</v>
      </c>
      <c r="AF42" s="53" t="s">
        <v>480</v>
      </c>
      <c r="AG42" s="53" t="s">
        <v>480</v>
      </c>
      <c r="AH42" s="53">
        <v>0.41176470588235292</v>
      </c>
      <c r="AI42" s="53" t="s">
        <v>480</v>
      </c>
      <c r="AJ42" s="53" t="s">
        <v>480</v>
      </c>
      <c r="AK42" s="53" t="s">
        <v>480</v>
      </c>
      <c r="AL42" s="53" t="s">
        <v>480</v>
      </c>
      <c r="AM42" s="53" t="s">
        <v>480</v>
      </c>
      <c r="AQ42">
        <f t="shared" si="1"/>
        <v>1</v>
      </c>
      <c r="AR42" t="s">
        <v>84</v>
      </c>
    </row>
    <row r="43" spans="1:44" x14ac:dyDescent="0.25">
      <c r="A43" s="1">
        <f>COUNTIF('Value Matchup'!$D$356:$D$423,PASE!B43)</f>
        <v>0</v>
      </c>
      <c r="B43" t="s">
        <v>157</v>
      </c>
      <c r="C43" s="64">
        <f t="shared" si="0"/>
        <v>-7.3529411764705881E-3</v>
      </c>
      <c r="E43" s="91" t="s">
        <v>480</v>
      </c>
      <c r="F43" s="53" t="s">
        <v>480</v>
      </c>
      <c r="G43" s="53" t="s">
        <v>480</v>
      </c>
      <c r="H43" s="53" t="s">
        <v>480</v>
      </c>
      <c r="I43" s="53" t="s">
        <v>480</v>
      </c>
      <c r="J43" s="53" t="s">
        <v>480</v>
      </c>
      <c r="K43" s="53" t="s">
        <v>480</v>
      </c>
      <c r="L43" s="53" t="s">
        <v>480</v>
      </c>
      <c r="M43" s="53" t="s">
        <v>480</v>
      </c>
      <c r="N43" s="53" t="s">
        <v>480</v>
      </c>
      <c r="O43" s="53" t="s">
        <v>480</v>
      </c>
      <c r="P43" s="53" t="s">
        <v>480</v>
      </c>
      <c r="Q43" s="53" t="s">
        <v>480</v>
      </c>
      <c r="R43" s="53" t="s">
        <v>480</v>
      </c>
      <c r="S43" s="53" t="s">
        <v>480</v>
      </c>
      <c r="T43" s="53" t="s">
        <v>480</v>
      </c>
      <c r="U43" s="53" t="s">
        <v>480</v>
      </c>
      <c r="V43" s="53" t="s">
        <v>480</v>
      </c>
      <c r="W43" s="53" t="s">
        <v>480</v>
      </c>
      <c r="X43" s="53" t="s">
        <v>480</v>
      </c>
      <c r="Y43" s="53" t="s">
        <v>480</v>
      </c>
      <c r="Z43" s="53" t="s">
        <v>480</v>
      </c>
      <c r="AA43" s="53" t="s">
        <v>480</v>
      </c>
      <c r="AB43" s="53" t="s">
        <v>480</v>
      </c>
      <c r="AC43" s="53" t="s">
        <v>480</v>
      </c>
      <c r="AD43" s="53" t="s">
        <v>480</v>
      </c>
      <c r="AE43" s="53" t="s">
        <v>480</v>
      </c>
      <c r="AF43" s="53">
        <v>-7.3529411764705881E-3</v>
      </c>
      <c r="AG43" s="53" t="s">
        <v>480</v>
      </c>
      <c r="AH43" s="53" t="s">
        <v>480</v>
      </c>
      <c r="AI43" s="53" t="s">
        <v>480</v>
      </c>
      <c r="AJ43" s="53" t="s">
        <v>480</v>
      </c>
      <c r="AK43" s="53" t="s">
        <v>480</v>
      </c>
      <c r="AL43" s="53" t="s">
        <v>480</v>
      </c>
      <c r="AM43" s="53" t="s">
        <v>480</v>
      </c>
      <c r="AQ43">
        <f t="shared" si="1"/>
        <v>1</v>
      </c>
      <c r="AR43" t="s">
        <v>157</v>
      </c>
    </row>
    <row r="44" spans="1:44" x14ac:dyDescent="0.25">
      <c r="A44" s="1">
        <f>COUNTIF('Value Matchup'!$D$356:$D$423,PASE!B44)</f>
        <v>0</v>
      </c>
      <c r="B44" t="s">
        <v>159</v>
      </c>
      <c r="C44" s="64">
        <f t="shared" si="0"/>
        <v>-0.25</v>
      </c>
      <c r="E44" s="91" t="s">
        <v>480</v>
      </c>
      <c r="F44" s="53" t="s">
        <v>480</v>
      </c>
      <c r="G44" s="53" t="s">
        <v>480</v>
      </c>
      <c r="H44" s="53" t="s">
        <v>480</v>
      </c>
      <c r="I44" s="53" t="s">
        <v>480</v>
      </c>
      <c r="J44" s="53" t="s">
        <v>480</v>
      </c>
      <c r="K44" s="53" t="s">
        <v>480</v>
      </c>
      <c r="L44" s="53" t="s">
        <v>480</v>
      </c>
      <c r="M44" s="53" t="s">
        <v>480</v>
      </c>
      <c r="N44" s="53" t="s">
        <v>480</v>
      </c>
      <c r="O44" s="53" t="s">
        <v>480</v>
      </c>
      <c r="P44" s="53" t="s">
        <v>480</v>
      </c>
      <c r="Q44" s="53" t="s">
        <v>480</v>
      </c>
      <c r="R44" s="53" t="s">
        <v>480</v>
      </c>
      <c r="S44" s="53" t="s">
        <v>480</v>
      </c>
      <c r="T44" s="53" t="s">
        <v>480</v>
      </c>
      <c r="U44" s="53" t="s">
        <v>480</v>
      </c>
      <c r="V44" s="53" t="s">
        <v>480</v>
      </c>
      <c r="W44" s="53" t="s">
        <v>480</v>
      </c>
      <c r="X44" s="53" t="s">
        <v>480</v>
      </c>
      <c r="Y44" s="53" t="s">
        <v>480</v>
      </c>
      <c r="Z44" s="53" t="s">
        <v>480</v>
      </c>
      <c r="AA44" s="53" t="s">
        <v>480</v>
      </c>
      <c r="AB44" s="53">
        <v>-0.25</v>
      </c>
      <c r="AC44" s="53" t="s">
        <v>480</v>
      </c>
      <c r="AD44" s="53" t="s">
        <v>480</v>
      </c>
      <c r="AE44" s="53" t="s">
        <v>480</v>
      </c>
      <c r="AF44" s="53" t="s">
        <v>480</v>
      </c>
      <c r="AG44" s="53" t="s">
        <v>480</v>
      </c>
      <c r="AH44" s="53" t="s">
        <v>480</v>
      </c>
      <c r="AI44" s="53" t="s">
        <v>480</v>
      </c>
      <c r="AJ44" s="53" t="s">
        <v>480</v>
      </c>
      <c r="AK44" s="53" t="s">
        <v>480</v>
      </c>
      <c r="AL44" s="53" t="s">
        <v>480</v>
      </c>
      <c r="AM44" s="53" t="s">
        <v>480</v>
      </c>
      <c r="AQ44">
        <f t="shared" si="1"/>
        <v>1</v>
      </c>
      <c r="AR44" t="s">
        <v>159</v>
      </c>
    </row>
    <row r="45" spans="1:44" x14ac:dyDescent="0.25">
      <c r="A45" s="1">
        <f>COUNTIF('Value Matchup'!$D$356:$D$423,PASE!B45)</f>
        <v>0</v>
      </c>
      <c r="B45" t="s">
        <v>161</v>
      </c>
      <c r="C45" s="64">
        <f t="shared" si="0"/>
        <v>0</v>
      </c>
      <c r="E45" s="91" t="s">
        <v>480</v>
      </c>
      <c r="F45" s="53" t="s">
        <v>480</v>
      </c>
      <c r="G45" s="53" t="s">
        <v>480</v>
      </c>
      <c r="H45" s="53" t="s">
        <v>480</v>
      </c>
      <c r="I45" s="53" t="s">
        <v>480</v>
      </c>
      <c r="J45" s="53" t="s">
        <v>480</v>
      </c>
      <c r="K45" s="53" t="s">
        <v>480</v>
      </c>
      <c r="L45" s="53" t="s">
        <v>480</v>
      </c>
      <c r="M45" s="53" t="s">
        <v>480</v>
      </c>
      <c r="N45" s="53" t="s">
        <v>480</v>
      </c>
      <c r="O45" s="53" t="s">
        <v>480</v>
      </c>
      <c r="P45" s="53" t="s">
        <v>480</v>
      </c>
      <c r="Q45" s="53" t="s">
        <v>480</v>
      </c>
      <c r="R45" s="53" t="s">
        <v>480</v>
      </c>
      <c r="S45" s="53" t="s">
        <v>480</v>
      </c>
      <c r="T45" s="53" t="s">
        <v>480</v>
      </c>
      <c r="U45" s="53" t="s">
        <v>480</v>
      </c>
      <c r="V45" s="53" t="s">
        <v>480</v>
      </c>
      <c r="W45" s="53" t="s">
        <v>480</v>
      </c>
      <c r="X45" s="53" t="s">
        <v>480</v>
      </c>
      <c r="Y45" s="53" t="s">
        <v>480</v>
      </c>
      <c r="Z45" s="53" t="s">
        <v>480</v>
      </c>
      <c r="AA45" s="53" t="s">
        <v>480</v>
      </c>
      <c r="AB45" s="53" t="s">
        <v>480</v>
      </c>
      <c r="AC45" s="53" t="s">
        <v>480</v>
      </c>
      <c r="AD45" s="53" t="s">
        <v>480</v>
      </c>
      <c r="AE45" s="53" t="s">
        <v>480</v>
      </c>
      <c r="AF45" s="53" t="s">
        <v>480</v>
      </c>
      <c r="AG45" s="53" t="s">
        <v>480</v>
      </c>
      <c r="AH45" s="53" t="s">
        <v>480</v>
      </c>
      <c r="AI45" s="53" t="s">
        <v>480</v>
      </c>
      <c r="AJ45" s="53" t="s">
        <v>480</v>
      </c>
      <c r="AK45" s="53" t="s">
        <v>480</v>
      </c>
      <c r="AL45" s="53" t="s">
        <v>480</v>
      </c>
      <c r="AM45" s="53" t="s">
        <v>480</v>
      </c>
      <c r="AQ45">
        <f t="shared" si="1"/>
        <v>1</v>
      </c>
      <c r="AR45" t="s">
        <v>161</v>
      </c>
    </row>
    <row r="46" spans="1:44" x14ac:dyDescent="0.25">
      <c r="A46" s="1">
        <f>COUNTIF('Value Matchup'!$D$356:$D$423,PASE!B46)</f>
        <v>0</v>
      </c>
      <c r="B46" t="s">
        <v>162</v>
      </c>
      <c r="C46" s="64">
        <f t="shared" si="0"/>
        <v>-8.0882352941176475E-2</v>
      </c>
      <c r="E46" s="91" t="s">
        <v>480</v>
      </c>
      <c r="F46" s="53" t="s">
        <v>480</v>
      </c>
      <c r="G46" s="53" t="s">
        <v>480</v>
      </c>
      <c r="H46" s="53" t="s">
        <v>480</v>
      </c>
      <c r="I46" s="53" t="s">
        <v>480</v>
      </c>
      <c r="J46" s="53" t="s">
        <v>480</v>
      </c>
      <c r="K46" s="53" t="s">
        <v>480</v>
      </c>
      <c r="L46" s="53" t="s">
        <v>480</v>
      </c>
      <c r="M46" s="53" t="s">
        <v>480</v>
      </c>
      <c r="N46" s="53" t="s">
        <v>480</v>
      </c>
      <c r="O46" s="53" t="s">
        <v>480</v>
      </c>
      <c r="P46" s="53" t="s">
        <v>480</v>
      </c>
      <c r="Q46" s="53">
        <v>-7.3529411764705881E-3</v>
      </c>
      <c r="R46" s="53" t="s">
        <v>480</v>
      </c>
      <c r="S46" s="53" t="s">
        <v>480</v>
      </c>
      <c r="T46" s="53" t="s">
        <v>480</v>
      </c>
      <c r="U46" s="53" t="s">
        <v>480</v>
      </c>
      <c r="V46" s="53">
        <v>-0.16911764705882354</v>
      </c>
      <c r="W46" s="53" t="s">
        <v>480</v>
      </c>
      <c r="X46" s="53">
        <v>-6.6176470588235295E-2</v>
      </c>
      <c r="Y46" s="53" t="s">
        <v>480</v>
      </c>
      <c r="Z46" s="53" t="s">
        <v>480</v>
      </c>
      <c r="AA46" s="53" t="s">
        <v>480</v>
      </c>
      <c r="AB46" s="53" t="s">
        <v>480</v>
      </c>
      <c r="AC46" s="53" t="s">
        <v>480</v>
      </c>
      <c r="AD46" s="53" t="s">
        <v>480</v>
      </c>
      <c r="AE46" s="53" t="s">
        <v>480</v>
      </c>
      <c r="AF46" s="53" t="s">
        <v>480</v>
      </c>
      <c r="AG46" s="53" t="s">
        <v>480</v>
      </c>
      <c r="AH46" s="53" t="s">
        <v>480</v>
      </c>
      <c r="AI46" s="53" t="s">
        <v>480</v>
      </c>
      <c r="AJ46" s="53" t="s">
        <v>480</v>
      </c>
      <c r="AK46" s="53" t="s">
        <v>480</v>
      </c>
      <c r="AL46" s="53" t="s">
        <v>480</v>
      </c>
      <c r="AM46" s="53" t="s">
        <v>480</v>
      </c>
      <c r="AQ46">
        <f t="shared" si="1"/>
        <v>1</v>
      </c>
      <c r="AR46" t="s">
        <v>162</v>
      </c>
    </row>
    <row r="47" spans="1:44" x14ac:dyDescent="0.25">
      <c r="A47" s="1">
        <f>COUNTIF('Value Matchup'!$D$356:$D$423,PASE!B47)</f>
        <v>0</v>
      </c>
      <c r="B47" t="s">
        <v>163</v>
      </c>
      <c r="C47" s="64">
        <f t="shared" si="0"/>
        <v>6.25E-2</v>
      </c>
      <c r="E47" s="91" t="s">
        <v>480</v>
      </c>
      <c r="F47" s="53" t="s">
        <v>480</v>
      </c>
      <c r="G47" s="53" t="s">
        <v>480</v>
      </c>
      <c r="H47" s="53" t="s">
        <v>480</v>
      </c>
      <c r="I47" s="53" t="s">
        <v>480</v>
      </c>
      <c r="J47" s="53" t="s">
        <v>480</v>
      </c>
      <c r="K47" s="53" t="s">
        <v>480</v>
      </c>
      <c r="L47" s="53" t="s">
        <v>480</v>
      </c>
      <c r="M47" s="53" t="s">
        <v>480</v>
      </c>
      <c r="N47" s="53" t="s">
        <v>480</v>
      </c>
      <c r="O47" s="53" t="s">
        <v>480</v>
      </c>
      <c r="P47" s="53" t="s">
        <v>480</v>
      </c>
      <c r="Q47" s="53" t="s">
        <v>480</v>
      </c>
      <c r="R47" s="53" t="s">
        <v>480</v>
      </c>
      <c r="S47" s="53" t="s">
        <v>480</v>
      </c>
      <c r="T47" s="53" t="s">
        <v>480</v>
      </c>
      <c r="U47" s="53">
        <v>0.375</v>
      </c>
      <c r="V47" s="53" t="s">
        <v>480</v>
      </c>
      <c r="W47" s="53" t="s">
        <v>480</v>
      </c>
      <c r="X47" s="53" t="s">
        <v>480</v>
      </c>
      <c r="Y47" s="53" t="s">
        <v>480</v>
      </c>
      <c r="Z47" s="53" t="s">
        <v>480</v>
      </c>
      <c r="AA47" s="53" t="s">
        <v>480</v>
      </c>
      <c r="AB47" s="53" t="s">
        <v>480</v>
      </c>
      <c r="AC47" s="53" t="s">
        <v>480</v>
      </c>
      <c r="AD47" s="53" t="s">
        <v>480</v>
      </c>
      <c r="AE47" s="53" t="s">
        <v>480</v>
      </c>
      <c r="AF47" s="53" t="s">
        <v>480</v>
      </c>
      <c r="AG47" s="53" t="s">
        <v>480</v>
      </c>
      <c r="AH47" s="53" t="s">
        <v>480</v>
      </c>
      <c r="AI47" s="53" t="s">
        <v>480</v>
      </c>
      <c r="AJ47" s="53" t="s">
        <v>480</v>
      </c>
      <c r="AK47" s="53">
        <v>-0.25</v>
      </c>
      <c r="AL47" s="53" t="s">
        <v>480</v>
      </c>
      <c r="AM47" s="53" t="s">
        <v>480</v>
      </c>
      <c r="AQ47">
        <f t="shared" si="1"/>
        <v>1</v>
      </c>
      <c r="AR47" t="s">
        <v>163</v>
      </c>
    </row>
    <row r="48" spans="1:44" x14ac:dyDescent="0.25">
      <c r="A48" s="1">
        <f>COUNTIF('Value Matchup'!$D$356:$D$423,PASE!B48)</f>
        <v>0</v>
      </c>
      <c r="B48" t="s">
        <v>488</v>
      </c>
      <c r="C48" s="64">
        <f t="shared" si="0"/>
        <v>0</v>
      </c>
      <c r="E48" s="91" t="s">
        <v>480</v>
      </c>
      <c r="F48" s="53" t="s">
        <v>480</v>
      </c>
      <c r="G48" s="53" t="s">
        <v>480</v>
      </c>
      <c r="H48" s="53" t="s">
        <v>480</v>
      </c>
      <c r="I48" s="53" t="s">
        <v>480</v>
      </c>
      <c r="J48" s="53" t="s">
        <v>480</v>
      </c>
      <c r="K48" s="53" t="s">
        <v>480</v>
      </c>
      <c r="L48" s="53" t="s">
        <v>480</v>
      </c>
      <c r="M48" s="53" t="s">
        <v>480</v>
      </c>
      <c r="N48" s="53" t="s">
        <v>480</v>
      </c>
      <c r="O48" s="53" t="s">
        <v>480</v>
      </c>
      <c r="P48" s="53" t="s">
        <v>480</v>
      </c>
      <c r="Q48" s="53" t="s">
        <v>480</v>
      </c>
      <c r="R48" s="53" t="s">
        <v>480</v>
      </c>
      <c r="S48" s="53" t="s">
        <v>480</v>
      </c>
      <c r="T48" s="53" t="s">
        <v>480</v>
      </c>
      <c r="U48" s="53" t="s">
        <v>480</v>
      </c>
      <c r="V48" s="53" t="s">
        <v>480</v>
      </c>
      <c r="W48" s="53" t="s">
        <v>480</v>
      </c>
      <c r="X48" s="53" t="s">
        <v>480</v>
      </c>
      <c r="Y48" s="53" t="s">
        <v>480</v>
      </c>
      <c r="Z48" s="53" t="s">
        <v>480</v>
      </c>
      <c r="AA48" s="53" t="s">
        <v>480</v>
      </c>
      <c r="AB48" s="53" t="s">
        <v>480</v>
      </c>
      <c r="AC48" s="53" t="s">
        <v>480</v>
      </c>
      <c r="AD48" s="53" t="s">
        <v>480</v>
      </c>
      <c r="AE48" s="53" t="s">
        <v>480</v>
      </c>
      <c r="AF48" s="53" t="s">
        <v>480</v>
      </c>
      <c r="AG48" s="53" t="s">
        <v>480</v>
      </c>
      <c r="AH48" s="53" t="s">
        <v>480</v>
      </c>
      <c r="AI48" s="53" t="s">
        <v>480</v>
      </c>
      <c r="AJ48" s="53" t="s">
        <v>480</v>
      </c>
      <c r="AK48" s="53" t="s">
        <v>480</v>
      </c>
      <c r="AL48" s="53" t="s">
        <v>480</v>
      </c>
      <c r="AM48" s="53" t="s">
        <v>480</v>
      </c>
      <c r="AQ48">
        <f t="shared" si="1"/>
        <v>1</v>
      </c>
      <c r="AR48" t="s">
        <v>488</v>
      </c>
    </row>
    <row r="49" spans="1:44" x14ac:dyDescent="0.25">
      <c r="A49" s="1">
        <f>COUNTIF('Value Matchup'!$D$356:$D$423,PASE!B49)</f>
        <v>0</v>
      </c>
      <c r="B49" t="s">
        <v>164</v>
      </c>
      <c r="C49" s="64">
        <f t="shared" si="0"/>
        <v>-0.22242647058823528</v>
      </c>
      <c r="E49" s="91" t="s">
        <v>480</v>
      </c>
      <c r="F49" s="53" t="s">
        <v>480</v>
      </c>
      <c r="G49" s="53" t="s">
        <v>480</v>
      </c>
      <c r="H49" s="53" t="s">
        <v>480</v>
      </c>
      <c r="I49" s="53" t="s">
        <v>480</v>
      </c>
      <c r="J49" s="53" t="s">
        <v>480</v>
      </c>
      <c r="K49" s="53" t="s">
        <v>480</v>
      </c>
      <c r="L49" s="53" t="s">
        <v>480</v>
      </c>
      <c r="M49" s="53" t="s">
        <v>480</v>
      </c>
      <c r="N49" s="53" t="s">
        <v>480</v>
      </c>
      <c r="O49" s="53" t="s">
        <v>480</v>
      </c>
      <c r="P49" s="53" t="s">
        <v>480</v>
      </c>
      <c r="Q49" s="53" t="s">
        <v>480</v>
      </c>
      <c r="R49" s="53" t="s">
        <v>480</v>
      </c>
      <c r="S49" s="53" t="s">
        <v>480</v>
      </c>
      <c r="T49" s="53" t="s">
        <v>480</v>
      </c>
      <c r="U49" s="53" t="s">
        <v>480</v>
      </c>
      <c r="V49" s="53" t="s">
        <v>480</v>
      </c>
      <c r="W49" s="53" t="s">
        <v>480</v>
      </c>
      <c r="X49" s="53" t="s">
        <v>480</v>
      </c>
      <c r="Y49" s="53">
        <v>-0.72058823529411764</v>
      </c>
      <c r="Z49" s="53">
        <v>-0.16911764705882354</v>
      </c>
      <c r="AA49" s="53">
        <v>0.5</v>
      </c>
      <c r="AB49" s="53" t="s">
        <v>480</v>
      </c>
      <c r="AC49" s="53" t="s">
        <v>480</v>
      </c>
      <c r="AD49" s="53">
        <v>-0.5</v>
      </c>
      <c r="AE49" s="53" t="s">
        <v>480</v>
      </c>
      <c r="AF49" s="53" t="s">
        <v>480</v>
      </c>
      <c r="AG49" s="53" t="s">
        <v>480</v>
      </c>
      <c r="AH49" s="53" t="s">
        <v>480</v>
      </c>
      <c r="AI49" s="53" t="s">
        <v>480</v>
      </c>
      <c r="AJ49" s="53" t="s">
        <v>480</v>
      </c>
      <c r="AK49" s="53" t="s">
        <v>480</v>
      </c>
      <c r="AL49" s="53" t="s">
        <v>480</v>
      </c>
      <c r="AM49" s="53" t="s">
        <v>480</v>
      </c>
      <c r="AQ49">
        <f t="shared" si="1"/>
        <v>1</v>
      </c>
      <c r="AR49" t="s">
        <v>164</v>
      </c>
    </row>
    <row r="50" spans="1:44" x14ac:dyDescent="0.25">
      <c r="A50" s="1">
        <f>COUNTIF('Value Matchup'!$D$356:$D$423,PASE!B50)</f>
        <v>0</v>
      </c>
      <c r="B50" t="s">
        <v>165</v>
      </c>
      <c r="C50" s="64">
        <f t="shared" si="0"/>
        <v>-0.35588235294117654</v>
      </c>
      <c r="E50" s="91" t="s">
        <v>480</v>
      </c>
      <c r="F50" s="53" t="s">
        <v>480</v>
      </c>
      <c r="G50" s="53" t="s">
        <v>480</v>
      </c>
      <c r="H50" s="53" t="s">
        <v>480</v>
      </c>
      <c r="I50" s="53" t="s">
        <v>480</v>
      </c>
      <c r="J50" s="53" t="s">
        <v>480</v>
      </c>
      <c r="K50" s="53" t="s">
        <v>480</v>
      </c>
      <c r="L50" s="53" t="s">
        <v>480</v>
      </c>
      <c r="M50" s="53" t="s">
        <v>480</v>
      </c>
      <c r="N50" s="53" t="s">
        <v>480</v>
      </c>
      <c r="O50" s="53" t="s">
        <v>480</v>
      </c>
      <c r="P50" s="53" t="s">
        <v>480</v>
      </c>
      <c r="Q50" s="53" t="s">
        <v>480</v>
      </c>
      <c r="R50" s="53" t="s">
        <v>480</v>
      </c>
      <c r="S50" s="53">
        <v>-0.92647058823529416</v>
      </c>
      <c r="T50" s="53">
        <v>-0.58823529411764708</v>
      </c>
      <c r="U50" s="53" t="s">
        <v>480</v>
      </c>
      <c r="V50" s="53">
        <v>-0.58823529411764708</v>
      </c>
      <c r="W50" s="53">
        <v>0.41176470588235292</v>
      </c>
      <c r="X50" s="53" t="s">
        <v>480</v>
      </c>
      <c r="Y50" s="53">
        <v>-0.11764705882352944</v>
      </c>
      <c r="Z50" s="53">
        <v>0.27941176470588236</v>
      </c>
      <c r="AA50" s="53">
        <v>7.3529411764705843E-2</v>
      </c>
      <c r="AB50" s="53" t="s">
        <v>480</v>
      </c>
      <c r="AC50" s="53">
        <v>-0.92647058823529416</v>
      </c>
      <c r="AD50" s="53" t="s">
        <v>480</v>
      </c>
      <c r="AE50" s="53" t="s">
        <v>480</v>
      </c>
      <c r="AF50" s="53">
        <v>-0.92647058823529416</v>
      </c>
      <c r="AG50" s="53" t="s">
        <v>480</v>
      </c>
      <c r="AH50" s="53" t="s">
        <v>480</v>
      </c>
      <c r="AI50" s="53" t="s">
        <v>480</v>
      </c>
      <c r="AJ50" s="53">
        <v>-0.25</v>
      </c>
      <c r="AK50" s="53" t="s">
        <v>480</v>
      </c>
      <c r="AL50" s="53" t="s">
        <v>480</v>
      </c>
      <c r="AM50" s="53" t="s">
        <v>480</v>
      </c>
      <c r="AQ50">
        <f t="shared" si="1"/>
        <v>1</v>
      </c>
      <c r="AR50" t="s">
        <v>165</v>
      </c>
    </row>
    <row r="51" spans="1:44" x14ac:dyDescent="0.25">
      <c r="A51" s="1">
        <f>COUNTIF('Value Matchup'!$D$356:$D$423,PASE!B51)</f>
        <v>0</v>
      </c>
      <c r="B51" t="s">
        <v>167</v>
      </c>
      <c r="C51" s="64">
        <f t="shared" si="0"/>
        <v>5.422794117647059E-2</v>
      </c>
      <c r="E51" s="91" t="s">
        <v>480</v>
      </c>
      <c r="F51" s="53" t="s">
        <v>480</v>
      </c>
      <c r="G51" s="53" t="s">
        <v>480</v>
      </c>
      <c r="H51" s="53">
        <v>-0.5</v>
      </c>
      <c r="I51" s="53" t="s">
        <v>480</v>
      </c>
      <c r="J51" s="53" t="s">
        <v>480</v>
      </c>
      <c r="K51" s="53" t="s">
        <v>480</v>
      </c>
      <c r="L51" s="53" t="s">
        <v>480</v>
      </c>
      <c r="M51" s="53" t="s">
        <v>480</v>
      </c>
      <c r="N51" s="53" t="s">
        <v>480</v>
      </c>
      <c r="O51" s="53">
        <v>-7.3529411764705881E-3</v>
      </c>
      <c r="P51" s="53" t="s">
        <v>480</v>
      </c>
      <c r="Q51" s="53" t="s">
        <v>480</v>
      </c>
      <c r="R51" s="53" t="s">
        <v>480</v>
      </c>
      <c r="S51" s="53">
        <v>-6.6176470588235295E-2</v>
      </c>
      <c r="T51" s="53" t="s">
        <v>480</v>
      </c>
      <c r="U51" s="53" t="s">
        <v>480</v>
      </c>
      <c r="V51" s="53" t="s">
        <v>480</v>
      </c>
      <c r="W51" s="53" t="s">
        <v>480</v>
      </c>
      <c r="X51" s="53" t="s">
        <v>480</v>
      </c>
      <c r="Y51" s="53" t="s">
        <v>480</v>
      </c>
      <c r="Z51" s="53" t="s">
        <v>480</v>
      </c>
      <c r="AA51" s="53">
        <v>1.8308823529411764</v>
      </c>
      <c r="AB51" s="53" t="s">
        <v>480</v>
      </c>
      <c r="AC51" s="53">
        <v>-6.6176470588235295E-2</v>
      </c>
      <c r="AD51" s="53">
        <v>-0.25</v>
      </c>
      <c r="AE51" s="53">
        <v>-0.5</v>
      </c>
      <c r="AF51" s="53" t="s">
        <v>480</v>
      </c>
      <c r="AG51" s="53" t="s">
        <v>480</v>
      </c>
      <c r="AH51" s="53" t="s">
        <v>480</v>
      </c>
      <c r="AI51" s="53" t="s">
        <v>480</v>
      </c>
      <c r="AJ51" s="53">
        <v>-7.3529411764705881E-3</v>
      </c>
      <c r="AK51" s="53" t="s">
        <v>480</v>
      </c>
      <c r="AL51" s="53" t="s">
        <v>480</v>
      </c>
      <c r="AM51" s="53" t="s">
        <v>480</v>
      </c>
      <c r="AQ51">
        <f t="shared" si="1"/>
        <v>1</v>
      </c>
      <c r="AR51" t="s">
        <v>167</v>
      </c>
    </row>
    <row r="52" spans="1:44" x14ac:dyDescent="0.25">
      <c r="A52" s="1">
        <f>COUNTIF('Value Matchup'!$D$356:$D$423,PASE!B52)</f>
        <v>0</v>
      </c>
      <c r="B52" t="s">
        <v>169</v>
      </c>
      <c r="C52" s="64">
        <f t="shared" si="0"/>
        <v>0</v>
      </c>
      <c r="E52" s="91" t="s">
        <v>480</v>
      </c>
      <c r="F52" s="53" t="s">
        <v>480</v>
      </c>
      <c r="G52" s="53" t="s">
        <v>480</v>
      </c>
      <c r="H52" s="53" t="s">
        <v>480</v>
      </c>
      <c r="I52" s="53" t="s">
        <v>480</v>
      </c>
      <c r="J52" s="53" t="s">
        <v>480</v>
      </c>
      <c r="K52" s="53" t="s">
        <v>480</v>
      </c>
      <c r="L52" s="53" t="s">
        <v>480</v>
      </c>
      <c r="M52" s="53" t="s">
        <v>480</v>
      </c>
      <c r="N52" s="53" t="s">
        <v>480</v>
      </c>
      <c r="O52" s="53" t="s">
        <v>480</v>
      </c>
      <c r="P52" s="53" t="s">
        <v>480</v>
      </c>
      <c r="Q52" s="53" t="s">
        <v>480</v>
      </c>
      <c r="R52" s="53" t="s">
        <v>480</v>
      </c>
      <c r="S52" s="53" t="s">
        <v>480</v>
      </c>
      <c r="T52" s="53" t="s">
        <v>480</v>
      </c>
      <c r="U52" s="53" t="s">
        <v>480</v>
      </c>
      <c r="V52" s="53" t="s">
        <v>480</v>
      </c>
      <c r="W52" s="53" t="s">
        <v>480</v>
      </c>
      <c r="X52" s="53" t="s">
        <v>480</v>
      </c>
      <c r="Y52" s="53" t="s">
        <v>480</v>
      </c>
      <c r="Z52" s="53" t="s">
        <v>480</v>
      </c>
      <c r="AA52" s="53" t="s">
        <v>480</v>
      </c>
      <c r="AB52" s="53" t="s">
        <v>480</v>
      </c>
      <c r="AC52" s="53" t="s">
        <v>480</v>
      </c>
      <c r="AD52" s="53" t="s">
        <v>480</v>
      </c>
      <c r="AE52" s="53" t="s">
        <v>480</v>
      </c>
      <c r="AF52" s="53" t="s">
        <v>480</v>
      </c>
      <c r="AG52" s="53" t="s">
        <v>480</v>
      </c>
      <c r="AH52" s="53" t="s">
        <v>480</v>
      </c>
      <c r="AI52" s="53" t="s">
        <v>480</v>
      </c>
      <c r="AJ52" s="53" t="s">
        <v>480</v>
      </c>
      <c r="AK52" s="53" t="s">
        <v>480</v>
      </c>
      <c r="AL52" s="53" t="s">
        <v>480</v>
      </c>
      <c r="AM52" s="53" t="s">
        <v>480</v>
      </c>
      <c r="AQ52">
        <f t="shared" si="1"/>
        <v>1</v>
      </c>
      <c r="AR52" t="s">
        <v>169</v>
      </c>
    </row>
    <row r="53" spans="1:44" x14ac:dyDescent="0.25">
      <c r="A53" s="1">
        <f>COUNTIF('Value Matchup'!$D$356:$D$423,PASE!B53)</f>
        <v>0</v>
      </c>
      <c r="B53" t="s">
        <v>28</v>
      </c>
      <c r="C53" s="64">
        <f t="shared" si="0"/>
        <v>-0.32620569967117286</v>
      </c>
      <c r="E53" s="91">
        <v>-0.90714285714285714</v>
      </c>
      <c r="F53" s="53">
        <v>-1.3602941176470589</v>
      </c>
      <c r="G53" s="53">
        <v>-8.0882352941176405E-2</v>
      </c>
      <c r="H53" s="53">
        <v>-0.58823529411764708</v>
      </c>
      <c r="I53" s="53">
        <v>0.27941176470588236</v>
      </c>
      <c r="J53" s="53">
        <v>-1.1176470588235294</v>
      </c>
      <c r="K53" s="53">
        <v>-0.61764705882352944</v>
      </c>
      <c r="L53" s="53">
        <v>0.91911764705882359</v>
      </c>
      <c r="M53" s="53">
        <v>-8.0882352941176405E-2</v>
      </c>
      <c r="N53" s="53" t="s">
        <v>480</v>
      </c>
      <c r="O53" s="53" t="s">
        <v>480</v>
      </c>
      <c r="P53" s="53" t="s">
        <v>480</v>
      </c>
      <c r="Q53" s="53" t="s">
        <v>480</v>
      </c>
      <c r="R53" s="53" t="s">
        <v>480</v>
      </c>
      <c r="S53" s="53">
        <v>7.3529411764705843E-2</v>
      </c>
      <c r="T53" s="53">
        <v>-0.54411764705882359</v>
      </c>
      <c r="U53" s="53">
        <v>-0.72058823529411764</v>
      </c>
      <c r="V53" s="53">
        <v>-2.3455882352941178</v>
      </c>
      <c r="W53" s="53">
        <v>0.88235294117647056</v>
      </c>
      <c r="X53" s="53">
        <v>-1.3602941176470589</v>
      </c>
      <c r="Y53" s="53">
        <v>-0.83088235294117641</v>
      </c>
      <c r="Z53" s="53">
        <v>-1.3602941176470589</v>
      </c>
      <c r="AA53" s="53">
        <v>-0.83088235294117641</v>
      </c>
      <c r="AB53" s="53">
        <v>0.63970588235294112</v>
      </c>
      <c r="AC53" s="53">
        <v>7.3529411764705843E-2</v>
      </c>
      <c r="AD53" s="53">
        <v>-0.72058823529411764</v>
      </c>
      <c r="AE53" s="53">
        <v>0.63970588235294112</v>
      </c>
      <c r="AF53" s="53">
        <v>2.4558823529411766</v>
      </c>
      <c r="AG53" s="53" t="s">
        <v>480</v>
      </c>
      <c r="AH53" s="53" t="s">
        <v>480</v>
      </c>
      <c r="AI53" s="53" t="s">
        <v>480</v>
      </c>
      <c r="AJ53" s="53" t="s">
        <v>480</v>
      </c>
      <c r="AK53" s="53" t="s">
        <v>480</v>
      </c>
      <c r="AL53" s="53" t="s">
        <v>480</v>
      </c>
      <c r="AM53" s="53" t="s">
        <v>480</v>
      </c>
      <c r="AQ53">
        <f t="shared" si="1"/>
        <v>1</v>
      </c>
      <c r="AR53" t="s">
        <v>28</v>
      </c>
    </row>
    <row r="54" spans="1:44" x14ac:dyDescent="0.25">
      <c r="A54" s="1">
        <f>COUNTIF('Value Matchup'!$D$356:$D$423,PASE!B54)</f>
        <v>1</v>
      </c>
      <c r="B54" t="s">
        <v>89</v>
      </c>
      <c r="C54" s="64">
        <f t="shared" si="0"/>
        <v>-0.3683155080213904</v>
      </c>
      <c r="E54" s="91" t="s">
        <v>480</v>
      </c>
      <c r="F54" s="53">
        <v>0.88235294117647056</v>
      </c>
      <c r="G54" s="53" t="s">
        <v>480</v>
      </c>
      <c r="H54" s="53" t="s">
        <v>480</v>
      </c>
      <c r="I54" s="53" t="s">
        <v>480</v>
      </c>
      <c r="J54" s="53" t="s">
        <v>480</v>
      </c>
      <c r="K54" s="53" t="s">
        <v>480</v>
      </c>
      <c r="L54" s="53" t="s">
        <v>480</v>
      </c>
      <c r="M54" s="53">
        <v>-0.5</v>
      </c>
      <c r="N54" s="53">
        <v>-0.92647058823529416</v>
      </c>
      <c r="O54" s="53">
        <v>-0.92647058823529416</v>
      </c>
      <c r="P54" s="53">
        <v>-1.1176470588235294</v>
      </c>
      <c r="Q54" s="53" t="s">
        <v>480</v>
      </c>
      <c r="R54" s="53" t="s">
        <v>480</v>
      </c>
      <c r="S54" s="53" t="s">
        <v>480</v>
      </c>
      <c r="T54" s="53" t="s">
        <v>480</v>
      </c>
      <c r="U54" s="53" t="s">
        <v>480</v>
      </c>
      <c r="V54" s="53" t="s">
        <v>480</v>
      </c>
      <c r="W54" s="53" t="s">
        <v>480</v>
      </c>
      <c r="X54" s="53" t="s">
        <v>480</v>
      </c>
      <c r="Y54" s="53" t="s">
        <v>480</v>
      </c>
      <c r="Z54" s="53">
        <v>-1.0808823529411764</v>
      </c>
      <c r="AA54" s="53">
        <v>0.45588235294117641</v>
      </c>
      <c r="AB54" s="53">
        <v>-0.58823529411764708</v>
      </c>
      <c r="AC54" s="53" t="s">
        <v>480</v>
      </c>
      <c r="AD54" s="53" t="s">
        <v>480</v>
      </c>
      <c r="AE54" s="53" t="s">
        <v>480</v>
      </c>
      <c r="AF54" s="53" t="s">
        <v>480</v>
      </c>
      <c r="AG54" s="53" t="s">
        <v>480</v>
      </c>
      <c r="AH54" s="53">
        <v>0.88235294117647056</v>
      </c>
      <c r="AI54" s="53">
        <v>0.41176470588235292</v>
      </c>
      <c r="AJ54" s="53" t="s">
        <v>480</v>
      </c>
      <c r="AK54" s="53">
        <v>-1.5441176470588236</v>
      </c>
      <c r="AL54" s="53" t="s">
        <v>480</v>
      </c>
      <c r="AM54" s="53" t="s">
        <v>480</v>
      </c>
      <c r="AQ54">
        <f t="shared" si="1"/>
        <v>1</v>
      </c>
      <c r="AR54" t="s">
        <v>89</v>
      </c>
    </row>
    <row r="55" spans="1:44" x14ac:dyDescent="0.25">
      <c r="A55" s="1">
        <f>COUNTIF('Value Matchup'!$D$356:$D$423,PASE!B55)</f>
        <v>1</v>
      </c>
      <c r="B55" t="s">
        <v>171</v>
      </c>
      <c r="C55" s="64">
        <f t="shared" si="0"/>
        <v>1.2904411764705883</v>
      </c>
      <c r="E55" s="91" t="s">
        <v>480</v>
      </c>
      <c r="F55" s="53" t="s">
        <v>480</v>
      </c>
      <c r="G55" s="53" t="s">
        <v>480</v>
      </c>
      <c r="H55" s="53" t="s">
        <v>480</v>
      </c>
      <c r="I55" s="53" t="s">
        <v>480</v>
      </c>
      <c r="J55" s="53" t="s">
        <v>480</v>
      </c>
      <c r="K55" s="53" t="s">
        <v>480</v>
      </c>
      <c r="L55" s="53" t="s">
        <v>480</v>
      </c>
      <c r="M55" s="53" t="s">
        <v>480</v>
      </c>
      <c r="N55" s="53" t="s">
        <v>480</v>
      </c>
      <c r="O55" s="53">
        <v>0.75</v>
      </c>
      <c r="P55" s="53" t="s">
        <v>480</v>
      </c>
      <c r="Q55" s="53" t="s">
        <v>480</v>
      </c>
      <c r="R55" s="53" t="s">
        <v>480</v>
      </c>
      <c r="S55" s="53" t="s">
        <v>480</v>
      </c>
      <c r="T55" s="53" t="s">
        <v>480</v>
      </c>
      <c r="U55" s="53" t="s">
        <v>480</v>
      </c>
      <c r="V55" s="53" t="s">
        <v>480</v>
      </c>
      <c r="W55" s="53" t="s">
        <v>480</v>
      </c>
      <c r="X55" s="53" t="s">
        <v>480</v>
      </c>
      <c r="Y55" s="53" t="s">
        <v>480</v>
      </c>
      <c r="Z55" s="53" t="s">
        <v>480</v>
      </c>
      <c r="AA55" s="53" t="s">
        <v>480</v>
      </c>
      <c r="AB55" s="53" t="s">
        <v>480</v>
      </c>
      <c r="AC55" s="53" t="s">
        <v>480</v>
      </c>
      <c r="AD55" s="53" t="s">
        <v>480</v>
      </c>
      <c r="AE55" s="53" t="s">
        <v>480</v>
      </c>
      <c r="AF55" s="53" t="s">
        <v>480</v>
      </c>
      <c r="AG55" s="53" t="s">
        <v>480</v>
      </c>
      <c r="AH55" s="53" t="s">
        <v>480</v>
      </c>
      <c r="AI55" s="53" t="s">
        <v>480</v>
      </c>
      <c r="AJ55" s="53" t="s">
        <v>480</v>
      </c>
      <c r="AK55" s="53" t="s">
        <v>480</v>
      </c>
      <c r="AL55" s="53">
        <v>1.8308823529411764</v>
      </c>
      <c r="AM55" s="53" t="s">
        <v>480</v>
      </c>
      <c r="AQ55">
        <f t="shared" si="1"/>
        <v>1</v>
      </c>
      <c r="AR55" t="s">
        <v>171</v>
      </c>
    </row>
    <row r="56" spans="1:44" x14ac:dyDescent="0.25">
      <c r="A56" s="1">
        <f>COUNTIF('Value Matchup'!$D$356:$D$423,PASE!B56)</f>
        <v>0</v>
      </c>
      <c r="B56" t="s">
        <v>173</v>
      </c>
      <c r="C56" s="64">
        <f t="shared" si="0"/>
        <v>-2.2058823529411763E-2</v>
      </c>
      <c r="E56" s="91" t="s">
        <v>480</v>
      </c>
      <c r="F56" s="53" t="s">
        <v>480</v>
      </c>
      <c r="G56" s="53" t="s">
        <v>480</v>
      </c>
      <c r="H56" s="53" t="s">
        <v>480</v>
      </c>
      <c r="I56" s="53">
        <v>-7.3529411764705881E-3</v>
      </c>
      <c r="J56" s="53">
        <v>-7.3529411764705881E-3</v>
      </c>
      <c r="K56" s="53" t="s">
        <v>480</v>
      </c>
      <c r="L56" s="53" t="s">
        <v>480</v>
      </c>
      <c r="M56" s="53" t="s">
        <v>480</v>
      </c>
      <c r="N56" s="53" t="s">
        <v>480</v>
      </c>
      <c r="O56" s="53" t="s">
        <v>480</v>
      </c>
      <c r="P56" s="53" t="s">
        <v>480</v>
      </c>
      <c r="Q56" s="53" t="s">
        <v>480</v>
      </c>
      <c r="R56" s="53" t="s">
        <v>480</v>
      </c>
      <c r="S56" s="53" t="s">
        <v>480</v>
      </c>
      <c r="T56" s="53" t="s">
        <v>480</v>
      </c>
      <c r="U56" s="53" t="s">
        <v>480</v>
      </c>
      <c r="V56" s="53" t="s">
        <v>480</v>
      </c>
      <c r="W56" s="53" t="s">
        <v>480</v>
      </c>
      <c r="X56" s="53" t="s">
        <v>480</v>
      </c>
      <c r="Y56" s="53" t="s">
        <v>480</v>
      </c>
      <c r="Z56" s="53" t="s">
        <v>480</v>
      </c>
      <c r="AA56" s="53" t="s">
        <v>480</v>
      </c>
      <c r="AB56" s="53" t="s">
        <v>480</v>
      </c>
      <c r="AC56" s="53" t="s">
        <v>480</v>
      </c>
      <c r="AD56" s="53" t="s">
        <v>480</v>
      </c>
      <c r="AE56" s="53">
        <v>-7.3529411764705881E-3</v>
      </c>
      <c r="AF56" s="53" t="s">
        <v>480</v>
      </c>
      <c r="AG56" s="53">
        <v>-6.6176470588235295E-2</v>
      </c>
      <c r="AH56" s="53" t="s">
        <v>480</v>
      </c>
      <c r="AI56" s="53" t="s">
        <v>480</v>
      </c>
      <c r="AJ56" s="53" t="s">
        <v>480</v>
      </c>
      <c r="AK56" s="53" t="s">
        <v>480</v>
      </c>
      <c r="AL56" s="53" t="s">
        <v>480</v>
      </c>
      <c r="AM56" s="53" t="s">
        <v>480</v>
      </c>
      <c r="AQ56">
        <f t="shared" si="1"/>
        <v>1</v>
      </c>
      <c r="AR56" t="s">
        <v>173</v>
      </c>
    </row>
    <row r="57" spans="1:44" x14ac:dyDescent="0.25">
      <c r="A57" s="1">
        <f>COUNTIF('Value Matchup'!$D$356:$D$423,PASE!B57)</f>
        <v>1</v>
      </c>
      <c r="B57" t="s">
        <v>174</v>
      </c>
      <c r="C57" s="64">
        <f t="shared" si="0"/>
        <v>-2.6330532212885154E-2</v>
      </c>
      <c r="E57" s="91">
        <v>-6.4285714285714279E-2</v>
      </c>
      <c r="F57" s="53" t="s">
        <v>480</v>
      </c>
      <c r="G57" s="53" t="s">
        <v>480</v>
      </c>
      <c r="H57" s="53" t="s">
        <v>480</v>
      </c>
      <c r="I57" s="53" t="s">
        <v>480</v>
      </c>
      <c r="J57" s="53" t="s">
        <v>480</v>
      </c>
      <c r="K57" s="53" t="s">
        <v>480</v>
      </c>
      <c r="L57" s="53" t="s">
        <v>480</v>
      </c>
      <c r="M57" s="53" t="s">
        <v>480</v>
      </c>
      <c r="N57" s="53" t="s">
        <v>480</v>
      </c>
      <c r="O57" s="53" t="s">
        <v>480</v>
      </c>
      <c r="P57" s="53" t="s">
        <v>480</v>
      </c>
      <c r="Q57" s="53" t="s">
        <v>480</v>
      </c>
      <c r="R57" s="53" t="s">
        <v>480</v>
      </c>
      <c r="S57" s="53" t="s">
        <v>480</v>
      </c>
      <c r="T57" s="53" t="s">
        <v>480</v>
      </c>
      <c r="U57" s="53" t="s">
        <v>480</v>
      </c>
      <c r="V57" s="53" t="s">
        <v>480</v>
      </c>
      <c r="W57" s="53" t="s">
        <v>480</v>
      </c>
      <c r="X57" s="53" t="s">
        <v>480</v>
      </c>
      <c r="Y57" s="53" t="s">
        <v>480</v>
      </c>
      <c r="Z57" s="53" t="s">
        <v>480</v>
      </c>
      <c r="AA57" s="53" t="s">
        <v>480</v>
      </c>
      <c r="AB57" s="53">
        <v>-7.3529411764705881E-3</v>
      </c>
      <c r="AC57" s="53">
        <v>-7.3529411764705881E-3</v>
      </c>
      <c r="AD57" s="53" t="s">
        <v>480</v>
      </c>
      <c r="AE57" s="53" t="s">
        <v>480</v>
      </c>
      <c r="AF57" s="53" t="s">
        <v>480</v>
      </c>
      <c r="AG57" s="53" t="s">
        <v>480</v>
      </c>
      <c r="AH57" s="53" t="s">
        <v>480</v>
      </c>
      <c r="AI57" s="53" t="s">
        <v>480</v>
      </c>
      <c r="AJ57" s="53" t="s">
        <v>480</v>
      </c>
      <c r="AK57" s="53" t="s">
        <v>480</v>
      </c>
      <c r="AL57" s="53" t="s">
        <v>480</v>
      </c>
      <c r="AM57" s="53" t="s">
        <v>480</v>
      </c>
      <c r="AQ57">
        <f t="shared" si="1"/>
        <v>1</v>
      </c>
      <c r="AR57" t="s">
        <v>174</v>
      </c>
    </row>
    <row r="58" spans="1:44" x14ac:dyDescent="0.25">
      <c r="A58" s="1">
        <f>COUNTIF('Value Matchup'!$D$356:$D$423,PASE!B58)</f>
        <v>1</v>
      </c>
      <c r="B58" t="s">
        <v>95</v>
      </c>
      <c r="C58" s="64">
        <f t="shared" si="0"/>
        <v>-0.31495098039215685</v>
      </c>
      <c r="E58" s="91" t="s">
        <v>480</v>
      </c>
      <c r="F58" s="53" t="s">
        <v>480</v>
      </c>
      <c r="G58" s="53" t="s">
        <v>480</v>
      </c>
      <c r="H58" s="53">
        <v>-0.72058823529411764</v>
      </c>
      <c r="I58" s="53" t="s">
        <v>480</v>
      </c>
      <c r="J58" s="53">
        <v>-0.72058823529411764</v>
      </c>
      <c r="K58" s="53">
        <v>-0.61764705882352944</v>
      </c>
      <c r="L58" s="53">
        <v>0.375</v>
      </c>
      <c r="M58" s="53" t="s">
        <v>480</v>
      </c>
      <c r="N58" s="53" t="s">
        <v>480</v>
      </c>
      <c r="O58" s="53" t="s">
        <v>480</v>
      </c>
      <c r="P58" s="53" t="s">
        <v>480</v>
      </c>
      <c r="Q58" s="53" t="s">
        <v>480</v>
      </c>
      <c r="R58" s="53" t="s">
        <v>480</v>
      </c>
      <c r="S58" s="53" t="s">
        <v>480</v>
      </c>
      <c r="T58" s="53" t="s">
        <v>480</v>
      </c>
      <c r="U58" s="53">
        <v>-0.61764705882352944</v>
      </c>
      <c r="V58" s="53" t="s">
        <v>480</v>
      </c>
      <c r="W58" s="53" t="s">
        <v>480</v>
      </c>
      <c r="X58" s="53" t="s">
        <v>480</v>
      </c>
      <c r="Y58" s="53" t="s">
        <v>480</v>
      </c>
      <c r="Z58" s="53" t="s">
        <v>480</v>
      </c>
      <c r="AA58" s="53">
        <v>0.41176470588235292</v>
      </c>
      <c r="AB58" s="53" t="s">
        <v>480</v>
      </c>
      <c r="AC58" s="53" t="s">
        <v>480</v>
      </c>
      <c r="AD58" s="53" t="s">
        <v>480</v>
      </c>
      <c r="AE58" s="53" t="s">
        <v>480</v>
      </c>
      <c r="AF58" s="53" t="s">
        <v>480</v>
      </c>
      <c r="AG58" s="53" t="s">
        <v>480</v>
      </c>
      <c r="AH58" s="53" t="s">
        <v>480</v>
      </c>
      <c r="AI58" s="53" t="s">
        <v>480</v>
      </c>
      <c r="AJ58" s="53" t="s">
        <v>480</v>
      </c>
      <c r="AK58" s="53" t="s">
        <v>480</v>
      </c>
      <c r="AL58" s="53" t="s">
        <v>480</v>
      </c>
      <c r="AM58" s="53" t="s">
        <v>480</v>
      </c>
      <c r="AQ58">
        <f t="shared" si="1"/>
        <v>1</v>
      </c>
      <c r="AR58" t="s">
        <v>95</v>
      </c>
    </row>
    <row r="59" spans="1:44" x14ac:dyDescent="0.25">
      <c r="A59" s="1">
        <f>COUNTIF('Value Matchup'!$D$356:$D$423,PASE!B59)</f>
        <v>0</v>
      </c>
      <c r="B59" t="s">
        <v>176</v>
      </c>
      <c r="C59" s="64">
        <f t="shared" si="0"/>
        <v>-0.15</v>
      </c>
      <c r="E59" s="91" t="s">
        <v>480</v>
      </c>
      <c r="F59" s="53" t="s">
        <v>480</v>
      </c>
      <c r="G59" s="53" t="s">
        <v>480</v>
      </c>
      <c r="H59" s="53" t="s">
        <v>480</v>
      </c>
      <c r="I59" s="53" t="s">
        <v>480</v>
      </c>
      <c r="J59" s="53" t="s">
        <v>480</v>
      </c>
      <c r="K59" s="53">
        <v>0.27941176470588236</v>
      </c>
      <c r="L59" s="53">
        <v>-0.625</v>
      </c>
      <c r="M59" s="53" t="s">
        <v>480</v>
      </c>
      <c r="N59" s="53" t="s">
        <v>480</v>
      </c>
      <c r="O59" s="53" t="s">
        <v>480</v>
      </c>
      <c r="P59" s="53" t="s">
        <v>480</v>
      </c>
      <c r="Q59" s="53" t="s">
        <v>480</v>
      </c>
      <c r="R59" s="53" t="s">
        <v>480</v>
      </c>
      <c r="S59" s="53" t="s">
        <v>480</v>
      </c>
      <c r="T59" s="53" t="s">
        <v>480</v>
      </c>
      <c r="U59" s="53">
        <v>-0.16911764705882354</v>
      </c>
      <c r="V59" s="53" t="s">
        <v>480</v>
      </c>
      <c r="W59" s="53" t="s">
        <v>480</v>
      </c>
      <c r="X59" s="53" t="s">
        <v>480</v>
      </c>
      <c r="Y59" s="53" t="s">
        <v>480</v>
      </c>
      <c r="Z59" s="53" t="s">
        <v>480</v>
      </c>
      <c r="AA59" s="53" t="s">
        <v>480</v>
      </c>
      <c r="AB59" s="53" t="s">
        <v>480</v>
      </c>
      <c r="AC59" s="53" t="s">
        <v>480</v>
      </c>
      <c r="AD59" s="53" t="s">
        <v>480</v>
      </c>
      <c r="AE59" s="53" t="s">
        <v>480</v>
      </c>
      <c r="AF59" s="53" t="s">
        <v>480</v>
      </c>
      <c r="AG59" s="53" t="s">
        <v>480</v>
      </c>
      <c r="AH59" s="53">
        <v>-0.61764705882352944</v>
      </c>
      <c r="AI59" s="53">
        <v>0.38235294117647056</v>
      </c>
      <c r="AJ59" s="53" t="s">
        <v>480</v>
      </c>
      <c r="AK59" s="53" t="s">
        <v>480</v>
      </c>
      <c r="AL59" s="53" t="s">
        <v>480</v>
      </c>
      <c r="AM59" s="53" t="s">
        <v>480</v>
      </c>
      <c r="AQ59">
        <f t="shared" si="1"/>
        <v>1</v>
      </c>
      <c r="AR59" t="s">
        <v>176</v>
      </c>
    </row>
    <row r="60" spans="1:44" x14ac:dyDescent="0.25">
      <c r="A60" s="1">
        <f>COUNTIF('Value Matchup'!$D$356:$D$423,PASE!B60)</f>
        <v>0</v>
      </c>
      <c r="B60" t="s">
        <v>177</v>
      </c>
      <c r="C60" s="64">
        <f t="shared" si="0"/>
        <v>0</v>
      </c>
      <c r="E60" s="91" t="s">
        <v>480</v>
      </c>
      <c r="F60" s="53" t="s">
        <v>480</v>
      </c>
      <c r="G60" s="53" t="s">
        <v>480</v>
      </c>
      <c r="H60" s="53" t="s">
        <v>480</v>
      </c>
      <c r="I60" s="53" t="s">
        <v>480</v>
      </c>
      <c r="J60" s="53" t="s">
        <v>480</v>
      </c>
      <c r="K60" s="53" t="s">
        <v>480</v>
      </c>
      <c r="L60" s="53" t="s">
        <v>480</v>
      </c>
      <c r="M60" s="53" t="s">
        <v>480</v>
      </c>
      <c r="N60" s="53" t="s">
        <v>480</v>
      </c>
      <c r="O60" s="53" t="s">
        <v>480</v>
      </c>
      <c r="P60" s="53" t="s">
        <v>480</v>
      </c>
      <c r="Q60" s="53" t="s">
        <v>480</v>
      </c>
      <c r="R60" s="53" t="s">
        <v>480</v>
      </c>
      <c r="S60" s="53" t="s">
        <v>480</v>
      </c>
      <c r="T60" s="53" t="s">
        <v>480</v>
      </c>
      <c r="U60" s="53" t="s">
        <v>480</v>
      </c>
      <c r="V60" s="53" t="s">
        <v>480</v>
      </c>
      <c r="W60" s="53" t="s">
        <v>480</v>
      </c>
      <c r="X60" s="53" t="s">
        <v>480</v>
      </c>
      <c r="Y60" s="53" t="s">
        <v>480</v>
      </c>
      <c r="Z60" s="53" t="s">
        <v>480</v>
      </c>
      <c r="AA60" s="53" t="s">
        <v>480</v>
      </c>
      <c r="AB60" s="53" t="s">
        <v>480</v>
      </c>
      <c r="AC60" s="53" t="s">
        <v>480</v>
      </c>
      <c r="AD60" s="53" t="s">
        <v>480</v>
      </c>
      <c r="AE60" s="53" t="s">
        <v>480</v>
      </c>
      <c r="AF60" s="53" t="s">
        <v>480</v>
      </c>
      <c r="AG60" s="53" t="s">
        <v>480</v>
      </c>
      <c r="AH60" s="53" t="s">
        <v>480</v>
      </c>
      <c r="AI60" s="53" t="s">
        <v>480</v>
      </c>
      <c r="AJ60" s="53" t="s">
        <v>480</v>
      </c>
      <c r="AK60" s="53" t="s">
        <v>480</v>
      </c>
      <c r="AL60" s="53" t="s">
        <v>480</v>
      </c>
      <c r="AM60" s="53" t="s">
        <v>480</v>
      </c>
      <c r="AQ60">
        <f t="shared" si="1"/>
        <v>1</v>
      </c>
      <c r="AR60" t="s">
        <v>177</v>
      </c>
    </row>
    <row r="61" spans="1:44" x14ac:dyDescent="0.25">
      <c r="A61" s="1">
        <f>COUNTIF('Value Matchup'!$D$356:$D$423,PASE!B61)</f>
        <v>1</v>
      </c>
      <c r="B61" t="s">
        <v>80</v>
      </c>
      <c r="C61" s="64">
        <f t="shared" si="0"/>
        <v>-2.2058823529411825E-2</v>
      </c>
      <c r="E61" s="91" t="s">
        <v>480</v>
      </c>
      <c r="F61" s="53" t="s">
        <v>480</v>
      </c>
      <c r="G61" s="53" t="s">
        <v>480</v>
      </c>
      <c r="H61" s="53">
        <v>0.41176470588235292</v>
      </c>
      <c r="I61" s="53" t="s">
        <v>480</v>
      </c>
      <c r="J61" s="53" t="s">
        <v>480</v>
      </c>
      <c r="K61" s="53" t="s">
        <v>480</v>
      </c>
      <c r="L61" s="53">
        <v>-0.58823529411764708</v>
      </c>
      <c r="M61" s="53" t="s">
        <v>480</v>
      </c>
      <c r="N61" s="53" t="s">
        <v>480</v>
      </c>
      <c r="O61" s="53">
        <v>0.65441176470588225</v>
      </c>
      <c r="P61" s="53">
        <v>-1.5441176470588236</v>
      </c>
      <c r="Q61" s="53" t="s">
        <v>480</v>
      </c>
      <c r="R61" s="53">
        <v>-0.34558823529411775</v>
      </c>
      <c r="S61" s="53">
        <v>-1.3602941176470589</v>
      </c>
      <c r="T61" s="53" t="s">
        <v>480</v>
      </c>
      <c r="U61" s="53">
        <v>0.88235294117647056</v>
      </c>
      <c r="V61" s="53">
        <v>0.63970588235294112</v>
      </c>
      <c r="W61" s="53" t="s">
        <v>480</v>
      </c>
      <c r="X61" s="53">
        <v>-0.11764705882352944</v>
      </c>
      <c r="Y61" s="53" t="s">
        <v>480</v>
      </c>
      <c r="Z61" s="53">
        <v>0.63970588235294112</v>
      </c>
      <c r="AA61" s="53" t="s">
        <v>480</v>
      </c>
      <c r="AB61" s="53">
        <v>-1.3455882352941178</v>
      </c>
      <c r="AC61" s="53">
        <v>0.63970588235294112</v>
      </c>
      <c r="AD61" s="53">
        <v>-0.36029411764705888</v>
      </c>
      <c r="AE61" s="53" t="s">
        <v>480</v>
      </c>
      <c r="AF61" s="53">
        <v>0.41176470588235292</v>
      </c>
      <c r="AG61" s="53">
        <v>1.375</v>
      </c>
      <c r="AH61" s="53">
        <v>-0.34558823529411775</v>
      </c>
      <c r="AI61" s="53" t="s">
        <v>480</v>
      </c>
      <c r="AJ61" s="53" t="s">
        <v>480</v>
      </c>
      <c r="AK61" s="53" t="s">
        <v>480</v>
      </c>
      <c r="AL61" s="53" t="s">
        <v>480</v>
      </c>
      <c r="AM61" s="53" t="s">
        <v>480</v>
      </c>
      <c r="AQ61">
        <f t="shared" si="1"/>
        <v>1</v>
      </c>
      <c r="AR61" t="s">
        <v>80</v>
      </c>
    </row>
    <row r="62" spans="1:44" x14ac:dyDescent="0.25">
      <c r="A62" s="1">
        <f>COUNTIF('Value Matchup'!$D$356:$D$423,PASE!B62)</f>
        <v>0</v>
      </c>
      <c r="B62" t="s">
        <v>178</v>
      </c>
      <c r="C62" s="64">
        <f t="shared" si="0"/>
        <v>0.1985294117647059</v>
      </c>
      <c r="E62" s="91" t="s">
        <v>480</v>
      </c>
      <c r="F62" s="53" t="s">
        <v>480</v>
      </c>
      <c r="G62" s="53" t="s">
        <v>480</v>
      </c>
      <c r="H62" s="53" t="s">
        <v>480</v>
      </c>
      <c r="I62" s="53" t="s">
        <v>480</v>
      </c>
      <c r="J62" s="53" t="s">
        <v>480</v>
      </c>
      <c r="K62" s="53" t="s">
        <v>480</v>
      </c>
      <c r="L62" s="53" t="s">
        <v>480</v>
      </c>
      <c r="M62" s="53" t="s">
        <v>480</v>
      </c>
      <c r="N62" s="53" t="s">
        <v>480</v>
      </c>
      <c r="O62" s="53" t="s">
        <v>480</v>
      </c>
      <c r="P62" s="53">
        <v>-7.3529411764705881E-3</v>
      </c>
      <c r="Q62" s="53" t="s">
        <v>480</v>
      </c>
      <c r="R62" s="53" t="s">
        <v>480</v>
      </c>
      <c r="S62" s="53" t="s">
        <v>480</v>
      </c>
      <c r="T62" s="53" t="s">
        <v>480</v>
      </c>
      <c r="U62" s="53" t="s">
        <v>480</v>
      </c>
      <c r="V62" s="53" t="s">
        <v>480</v>
      </c>
      <c r="W62" s="53" t="s">
        <v>480</v>
      </c>
      <c r="X62" s="53" t="s">
        <v>480</v>
      </c>
      <c r="Y62" s="53" t="s">
        <v>480</v>
      </c>
      <c r="Z62" s="53" t="s">
        <v>480</v>
      </c>
      <c r="AA62" s="53">
        <v>0.93382352941176472</v>
      </c>
      <c r="AB62" s="53" t="s">
        <v>480</v>
      </c>
      <c r="AC62" s="53" t="s">
        <v>480</v>
      </c>
      <c r="AD62" s="53" t="s">
        <v>480</v>
      </c>
      <c r="AE62" s="53">
        <v>-6.6176470588235295E-2</v>
      </c>
      <c r="AF62" s="53" t="s">
        <v>480</v>
      </c>
      <c r="AG62" s="53" t="s">
        <v>480</v>
      </c>
      <c r="AH62" s="53">
        <v>-6.6176470588235295E-2</v>
      </c>
      <c r="AI62" s="53" t="s">
        <v>480</v>
      </c>
      <c r="AJ62" s="53" t="s">
        <v>480</v>
      </c>
      <c r="AK62" s="53" t="s">
        <v>480</v>
      </c>
      <c r="AL62" s="53" t="s">
        <v>480</v>
      </c>
      <c r="AM62" s="53" t="s">
        <v>480</v>
      </c>
      <c r="AQ62">
        <f t="shared" si="1"/>
        <v>1</v>
      </c>
      <c r="AR62" t="s">
        <v>178</v>
      </c>
    </row>
    <row r="63" spans="1:44" x14ac:dyDescent="0.25">
      <c r="A63" s="1">
        <f>COUNTIF('Value Matchup'!$D$356:$D$423,PASE!B63)</f>
        <v>0</v>
      </c>
      <c r="B63" t="s">
        <v>179</v>
      </c>
      <c r="C63" s="64">
        <f t="shared" si="0"/>
        <v>0.28860294117647056</v>
      </c>
      <c r="E63" s="91" t="s">
        <v>480</v>
      </c>
      <c r="F63" s="53" t="s">
        <v>480</v>
      </c>
      <c r="G63" s="53" t="s">
        <v>480</v>
      </c>
      <c r="H63" s="53" t="s">
        <v>480</v>
      </c>
      <c r="I63" s="53" t="s">
        <v>480</v>
      </c>
      <c r="J63" s="53" t="s">
        <v>480</v>
      </c>
      <c r="K63" s="53" t="s">
        <v>480</v>
      </c>
      <c r="L63" s="53" t="s">
        <v>480</v>
      </c>
      <c r="M63" s="53" t="s">
        <v>480</v>
      </c>
      <c r="N63" s="53">
        <v>1.5</v>
      </c>
      <c r="O63" s="53">
        <v>-0.16911764705882354</v>
      </c>
      <c r="P63" s="53">
        <v>-0.16911764705882354</v>
      </c>
      <c r="Q63" s="53" t="s">
        <v>480</v>
      </c>
      <c r="R63" s="53" t="s">
        <v>480</v>
      </c>
      <c r="S63" s="53" t="s">
        <v>480</v>
      </c>
      <c r="T63" s="53" t="s">
        <v>480</v>
      </c>
      <c r="U63" s="53" t="s">
        <v>480</v>
      </c>
      <c r="V63" s="53" t="s">
        <v>480</v>
      </c>
      <c r="W63" s="53" t="s">
        <v>480</v>
      </c>
      <c r="X63" s="53" t="s">
        <v>480</v>
      </c>
      <c r="Y63" s="53" t="s">
        <v>480</v>
      </c>
      <c r="Z63" s="53" t="s">
        <v>480</v>
      </c>
      <c r="AA63" s="53" t="s">
        <v>480</v>
      </c>
      <c r="AB63" s="53" t="s">
        <v>480</v>
      </c>
      <c r="AC63" s="53" t="s">
        <v>480</v>
      </c>
      <c r="AD63" s="53" t="s">
        <v>480</v>
      </c>
      <c r="AE63" s="53" t="s">
        <v>480</v>
      </c>
      <c r="AF63" s="53" t="s">
        <v>480</v>
      </c>
      <c r="AG63" s="53" t="s">
        <v>480</v>
      </c>
      <c r="AH63" s="53" t="s">
        <v>480</v>
      </c>
      <c r="AI63" s="53" t="s">
        <v>480</v>
      </c>
      <c r="AJ63" s="53">
        <v>-7.3529411764705881E-3</v>
      </c>
      <c r="AK63" s="53" t="s">
        <v>480</v>
      </c>
      <c r="AL63" s="53" t="s">
        <v>480</v>
      </c>
      <c r="AM63" s="53" t="s">
        <v>480</v>
      </c>
      <c r="AQ63">
        <f t="shared" si="1"/>
        <v>1</v>
      </c>
      <c r="AR63" t="s">
        <v>179</v>
      </c>
    </row>
    <row r="64" spans="1:44" x14ac:dyDescent="0.25">
      <c r="A64" s="1">
        <f>COUNTIF('Value Matchup'!$D$356:$D$423,PASE!B64)</f>
        <v>1</v>
      </c>
      <c r="B64" t="s">
        <v>88</v>
      </c>
      <c r="C64" s="64">
        <f t="shared" si="0"/>
        <v>-0.33876050420168058</v>
      </c>
      <c r="E64" s="91" t="s">
        <v>480</v>
      </c>
      <c r="F64" s="53">
        <v>-0.72058823529411764</v>
      </c>
      <c r="G64" s="53">
        <v>-1.0808823529411764</v>
      </c>
      <c r="H64" s="53" t="s">
        <v>480</v>
      </c>
      <c r="I64" s="53" t="s">
        <v>480</v>
      </c>
      <c r="J64" s="53">
        <v>-0.83088235294117641</v>
      </c>
      <c r="K64" s="53">
        <v>7.3529411764705843E-2</v>
      </c>
      <c r="L64" s="53">
        <v>0.27941176470588236</v>
      </c>
      <c r="M64" s="53" t="s">
        <v>480</v>
      </c>
      <c r="N64" s="53" t="s">
        <v>480</v>
      </c>
      <c r="O64" s="53" t="s">
        <v>480</v>
      </c>
      <c r="P64" s="53" t="s">
        <v>480</v>
      </c>
      <c r="Q64" s="53">
        <v>-0.61764705882352944</v>
      </c>
      <c r="R64" s="53" t="s">
        <v>480</v>
      </c>
      <c r="S64" s="53">
        <v>-0.61764705882352944</v>
      </c>
      <c r="T64" s="53" t="s">
        <v>480</v>
      </c>
      <c r="U64" s="53">
        <v>-1.0808823529411764</v>
      </c>
      <c r="V64" s="53">
        <v>0.5</v>
      </c>
      <c r="W64" s="53">
        <v>-0.61764705882352944</v>
      </c>
      <c r="X64" s="53">
        <v>-0.61764705882352944</v>
      </c>
      <c r="Y64" s="53">
        <v>0.38235294117647056</v>
      </c>
      <c r="Z64" s="53" t="s">
        <v>480</v>
      </c>
      <c r="AA64" s="53" t="s">
        <v>480</v>
      </c>
      <c r="AB64" s="53" t="s">
        <v>480</v>
      </c>
      <c r="AC64" s="53" t="s">
        <v>480</v>
      </c>
      <c r="AD64" s="53" t="s">
        <v>480</v>
      </c>
      <c r="AE64" s="53" t="s">
        <v>480</v>
      </c>
      <c r="AF64" s="53" t="s">
        <v>480</v>
      </c>
      <c r="AG64" s="53">
        <v>0.375</v>
      </c>
      <c r="AH64" s="53" t="s">
        <v>480</v>
      </c>
      <c r="AI64" s="53">
        <v>-0.16911764705882354</v>
      </c>
      <c r="AJ64" s="53" t="s">
        <v>480</v>
      </c>
      <c r="AK64" s="53" t="s">
        <v>480</v>
      </c>
      <c r="AL64" s="53" t="s">
        <v>480</v>
      </c>
      <c r="AM64" s="53" t="s">
        <v>480</v>
      </c>
      <c r="AQ64">
        <f t="shared" si="1"/>
        <v>1</v>
      </c>
      <c r="AR64" t="s">
        <v>88</v>
      </c>
    </row>
    <row r="65" spans="1:44" x14ac:dyDescent="0.25">
      <c r="A65" s="1">
        <f>COUNTIF('Value Matchup'!$D$356:$D$423,PASE!B65)</f>
        <v>0</v>
      </c>
      <c r="B65" t="s">
        <v>180</v>
      </c>
      <c r="C65" s="64">
        <f t="shared" si="0"/>
        <v>0</v>
      </c>
      <c r="E65" s="91" t="s">
        <v>480</v>
      </c>
      <c r="F65" s="53" t="s">
        <v>480</v>
      </c>
      <c r="G65" s="53" t="s">
        <v>480</v>
      </c>
      <c r="H65" s="53" t="s">
        <v>480</v>
      </c>
      <c r="I65" s="53" t="s">
        <v>480</v>
      </c>
      <c r="J65" s="53" t="s">
        <v>480</v>
      </c>
      <c r="K65" s="53" t="s">
        <v>480</v>
      </c>
      <c r="L65" s="53" t="s">
        <v>480</v>
      </c>
      <c r="M65" s="53" t="s">
        <v>480</v>
      </c>
      <c r="N65" s="53" t="s">
        <v>480</v>
      </c>
      <c r="O65" s="53" t="s">
        <v>480</v>
      </c>
      <c r="P65" s="53" t="s">
        <v>480</v>
      </c>
      <c r="Q65" s="53" t="s">
        <v>480</v>
      </c>
      <c r="R65" s="53" t="s">
        <v>480</v>
      </c>
      <c r="S65" s="53" t="s">
        <v>480</v>
      </c>
      <c r="T65" s="53" t="s">
        <v>480</v>
      </c>
      <c r="U65" s="53" t="s">
        <v>480</v>
      </c>
      <c r="V65" s="53" t="s">
        <v>480</v>
      </c>
      <c r="W65" s="53" t="s">
        <v>480</v>
      </c>
      <c r="X65" s="53" t="s">
        <v>480</v>
      </c>
      <c r="Y65" s="53" t="s">
        <v>480</v>
      </c>
      <c r="Z65" s="53" t="s">
        <v>480</v>
      </c>
      <c r="AA65" s="53" t="s">
        <v>480</v>
      </c>
      <c r="AB65" s="53" t="s">
        <v>480</v>
      </c>
      <c r="AC65" s="53" t="s">
        <v>480</v>
      </c>
      <c r="AD65" s="53" t="s">
        <v>480</v>
      </c>
      <c r="AE65" s="53" t="s">
        <v>480</v>
      </c>
      <c r="AF65" s="53" t="s">
        <v>480</v>
      </c>
      <c r="AG65" s="53" t="s">
        <v>480</v>
      </c>
      <c r="AH65" s="53" t="s">
        <v>480</v>
      </c>
      <c r="AI65" s="53" t="s">
        <v>480</v>
      </c>
      <c r="AJ65" s="53" t="s">
        <v>480</v>
      </c>
      <c r="AK65" s="53" t="s">
        <v>480</v>
      </c>
      <c r="AL65" s="53" t="s">
        <v>480</v>
      </c>
      <c r="AM65" s="53" t="s">
        <v>480</v>
      </c>
      <c r="AQ65">
        <f t="shared" si="1"/>
        <v>1</v>
      </c>
      <c r="AR65" t="s">
        <v>180</v>
      </c>
    </row>
    <row r="66" spans="1:44" x14ac:dyDescent="0.25">
      <c r="A66" s="1">
        <f>COUNTIF('Value Matchup'!$D$356:$D$423,PASE!B66)</f>
        <v>0</v>
      </c>
      <c r="B66" t="s">
        <v>70</v>
      </c>
      <c r="C66" s="64">
        <f t="shared" si="0"/>
        <v>1.0294117647058811E-2</v>
      </c>
      <c r="E66" s="91" t="s">
        <v>480</v>
      </c>
      <c r="F66" s="53">
        <v>-0.5</v>
      </c>
      <c r="G66" s="53" t="s">
        <v>480</v>
      </c>
      <c r="H66" s="53" t="s">
        <v>480</v>
      </c>
      <c r="I66" s="53">
        <v>-0.61764705882352944</v>
      </c>
      <c r="J66" s="53" t="s">
        <v>480</v>
      </c>
      <c r="K66" s="53">
        <v>-0.16911764705882354</v>
      </c>
      <c r="L66" s="53">
        <v>-0.25</v>
      </c>
      <c r="M66" s="53" t="s">
        <v>480</v>
      </c>
      <c r="N66" s="53" t="s">
        <v>480</v>
      </c>
      <c r="O66" s="53" t="s">
        <v>480</v>
      </c>
      <c r="P66" s="53">
        <v>2.3823529411764706</v>
      </c>
      <c r="Q66" s="53">
        <v>-0.25</v>
      </c>
      <c r="R66" s="53">
        <v>-6.6176470588235295E-2</v>
      </c>
      <c r="S66" s="53" t="s">
        <v>480</v>
      </c>
      <c r="T66" s="53" t="s">
        <v>480</v>
      </c>
      <c r="U66" s="53" t="s">
        <v>480</v>
      </c>
      <c r="V66" s="53">
        <v>-0.25</v>
      </c>
      <c r="W66" s="53" t="s">
        <v>480</v>
      </c>
      <c r="X66" s="53" t="s">
        <v>480</v>
      </c>
      <c r="Y66" s="53" t="s">
        <v>480</v>
      </c>
      <c r="Z66" s="53">
        <v>-0.16911764705882354</v>
      </c>
      <c r="AA66" s="53" t="s">
        <v>480</v>
      </c>
      <c r="AB66" s="53" t="s">
        <v>480</v>
      </c>
      <c r="AC66" s="53" t="s">
        <v>480</v>
      </c>
      <c r="AD66" s="53" t="s">
        <v>480</v>
      </c>
      <c r="AE66" s="53" t="s">
        <v>480</v>
      </c>
      <c r="AF66" s="53" t="s">
        <v>480</v>
      </c>
      <c r="AG66" s="53" t="s">
        <v>480</v>
      </c>
      <c r="AH66" s="53" t="s">
        <v>480</v>
      </c>
      <c r="AI66" s="53" t="s">
        <v>480</v>
      </c>
      <c r="AJ66" s="53" t="s">
        <v>480</v>
      </c>
      <c r="AK66" s="53" t="s">
        <v>480</v>
      </c>
      <c r="AL66" s="53">
        <v>-7.3529411764705881E-3</v>
      </c>
      <c r="AM66" s="53" t="s">
        <v>480</v>
      </c>
      <c r="AQ66">
        <f t="shared" si="1"/>
        <v>1</v>
      </c>
      <c r="AR66" t="s">
        <v>70</v>
      </c>
    </row>
    <row r="67" spans="1:44" x14ac:dyDescent="0.25">
      <c r="A67" s="1">
        <f>COUNTIF('Value Matchup'!$D$356:$D$423,PASE!B67)</f>
        <v>0</v>
      </c>
      <c r="B67" t="s">
        <v>57</v>
      </c>
      <c r="C67" s="64">
        <f t="shared" si="0"/>
        <v>-0.16029411764705884</v>
      </c>
      <c r="E67" s="91" t="s">
        <v>480</v>
      </c>
      <c r="F67" s="53" t="s">
        <v>480</v>
      </c>
      <c r="G67" s="53">
        <v>-0.92647058823529416</v>
      </c>
      <c r="H67" s="53">
        <v>-0.92647058823529416</v>
      </c>
      <c r="I67" s="53">
        <v>0.375</v>
      </c>
      <c r="J67" s="53">
        <v>2.375</v>
      </c>
      <c r="K67" s="53" t="s">
        <v>480</v>
      </c>
      <c r="L67" s="53" t="s">
        <v>480</v>
      </c>
      <c r="M67" s="53" t="s">
        <v>480</v>
      </c>
      <c r="N67" s="53" t="s">
        <v>480</v>
      </c>
      <c r="O67" s="53">
        <v>0.375</v>
      </c>
      <c r="P67" s="53" t="s">
        <v>480</v>
      </c>
      <c r="Q67" s="53" t="s">
        <v>480</v>
      </c>
      <c r="R67" s="53" t="s">
        <v>480</v>
      </c>
      <c r="S67" s="53" t="s">
        <v>480</v>
      </c>
      <c r="T67" s="53">
        <v>-0.61764705882352944</v>
      </c>
      <c r="U67" s="53">
        <v>-1.5441176470588236</v>
      </c>
      <c r="V67" s="53" t="s">
        <v>480</v>
      </c>
      <c r="W67" s="53" t="s">
        <v>480</v>
      </c>
      <c r="X67" s="53">
        <v>-0.625</v>
      </c>
      <c r="Y67" s="53" t="s">
        <v>480</v>
      </c>
      <c r="Z67" s="53" t="s">
        <v>480</v>
      </c>
      <c r="AA67" s="53" t="s">
        <v>480</v>
      </c>
      <c r="AB67" s="53" t="s">
        <v>480</v>
      </c>
      <c r="AC67" s="53" t="s">
        <v>480</v>
      </c>
      <c r="AD67" s="53" t="s">
        <v>480</v>
      </c>
      <c r="AE67" s="53" t="s">
        <v>480</v>
      </c>
      <c r="AF67" s="53" t="s">
        <v>480</v>
      </c>
      <c r="AG67" s="53" t="s">
        <v>480</v>
      </c>
      <c r="AH67" s="53">
        <v>0.5</v>
      </c>
      <c r="AI67" s="53" t="s">
        <v>480</v>
      </c>
      <c r="AJ67" s="53" t="s">
        <v>480</v>
      </c>
      <c r="AK67" s="53" t="s">
        <v>480</v>
      </c>
      <c r="AL67" s="53" t="s">
        <v>480</v>
      </c>
      <c r="AM67" s="53">
        <v>-0.58823529411764708</v>
      </c>
      <c r="AQ67">
        <f t="shared" si="1"/>
        <v>1</v>
      </c>
      <c r="AR67" t="s">
        <v>57</v>
      </c>
    </row>
    <row r="68" spans="1:44" x14ac:dyDescent="0.25">
      <c r="A68" s="1">
        <f>COUNTIF('Value Matchup'!$D$356:$D$423,PASE!B68)</f>
        <v>0</v>
      </c>
      <c r="B68" t="s">
        <v>182</v>
      </c>
      <c r="C68" s="64">
        <f t="shared" ref="C68:C131" si="2">IFERROR(AVERAGE(E68:AM68),0)</f>
        <v>-0.21323529411764705</v>
      </c>
      <c r="E68" s="91" t="s">
        <v>480</v>
      </c>
      <c r="F68" s="53" t="s">
        <v>480</v>
      </c>
      <c r="G68" s="53" t="s">
        <v>480</v>
      </c>
      <c r="H68" s="53" t="s">
        <v>480</v>
      </c>
      <c r="I68" s="53" t="s">
        <v>480</v>
      </c>
      <c r="J68" s="53">
        <v>-0.25</v>
      </c>
      <c r="K68" s="53" t="s">
        <v>480</v>
      </c>
      <c r="L68" s="53" t="s">
        <v>480</v>
      </c>
      <c r="M68" s="53" t="s">
        <v>480</v>
      </c>
      <c r="N68" s="53" t="s">
        <v>480</v>
      </c>
      <c r="O68" s="53" t="s">
        <v>480</v>
      </c>
      <c r="P68" s="53" t="s">
        <v>480</v>
      </c>
      <c r="Q68" s="53" t="s">
        <v>480</v>
      </c>
      <c r="R68" s="53" t="s">
        <v>480</v>
      </c>
      <c r="S68" s="53" t="s">
        <v>480</v>
      </c>
      <c r="T68" s="53" t="s">
        <v>480</v>
      </c>
      <c r="U68" s="53" t="s">
        <v>480</v>
      </c>
      <c r="V68" s="53" t="s">
        <v>480</v>
      </c>
      <c r="W68" s="53" t="s">
        <v>480</v>
      </c>
      <c r="X68" s="53" t="s">
        <v>480</v>
      </c>
      <c r="Y68" s="53">
        <v>-0.25</v>
      </c>
      <c r="Z68" s="53">
        <v>-6.6176470588235295E-2</v>
      </c>
      <c r="AA68" s="53" t="s">
        <v>480</v>
      </c>
      <c r="AB68" s="53" t="s">
        <v>480</v>
      </c>
      <c r="AC68" s="53" t="s">
        <v>480</v>
      </c>
      <c r="AD68" s="53" t="s">
        <v>480</v>
      </c>
      <c r="AE68" s="53">
        <v>-0.25</v>
      </c>
      <c r="AF68" s="53">
        <v>-0.25</v>
      </c>
      <c r="AG68" s="53" t="s">
        <v>480</v>
      </c>
      <c r="AH68" s="53" t="s">
        <v>480</v>
      </c>
      <c r="AI68" s="53" t="s">
        <v>480</v>
      </c>
      <c r="AJ68" s="53" t="s">
        <v>480</v>
      </c>
      <c r="AK68" s="53" t="s">
        <v>480</v>
      </c>
      <c r="AL68" s="53" t="s">
        <v>480</v>
      </c>
      <c r="AM68" s="53" t="s">
        <v>480</v>
      </c>
      <c r="AQ68">
        <f t="shared" ref="AQ68:AQ131" si="3">COUNTIF(B:B,AR68)</f>
        <v>1</v>
      </c>
      <c r="AR68" t="s">
        <v>182</v>
      </c>
    </row>
    <row r="69" spans="1:44" x14ac:dyDescent="0.25">
      <c r="A69" s="1">
        <f>COUNTIF('Value Matchup'!$D$356:$D$423,PASE!B69)</f>
        <v>0</v>
      </c>
      <c r="B69" t="s">
        <v>183</v>
      </c>
      <c r="C69" s="64">
        <f t="shared" si="2"/>
        <v>-7.3529411764705881E-3</v>
      </c>
      <c r="E69" s="91" t="s">
        <v>480</v>
      </c>
      <c r="F69" s="53" t="s">
        <v>480</v>
      </c>
      <c r="G69" s="53" t="s">
        <v>480</v>
      </c>
      <c r="H69" s="53" t="s">
        <v>480</v>
      </c>
      <c r="I69" s="53" t="s">
        <v>480</v>
      </c>
      <c r="J69" s="53" t="s">
        <v>480</v>
      </c>
      <c r="K69" s="53" t="s">
        <v>480</v>
      </c>
      <c r="L69" s="53" t="s">
        <v>480</v>
      </c>
      <c r="M69" s="53" t="s">
        <v>480</v>
      </c>
      <c r="N69" s="53" t="s">
        <v>480</v>
      </c>
      <c r="O69" s="53" t="s">
        <v>480</v>
      </c>
      <c r="P69" s="53" t="s">
        <v>480</v>
      </c>
      <c r="Q69" s="53" t="s">
        <v>480</v>
      </c>
      <c r="R69" s="53" t="s">
        <v>480</v>
      </c>
      <c r="S69" s="53">
        <v>-7.3529411764705881E-3</v>
      </c>
      <c r="T69" s="53" t="s">
        <v>480</v>
      </c>
      <c r="U69" s="53" t="s">
        <v>480</v>
      </c>
      <c r="V69" s="53" t="s">
        <v>480</v>
      </c>
      <c r="W69" s="53" t="s">
        <v>480</v>
      </c>
      <c r="X69" s="53" t="s">
        <v>480</v>
      </c>
      <c r="Y69" s="53" t="s">
        <v>480</v>
      </c>
      <c r="Z69" s="53" t="s">
        <v>480</v>
      </c>
      <c r="AA69" s="53" t="s">
        <v>480</v>
      </c>
      <c r="AB69" s="53" t="s">
        <v>480</v>
      </c>
      <c r="AC69" s="53" t="s">
        <v>480</v>
      </c>
      <c r="AD69" s="53" t="s">
        <v>480</v>
      </c>
      <c r="AE69" s="53" t="s">
        <v>480</v>
      </c>
      <c r="AF69" s="53" t="s">
        <v>480</v>
      </c>
      <c r="AG69" s="53" t="s">
        <v>480</v>
      </c>
      <c r="AH69" s="53" t="s">
        <v>480</v>
      </c>
      <c r="AI69" s="53" t="s">
        <v>480</v>
      </c>
      <c r="AJ69" s="53" t="s">
        <v>480</v>
      </c>
      <c r="AK69" s="53" t="s">
        <v>480</v>
      </c>
      <c r="AL69" s="53" t="s">
        <v>480</v>
      </c>
      <c r="AM69" s="53" t="s">
        <v>480</v>
      </c>
      <c r="AQ69">
        <f t="shared" si="3"/>
        <v>1</v>
      </c>
      <c r="AR69" t="s">
        <v>183</v>
      </c>
    </row>
    <row r="70" spans="1:44" x14ac:dyDescent="0.25">
      <c r="A70" s="1">
        <f>COUNTIF('Value Matchup'!$D$356:$D$423,PASE!B70)</f>
        <v>0</v>
      </c>
      <c r="B70" t="s">
        <v>184</v>
      </c>
      <c r="C70" s="64">
        <f t="shared" si="2"/>
        <v>0</v>
      </c>
      <c r="E70" s="91" t="s">
        <v>480</v>
      </c>
      <c r="F70" s="53" t="s">
        <v>480</v>
      </c>
      <c r="G70" s="53" t="s">
        <v>480</v>
      </c>
      <c r="H70" s="53" t="s">
        <v>480</v>
      </c>
      <c r="I70" s="53" t="s">
        <v>480</v>
      </c>
      <c r="J70" s="53" t="s">
        <v>480</v>
      </c>
      <c r="K70" s="53" t="s">
        <v>480</v>
      </c>
      <c r="L70" s="53" t="s">
        <v>480</v>
      </c>
      <c r="M70" s="53" t="s">
        <v>480</v>
      </c>
      <c r="N70" s="53" t="s">
        <v>480</v>
      </c>
      <c r="O70" s="53" t="s">
        <v>480</v>
      </c>
      <c r="P70" s="53" t="s">
        <v>480</v>
      </c>
      <c r="Q70" s="53" t="s">
        <v>480</v>
      </c>
      <c r="R70" s="53" t="s">
        <v>480</v>
      </c>
      <c r="S70" s="53" t="s">
        <v>480</v>
      </c>
      <c r="T70" s="53" t="s">
        <v>480</v>
      </c>
      <c r="U70" s="53" t="s">
        <v>480</v>
      </c>
      <c r="V70" s="53" t="s">
        <v>480</v>
      </c>
      <c r="W70" s="53" t="s">
        <v>480</v>
      </c>
      <c r="X70" s="53" t="s">
        <v>480</v>
      </c>
      <c r="Y70" s="53" t="s">
        <v>480</v>
      </c>
      <c r="Z70" s="53" t="s">
        <v>480</v>
      </c>
      <c r="AA70" s="53" t="s">
        <v>480</v>
      </c>
      <c r="AB70" s="53" t="s">
        <v>480</v>
      </c>
      <c r="AC70" s="53" t="s">
        <v>480</v>
      </c>
      <c r="AD70" s="53" t="s">
        <v>480</v>
      </c>
      <c r="AE70" s="53" t="s">
        <v>480</v>
      </c>
      <c r="AF70" s="53" t="s">
        <v>480</v>
      </c>
      <c r="AG70" s="53" t="s">
        <v>480</v>
      </c>
      <c r="AH70" s="53" t="s">
        <v>480</v>
      </c>
      <c r="AI70" s="53" t="s">
        <v>480</v>
      </c>
      <c r="AJ70" s="53" t="s">
        <v>480</v>
      </c>
      <c r="AK70" s="53" t="s">
        <v>480</v>
      </c>
      <c r="AL70" s="53" t="s">
        <v>480</v>
      </c>
      <c r="AM70" s="53" t="s">
        <v>480</v>
      </c>
      <c r="AQ70">
        <f t="shared" si="3"/>
        <v>1</v>
      </c>
      <c r="AR70" t="s">
        <v>184</v>
      </c>
    </row>
    <row r="71" spans="1:44" x14ac:dyDescent="0.25">
      <c r="A71" s="1">
        <f>COUNTIF('Value Matchup'!$D$356:$D$423,PASE!B71)</f>
        <v>0</v>
      </c>
      <c r="B71" t="s">
        <v>186</v>
      </c>
      <c r="C71" s="64">
        <f t="shared" si="2"/>
        <v>-8.741830065359478E-2</v>
      </c>
      <c r="E71" s="91" t="s">
        <v>480</v>
      </c>
      <c r="F71" s="53" t="s">
        <v>480</v>
      </c>
      <c r="G71" s="53" t="s">
        <v>480</v>
      </c>
      <c r="H71" s="53" t="s">
        <v>480</v>
      </c>
      <c r="I71" s="53" t="s">
        <v>480</v>
      </c>
      <c r="J71" s="53" t="s">
        <v>480</v>
      </c>
      <c r="K71" s="53" t="s">
        <v>480</v>
      </c>
      <c r="L71" s="53" t="s">
        <v>480</v>
      </c>
      <c r="M71" s="53" t="s">
        <v>480</v>
      </c>
      <c r="N71" s="53" t="s">
        <v>480</v>
      </c>
      <c r="O71" s="53" t="s">
        <v>480</v>
      </c>
      <c r="P71" s="53" t="s">
        <v>480</v>
      </c>
      <c r="Q71" s="53" t="s">
        <v>480</v>
      </c>
      <c r="R71" s="53" t="s">
        <v>480</v>
      </c>
      <c r="S71" s="53" t="s">
        <v>480</v>
      </c>
      <c r="T71" s="53">
        <v>7.3529411764705843E-2</v>
      </c>
      <c r="U71" s="53" t="s">
        <v>480</v>
      </c>
      <c r="V71" s="53" t="s">
        <v>480</v>
      </c>
      <c r="W71" s="53" t="s">
        <v>480</v>
      </c>
      <c r="X71" s="53">
        <v>-0.58823529411764708</v>
      </c>
      <c r="Y71" s="53" t="s">
        <v>480</v>
      </c>
      <c r="Z71" s="53" t="s">
        <v>480</v>
      </c>
      <c r="AA71" s="53" t="s">
        <v>480</v>
      </c>
      <c r="AB71" s="53" t="s">
        <v>480</v>
      </c>
      <c r="AC71" s="53" t="s">
        <v>480</v>
      </c>
      <c r="AD71" s="53" t="s">
        <v>480</v>
      </c>
      <c r="AE71" s="53" t="s">
        <v>480</v>
      </c>
      <c r="AF71" s="53">
        <v>-1.1176470588235294</v>
      </c>
      <c r="AG71" s="53">
        <v>-0.58823529411764708</v>
      </c>
      <c r="AH71" s="53" t="s">
        <v>480</v>
      </c>
      <c r="AI71" s="53">
        <v>0.5</v>
      </c>
      <c r="AJ71" s="53">
        <v>-0.11764705882352944</v>
      </c>
      <c r="AK71" s="53">
        <v>0.16911764705882359</v>
      </c>
      <c r="AL71" s="53">
        <v>1.5</v>
      </c>
      <c r="AM71" s="53">
        <v>-0.61764705882352944</v>
      </c>
      <c r="AQ71">
        <f t="shared" si="3"/>
        <v>1</v>
      </c>
      <c r="AR71" t="s">
        <v>186</v>
      </c>
    </row>
    <row r="72" spans="1:44" x14ac:dyDescent="0.25">
      <c r="A72" s="1">
        <f>COUNTIF('Value Matchup'!$D$356:$D$423,PASE!B72)</f>
        <v>0</v>
      </c>
      <c r="B72" t="s">
        <v>187</v>
      </c>
      <c r="C72" s="64">
        <f t="shared" si="2"/>
        <v>0.27205882352941174</v>
      </c>
      <c r="E72" s="91" t="s">
        <v>480</v>
      </c>
      <c r="F72" s="53" t="s">
        <v>480</v>
      </c>
      <c r="G72" s="53" t="s">
        <v>480</v>
      </c>
      <c r="H72" s="53" t="s">
        <v>480</v>
      </c>
      <c r="I72" s="53" t="s">
        <v>480</v>
      </c>
      <c r="J72" s="53" t="s">
        <v>480</v>
      </c>
      <c r="K72" s="53" t="s">
        <v>480</v>
      </c>
      <c r="L72" s="53">
        <v>-6.6176470588235295E-2</v>
      </c>
      <c r="M72" s="53" t="s">
        <v>480</v>
      </c>
      <c r="N72" s="53" t="s">
        <v>480</v>
      </c>
      <c r="O72" s="53" t="s">
        <v>480</v>
      </c>
      <c r="P72" s="53" t="s">
        <v>480</v>
      </c>
      <c r="Q72" s="53" t="s">
        <v>480</v>
      </c>
      <c r="R72" s="53" t="s">
        <v>480</v>
      </c>
      <c r="S72" s="53" t="s">
        <v>480</v>
      </c>
      <c r="T72" s="53" t="s">
        <v>480</v>
      </c>
      <c r="U72" s="53" t="s">
        <v>480</v>
      </c>
      <c r="V72" s="53" t="s">
        <v>480</v>
      </c>
      <c r="W72" s="53" t="s">
        <v>480</v>
      </c>
      <c r="X72" s="53" t="s">
        <v>480</v>
      </c>
      <c r="Y72" s="53">
        <v>0.5</v>
      </c>
      <c r="Z72" s="53">
        <v>0.38235294117647056</v>
      </c>
      <c r="AA72" s="53" t="s">
        <v>480</v>
      </c>
      <c r="AB72" s="53" t="s">
        <v>480</v>
      </c>
      <c r="AC72" s="53" t="s">
        <v>480</v>
      </c>
      <c r="AD72" s="53" t="s">
        <v>480</v>
      </c>
      <c r="AE72" s="53" t="s">
        <v>480</v>
      </c>
      <c r="AF72" s="53" t="s">
        <v>480</v>
      </c>
      <c r="AG72" s="53" t="s">
        <v>480</v>
      </c>
      <c r="AH72" s="53" t="s">
        <v>480</v>
      </c>
      <c r="AI72" s="53" t="s">
        <v>480</v>
      </c>
      <c r="AJ72" s="53" t="s">
        <v>480</v>
      </c>
      <c r="AK72" s="53" t="s">
        <v>480</v>
      </c>
      <c r="AL72" s="53" t="s">
        <v>480</v>
      </c>
      <c r="AM72" s="53" t="s">
        <v>480</v>
      </c>
      <c r="AQ72">
        <f t="shared" si="3"/>
        <v>1</v>
      </c>
      <c r="AR72" t="s">
        <v>187</v>
      </c>
    </row>
    <row r="73" spans="1:44" x14ac:dyDescent="0.25">
      <c r="A73" s="1">
        <f>COUNTIF('Value Matchup'!$D$356:$D$423,PASE!B73)</f>
        <v>1</v>
      </c>
      <c r="B73" t="s">
        <v>188</v>
      </c>
      <c r="C73" s="64">
        <f t="shared" si="2"/>
        <v>-1.1176470588235294</v>
      </c>
      <c r="E73" s="91" t="s">
        <v>480</v>
      </c>
      <c r="F73" s="53" t="s">
        <v>480</v>
      </c>
      <c r="G73" s="53" t="s">
        <v>480</v>
      </c>
      <c r="H73" s="53" t="s">
        <v>480</v>
      </c>
      <c r="I73" s="53" t="s">
        <v>480</v>
      </c>
      <c r="J73" s="53" t="s">
        <v>480</v>
      </c>
      <c r="K73" s="53" t="s">
        <v>480</v>
      </c>
      <c r="L73" s="53" t="s">
        <v>480</v>
      </c>
      <c r="M73" s="53" t="s">
        <v>480</v>
      </c>
      <c r="N73" s="53" t="s">
        <v>480</v>
      </c>
      <c r="O73" s="53" t="s">
        <v>480</v>
      </c>
      <c r="P73" s="53">
        <v>-1.1176470588235294</v>
      </c>
      <c r="Q73" s="53" t="s">
        <v>480</v>
      </c>
      <c r="R73" s="53" t="s">
        <v>480</v>
      </c>
      <c r="S73" s="53" t="s">
        <v>480</v>
      </c>
      <c r="T73" s="53" t="s">
        <v>480</v>
      </c>
      <c r="U73" s="53" t="s">
        <v>480</v>
      </c>
      <c r="V73" s="53" t="s">
        <v>480</v>
      </c>
      <c r="W73" s="53" t="s">
        <v>480</v>
      </c>
      <c r="X73" s="53" t="s">
        <v>480</v>
      </c>
      <c r="Y73" s="53" t="s">
        <v>480</v>
      </c>
      <c r="Z73" s="53" t="s">
        <v>480</v>
      </c>
      <c r="AA73" s="53" t="s">
        <v>480</v>
      </c>
      <c r="AB73" s="53" t="s">
        <v>480</v>
      </c>
      <c r="AC73" s="53" t="s">
        <v>480</v>
      </c>
      <c r="AD73" s="53" t="s">
        <v>480</v>
      </c>
      <c r="AE73" s="53" t="s">
        <v>480</v>
      </c>
      <c r="AF73" s="53" t="s">
        <v>480</v>
      </c>
      <c r="AG73" s="53" t="s">
        <v>480</v>
      </c>
      <c r="AH73" s="53" t="s">
        <v>480</v>
      </c>
      <c r="AI73" s="53" t="s">
        <v>480</v>
      </c>
      <c r="AJ73" s="53" t="s">
        <v>480</v>
      </c>
      <c r="AK73" s="53" t="s">
        <v>480</v>
      </c>
      <c r="AL73" s="53" t="s">
        <v>480</v>
      </c>
      <c r="AM73" s="53" t="s">
        <v>480</v>
      </c>
      <c r="AQ73">
        <f t="shared" si="3"/>
        <v>1</v>
      </c>
      <c r="AR73" t="s">
        <v>188</v>
      </c>
    </row>
    <row r="74" spans="1:44" x14ac:dyDescent="0.25">
      <c r="A74" s="1">
        <f>COUNTIF('Value Matchup'!$D$356:$D$423,PASE!B74)</f>
        <v>1</v>
      </c>
      <c r="B74" t="s">
        <v>189</v>
      </c>
      <c r="C74" s="64">
        <f t="shared" si="2"/>
        <v>-1.6544117647058824E-2</v>
      </c>
      <c r="E74" s="91" t="s">
        <v>480</v>
      </c>
      <c r="F74" s="53" t="s">
        <v>480</v>
      </c>
      <c r="G74" s="53" t="s">
        <v>480</v>
      </c>
      <c r="H74" s="53" t="s">
        <v>480</v>
      </c>
      <c r="I74" s="53" t="s">
        <v>480</v>
      </c>
      <c r="J74" s="53" t="s">
        <v>480</v>
      </c>
      <c r="K74" s="53" t="s">
        <v>480</v>
      </c>
      <c r="L74" s="53" t="s">
        <v>480</v>
      </c>
      <c r="M74" s="53" t="s">
        <v>480</v>
      </c>
      <c r="N74" s="53" t="s">
        <v>480</v>
      </c>
      <c r="O74" s="53" t="s">
        <v>480</v>
      </c>
      <c r="P74" s="53" t="s">
        <v>480</v>
      </c>
      <c r="Q74" s="53" t="s">
        <v>480</v>
      </c>
      <c r="R74" s="53" t="s">
        <v>480</v>
      </c>
      <c r="S74" s="53" t="s">
        <v>480</v>
      </c>
      <c r="T74" s="53" t="s">
        <v>480</v>
      </c>
      <c r="U74" s="53" t="s">
        <v>480</v>
      </c>
      <c r="V74" s="53" t="s">
        <v>480</v>
      </c>
      <c r="W74" s="53" t="s">
        <v>480</v>
      </c>
      <c r="X74" s="53" t="s">
        <v>480</v>
      </c>
      <c r="Y74" s="53" t="s">
        <v>480</v>
      </c>
      <c r="Z74" s="53" t="s">
        <v>480</v>
      </c>
      <c r="AA74" s="53" t="s">
        <v>480</v>
      </c>
      <c r="AB74" s="53">
        <v>0.5</v>
      </c>
      <c r="AC74" s="53">
        <v>-0.25</v>
      </c>
      <c r="AD74" s="53">
        <v>-0.25</v>
      </c>
      <c r="AE74" s="53" t="s">
        <v>480</v>
      </c>
      <c r="AF74" s="53" t="s">
        <v>480</v>
      </c>
      <c r="AG74" s="53" t="s">
        <v>480</v>
      </c>
      <c r="AH74" s="53" t="s">
        <v>480</v>
      </c>
      <c r="AI74" s="53" t="s">
        <v>480</v>
      </c>
      <c r="AJ74" s="53" t="s">
        <v>480</v>
      </c>
      <c r="AK74" s="53" t="s">
        <v>480</v>
      </c>
      <c r="AL74" s="53">
        <v>-6.6176470588235295E-2</v>
      </c>
      <c r="AM74" s="53" t="s">
        <v>480</v>
      </c>
      <c r="AQ74">
        <f t="shared" si="3"/>
        <v>1</v>
      </c>
      <c r="AR74" t="s">
        <v>189</v>
      </c>
    </row>
    <row r="75" spans="1:44" x14ac:dyDescent="0.25">
      <c r="A75" s="1">
        <f>COUNTIF('Value Matchup'!$D$356:$D$423,PASE!B75)</f>
        <v>0</v>
      </c>
      <c r="B75" t="s">
        <v>64</v>
      </c>
      <c r="C75" s="64">
        <f t="shared" si="2"/>
        <v>-0.1269269776876267</v>
      </c>
      <c r="E75" s="91">
        <v>-0.35000000000000009</v>
      </c>
      <c r="F75" s="53">
        <v>0.63970588235294112</v>
      </c>
      <c r="G75" s="53">
        <v>-1.3602941176470589</v>
      </c>
      <c r="H75" s="53">
        <v>0.45588235294117641</v>
      </c>
      <c r="I75" s="53" t="s">
        <v>480</v>
      </c>
      <c r="J75" s="53">
        <v>-1.8308823529411764</v>
      </c>
      <c r="K75" s="53">
        <v>0.63970588235294112</v>
      </c>
      <c r="L75" s="53">
        <v>-2.3602941176470589</v>
      </c>
      <c r="M75" s="53">
        <v>-1.3455882352941178</v>
      </c>
      <c r="N75" s="53" t="s">
        <v>480</v>
      </c>
      <c r="O75" s="53">
        <v>-0.36029411764705888</v>
      </c>
      <c r="P75" s="53">
        <v>-1.3602941176470589</v>
      </c>
      <c r="Q75" s="53">
        <v>-1.0808823529411764</v>
      </c>
      <c r="R75" s="53">
        <v>-1.3455882352941178</v>
      </c>
      <c r="S75" s="53">
        <v>-1.3455882352941178</v>
      </c>
      <c r="T75" s="53">
        <v>0.65441176470588225</v>
      </c>
      <c r="U75" s="53">
        <v>0.16911764705882359</v>
      </c>
      <c r="V75" s="53">
        <v>-1.3455882352941178</v>
      </c>
      <c r="W75" s="53" t="s">
        <v>480</v>
      </c>
      <c r="X75" s="53">
        <v>-1.3455882352941178</v>
      </c>
      <c r="Y75" s="53">
        <v>1.6544117647058822</v>
      </c>
      <c r="Z75" s="53">
        <v>-0.34558823529411775</v>
      </c>
      <c r="AA75" s="53">
        <v>-1.3602941176470589</v>
      </c>
      <c r="AB75" s="53">
        <v>-0.72058823529411764</v>
      </c>
      <c r="AC75" s="53" t="s">
        <v>480</v>
      </c>
      <c r="AD75" s="53">
        <v>2.6397058823529411</v>
      </c>
      <c r="AE75" s="53">
        <v>-0.83088235294117641</v>
      </c>
      <c r="AF75" s="53" t="s">
        <v>480</v>
      </c>
      <c r="AG75" s="53" t="s">
        <v>480</v>
      </c>
      <c r="AH75" s="53">
        <v>3.1691176470588234</v>
      </c>
      <c r="AI75" s="53">
        <v>1.6397058823529411</v>
      </c>
      <c r="AJ75" s="53">
        <v>1.6397058823529411</v>
      </c>
      <c r="AK75" s="53">
        <v>0.88235294117647056</v>
      </c>
      <c r="AL75" s="53">
        <v>1.6544117647058822</v>
      </c>
      <c r="AM75" s="53">
        <v>-0.83088235294117641</v>
      </c>
      <c r="AQ75">
        <f t="shared" si="3"/>
        <v>1</v>
      </c>
      <c r="AR75" t="s">
        <v>64</v>
      </c>
    </row>
    <row r="76" spans="1:44" x14ac:dyDescent="0.25">
      <c r="A76" s="1">
        <f>COUNTIF('Value Matchup'!$D$356:$D$423,PASE!B76)</f>
        <v>0</v>
      </c>
      <c r="B76" t="s">
        <v>190</v>
      </c>
      <c r="C76" s="64">
        <f t="shared" si="2"/>
        <v>0</v>
      </c>
      <c r="E76" s="91" t="s">
        <v>480</v>
      </c>
      <c r="F76" s="53" t="s">
        <v>480</v>
      </c>
      <c r="G76" s="53" t="s">
        <v>480</v>
      </c>
      <c r="H76" s="53" t="s">
        <v>480</v>
      </c>
      <c r="I76" s="53" t="s">
        <v>480</v>
      </c>
      <c r="J76" s="53" t="s">
        <v>480</v>
      </c>
      <c r="K76" s="53" t="s">
        <v>480</v>
      </c>
      <c r="L76" s="53" t="s">
        <v>480</v>
      </c>
      <c r="M76" s="53" t="s">
        <v>480</v>
      </c>
      <c r="N76" s="53" t="s">
        <v>480</v>
      </c>
      <c r="O76" s="53" t="s">
        <v>480</v>
      </c>
      <c r="P76" s="53" t="s">
        <v>480</v>
      </c>
      <c r="Q76" s="53" t="s">
        <v>480</v>
      </c>
      <c r="R76" s="53" t="s">
        <v>480</v>
      </c>
      <c r="S76" s="53" t="s">
        <v>480</v>
      </c>
      <c r="T76" s="53" t="s">
        <v>480</v>
      </c>
      <c r="U76" s="53" t="s">
        <v>480</v>
      </c>
      <c r="V76" s="53" t="s">
        <v>480</v>
      </c>
      <c r="W76" s="53" t="s">
        <v>480</v>
      </c>
      <c r="X76" s="53" t="s">
        <v>480</v>
      </c>
      <c r="Y76" s="53" t="s">
        <v>480</v>
      </c>
      <c r="Z76" s="53" t="s">
        <v>480</v>
      </c>
      <c r="AA76" s="53" t="s">
        <v>480</v>
      </c>
      <c r="AB76" s="53" t="s">
        <v>480</v>
      </c>
      <c r="AC76" s="53" t="s">
        <v>480</v>
      </c>
      <c r="AD76" s="53" t="s">
        <v>480</v>
      </c>
      <c r="AE76" s="53" t="s">
        <v>480</v>
      </c>
      <c r="AF76" s="53" t="s">
        <v>480</v>
      </c>
      <c r="AG76" s="53" t="s">
        <v>480</v>
      </c>
      <c r="AH76" s="53" t="s">
        <v>480</v>
      </c>
      <c r="AI76" s="53" t="s">
        <v>480</v>
      </c>
      <c r="AJ76" s="53" t="s">
        <v>480</v>
      </c>
      <c r="AK76" s="53" t="s">
        <v>480</v>
      </c>
      <c r="AL76" s="53" t="s">
        <v>480</v>
      </c>
      <c r="AM76" s="53" t="s">
        <v>480</v>
      </c>
      <c r="AQ76">
        <f t="shared" si="3"/>
        <v>1</v>
      </c>
      <c r="AR76" t="s">
        <v>190</v>
      </c>
    </row>
    <row r="77" spans="1:44" x14ac:dyDescent="0.25">
      <c r="A77" s="1">
        <f>COUNTIF('Value Matchup'!$D$356:$D$423,PASE!B77)</f>
        <v>0</v>
      </c>
      <c r="B77" t="s">
        <v>191</v>
      </c>
      <c r="C77" s="64">
        <f t="shared" si="2"/>
        <v>-7.3529411764705881E-3</v>
      </c>
      <c r="E77" s="91" t="s">
        <v>480</v>
      </c>
      <c r="F77" s="53" t="s">
        <v>480</v>
      </c>
      <c r="G77" s="53" t="s">
        <v>480</v>
      </c>
      <c r="H77" s="53" t="s">
        <v>480</v>
      </c>
      <c r="I77" s="53" t="s">
        <v>480</v>
      </c>
      <c r="J77" s="53" t="s">
        <v>480</v>
      </c>
      <c r="K77" s="53" t="s">
        <v>480</v>
      </c>
      <c r="L77" s="53" t="s">
        <v>480</v>
      </c>
      <c r="M77" s="53" t="s">
        <v>480</v>
      </c>
      <c r="N77" s="53" t="s">
        <v>480</v>
      </c>
      <c r="O77" s="53" t="s">
        <v>480</v>
      </c>
      <c r="P77" s="53" t="s">
        <v>480</v>
      </c>
      <c r="Q77" s="53" t="s">
        <v>480</v>
      </c>
      <c r="R77" s="53" t="s">
        <v>480</v>
      </c>
      <c r="S77" s="53" t="s">
        <v>480</v>
      </c>
      <c r="T77" s="53" t="s">
        <v>480</v>
      </c>
      <c r="U77" s="53" t="s">
        <v>480</v>
      </c>
      <c r="V77" s="53" t="s">
        <v>480</v>
      </c>
      <c r="W77" s="53" t="s">
        <v>480</v>
      </c>
      <c r="X77" s="53" t="s">
        <v>480</v>
      </c>
      <c r="Y77" s="53" t="s">
        <v>480</v>
      </c>
      <c r="Z77" s="53" t="s">
        <v>480</v>
      </c>
      <c r="AA77" s="53" t="s">
        <v>480</v>
      </c>
      <c r="AB77" s="53" t="s">
        <v>480</v>
      </c>
      <c r="AC77" s="53" t="s">
        <v>480</v>
      </c>
      <c r="AD77" s="53" t="s">
        <v>480</v>
      </c>
      <c r="AE77" s="53">
        <v>-7.3529411764705881E-3</v>
      </c>
      <c r="AF77" s="53" t="s">
        <v>480</v>
      </c>
      <c r="AG77" s="53" t="s">
        <v>480</v>
      </c>
      <c r="AH77" s="53" t="s">
        <v>480</v>
      </c>
      <c r="AI77" s="53" t="s">
        <v>480</v>
      </c>
      <c r="AJ77" s="53" t="s">
        <v>480</v>
      </c>
      <c r="AK77" s="53" t="s">
        <v>480</v>
      </c>
      <c r="AL77" s="53" t="s">
        <v>480</v>
      </c>
      <c r="AM77" s="53" t="s">
        <v>480</v>
      </c>
      <c r="AQ77">
        <f t="shared" si="3"/>
        <v>1</v>
      </c>
      <c r="AR77" t="s">
        <v>191</v>
      </c>
    </row>
    <row r="78" spans="1:44" x14ac:dyDescent="0.25">
      <c r="A78" s="1">
        <f>COUNTIF('Value Matchup'!$D$356:$D$423,PASE!B78)</f>
        <v>0</v>
      </c>
      <c r="B78" t="s">
        <v>192</v>
      </c>
      <c r="C78" s="64">
        <f t="shared" si="2"/>
        <v>-6.9444444444444448E-2</v>
      </c>
      <c r="E78" s="91" t="s">
        <v>480</v>
      </c>
      <c r="F78" s="53" t="s">
        <v>480</v>
      </c>
      <c r="G78" s="53">
        <v>-0.25</v>
      </c>
      <c r="H78" s="53" t="s">
        <v>480</v>
      </c>
      <c r="I78" s="53" t="s">
        <v>480</v>
      </c>
      <c r="J78" s="53" t="s">
        <v>480</v>
      </c>
      <c r="K78" s="53" t="s">
        <v>480</v>
      </c>
      <c r="L78" s="53" t="s">
        <v>480</v>
      </c>
      <c r="M78" s="53" t="s">
        <v>480</v>
      </c>
      <c r="N78" s="53">
        <v>-7.3529411764705881E-3</v>
      </c>
      <c r="O78" s="53">
        <v>-7.3529411764705881E-3</v>
      </c>
      <c r="P78" s="53" t="s">
        <v>480</v>
      </c>
      <c r="Q78" s="53" t="s">
        <v>480</v>
      </c>
      <c r="R78" s="53" t="s">
        <v>480</v>
      </c>
      <c r="S78" s="53" t="s">
        <v>480</v>
      </c>
      <c r="T78" s="53">
        <v>-0.25</v>
      </c>
      <c r="U78" s="53">
        <v>-6.6176470588235295E-2</v>
      </c>
      <c r="V78" s="53" t="s">
        <v>480</v>
      </c>
      <c r="W78" s="53" t="s">
        <v>480</v>
      </c>
      <c r="X78" s="53" t="s">
        <v>480</v>
      </c>
      <c r="Y78" s="53" t="s">
        <v>480</v>
      </c>
      <c r="Z78" s="53" t="s">
        <v>480</v>
      </c>
      <c r="AA78" s="53" t="s">
        <v>480</v>
      </c>
      <c r="AB78" s="53" t="s">
        <v>480</v>
      </c>
      <c r="AC78" s="53" t="s">
        <v>480</v>
      </c>
      <c r="AD78" s="53" t="s">
        <v>480</v>
      </c>
      <c r="AE78" s="53" t="s">
        <v>480</v>
      </c>
      <c r="AF78" s="53">
        <v>0.83088235294117641</v>
      </c>
      <c r="AG78" s="53">
        <v>-0.61764705882352944</v>
      </c>
      <c r="AH78" s="53">
        <v>-0.25</v>
      </c>
      <c r="AI78" s="53">
        <v>-7.3529411764705881E-3</v>
      </c>
      <c r="AJ78" s="53" t="s">
        <v>480</v>
      </c>
      <c r="AK78" s="53" t="s">
        <v>480</v>
      </c>
      <c r="AL78" s="53" t="s">
        <v>480</v>
      </c>
      <c r="AM78" s="53" t="s">
        <v>480</v>
      </c>
      <c r="AQ78">
        <f t="shared" si="3"/>
        <v>1</v>
      </c>
      <c r="AR78" t="s">
        <v>192</v>
      </c>
    </row>
    <row r="79" spans="1:44" x14ac:dyDescent="0.25">
      <c r="A79" s="1">
        <f>COUNTIF('Value Matchup'!$D$356:$D$423,PASE!B79)</f>
        <v>0</v>
      </c>
      <c r="B79" t="s">
        <v>193</v>
      </c>
      <c r="C79" s="64">
        <f t="shared" si="2"/>
        <v>-6.6176470588235295E-2</v>
      </c>
      <c r="E79" s="91" t="s">
        <v>480</v>
      </c>
      <c r="F79" s="53" t="s">
        <v>480</v>
      </c>
      <c r="G79" s="53" t="s">
        <v>480</v>
      </c>
      <c r="H79" s="53" t="s">
        <v>480</v>
      </c>
      <c r="I79" s="53" t="s">
        <v>480</v>
      </c>
      <c r="J79" s="53" t="s">
        <v>480</v>
      </c>
      <c r="K79" s="53" t="s">
        <v>480</v>
      </c>
      <c r="L79" s="53" t="s">
        <v>480</v>
      </c>
      <c r="M79" s="53" t="s">
        <v>480</v>
      </c>
      <c r="N79" s="53" t="s">
        <v>480</v>
      </c>
      <c r="O79" s="53" t="s">
        <v>480</v>
      </c>
      <c r="P79" s="53" t="s">
        <v>480</v>
      </c>
      <c r="Q79" s="53" t="s">
        <v>480</v>
      </c>
      <c r="R79" s="53" t="s">
        <v>480</v>
      </c>
      <c r="S79" s="53" t="s">
        <v>480</v>
      </c>
      <c r="T79" s="53" t="s">
        <v>480</v>
      </c>
      <c r="U79" s="53" t="s">
        <v>480</v>
      </c>
      <c r="V79" s="53" t="s">
        <v>480</v>
      </c>
      <c r="W79" s="53">
        <v>-6.6176470588235295E-2</v>
      </c>
      <c r="X79" s="53" t="s">
        <v>480</v>
      </c>
      <c r="Y79" s="53" t="s">
        <v>480</v>
      </c>
      <c r="Z79" s="53" t="s">
        <v>480</v>
      </c>
      <c r="AA79" s="53" t="s">
        <v>480</v>
      </c>
      <c r="AB79" s="53" t="s">
        <v>480</v>
      </c>
      <c r="AC79" s="53" t="s">
        <v>480</v>
      </c>
      <c r="AD79" s="53" t="s">
        <v>480</v>
      </c>
      <c r="AE79" s="53" t="s">
        <v>480</v>
      </c>
      <c r="AF79" s="53">
        <v>-6.6176470588235295E-2</v>
      </c>
      <c r="AG79" s="53" t="s">
        <v>480</v>
      </c>
      <c r="AH79" s="53" t="s">
        <v>480</v>
      </c>
      <c r="AI79" s="53" t="s">
        <v>480</v>
      </c>
      <c r="AJ79" s="53" t="s">
        <v>480</v>
      </c>
      <c r="AK79" s="53" t="s">
        <v>480</v>
      </c>
      <c r="AL79" s="53" t="s">
        <v>480</v>
      </c>
      <c r="AM79" s="53" t="s">
        <v>480</v>
      </c>
      <c r="AQ79">
        <f t="shared" si="3"/>
        <v>1</v>
      </c>
      <c r="AR79" t="s">
        <v>193</v>
      </c>
    </row>
    <row r="80" spans="1:44" x14ac:dyDescent="0.25">
      <c r="A80" s="1">
        <f>COUNTIF('Value Matchup'!$D$356:$D$423,PASE!B80)</f>
        <v>0</v>
      </c>
      <c r="B80" t="s">
        <v>194</v>
      </c>
      <c r="C80" s="64">
        <f t="shared" si="2"/>
        <v>-4.6568627450980393E-2</v>
      </c>
      <c r="E80" s="91" t="s">
        <v>480</v>
      </c>
      <c r="F80" s="53" t="s">
        <v>480</v>
      </c>
      <c r="G80" s="53" t="s">
        <v>480</v>
      </c>
      <c r="H80" s="53" t="s">
        <v>480</v>
      </c>
      <c r="I80" s="53" t="s">
        <v>480</v>
      </c>
      <c r="J80" s="53">
        <v>-6.6176470588235295E-2</v>
      </c>
      <c r="K80" s="53" t="s">
        <v>480</v>
      </c>
      <c r="L80" s="53" t="s">
        <v>480</v>
      </c>
      <c r="M80" s="53" t="s">
        <v>480</v>
      </c>
      <c r="N80" s="53" t="s">
        <v>480</v>
      </c>
      <c r="O80" s="53" t="s">
        <v>480</v>
      </c>
      <c r="P80" s="53" t="s">
        <v>480</v>
      </c>
      <c r="Q80" s="53">
        <v>-7.3529411764705881E-3</v>
      </c>
      <c r="R80" s="53" t="s">
        <v>480</v>
      </c>
      <c r="S80" s="53">
        <v>-6.6176470588235295E-2</v>
      </c>
      <c r="T80" s="53" t="s">
        <v>480</v>
      </c>
      <c r="U80" s="53" t="s">
        <v>480</v>
      </c>
      <c r="V80" s="53" t="s">
        <v>480</v>
      </c>
      <c r="W80" s="53" t="s">
        <v>480</v>
      </c>
      <c r="X80" s="53" t="s">
        <v>480</v>
      </c>
      <c r="Y80" s="53" t="s">
        <v>480</v>
      </c>
      <c r="Z80" s="53" t="s">
        <v>480</v>
      </c>
      <c r="AA80" s="53" t="s">
        <v>480</v>
      </c>
      <c r="AB80" s="53" t="s">
        <v>480</v>
      </c>
      <c r="AC80" s="53" t="s">
        <v>480</v>
      </c>
      <c r="AD80" s="53" t="s">
        <v>480</v>
      </c>
      <c r="AE80" s="53" t="s">
        <v>480</v>
      </c>
      <c r="AF80" s="53" t="s">
        <v>480</v>
      </c>
      <c r="AG80" s="53" t="s">
        <v>480</v>
      </c>
      <c r="AH80" s="53" t="s">
        <v>480</v>
      </c>
      <c r="AI80" s="53" t="s">
        <v>480</v>
      </c>
      <c r="AJ80" s="53" t="s">
        <v>480</v>
      </c>
      <c r="AK80" s="53" t="s">
        <v>480</v>
      </c>
      <c r="AL80" s="53" t="s">
        <v>480</v>
      </c>
      <c r="AM80" s="53" t="s">
        <v>480</v>
      </c>
      <c r="AQ80">
        <f t="shared" si="3"/>
        <v>1</v>
      </c>
      <c r="AR80" t="s">
        <v>194</v>
      </c>
    </row>
    <row r="81" spans="1:44" x14ac:dyDescent="0.25">
      <c r="A81" s="1">
        <f>COUNTIF('Value Matchup'!$D$356:$D$423,PASE!B81)</f>
        <v>0</v>
      </c>
      <c r="B81" t="s">
        <v>195</v>
      </c>
      <c r="C81" s="64">
        <f t="shared" si="2"/>
        <v>0.39889705882352938</v>
      </c>
      <c r="E81" s="91" t="s">
        <v>480</v>
      </c>
      <c r="F81" s="53" t="s">
        <v>480</v>
      </c>
      <c r="G81" s="53" t="s">
        <v>480</v>
      </c>
      <c r="H81" s="53" t="s">
        <v>480</v>
      </c>
      <c r="I81" s="53" t="s">
        <v>480</v>
      </c>
      <c r="J81" s="53" t="s">
        <v>480</v>
      </c>
      <c r="K81" s="53" t="s">
        <v>480</v>
      </c>
      <c r="L81" s="53" t="s">
        <v>480</v>
      </c>
      <c r="M81" s="53" t="s">
        <v>480</v>
      </c>
      <c r="N81" s="53" t="s">
        <v>480</v>
      </c>
      <c r="O81" s="53" t="s">
        <v>480</v>
      </c>
      <c r="P81" s="53" t="s">
        <v>480</v>
      </c>
      <c r="Q81" s="53" t="s">
        <v>480</v>
      </c>
      <c r="R81" s="53" t="s">
        <v>480</v>
      </c>
      <c r="S81" s="53" t="s">
        <v>480</v>
      </c>
      <c r="T81" s="53" t="s">
        <v>480</v>
      </c>
      <c r="U81" s="53" t="s">
        <v>480</v>
      </c>
      <c r="V81" s="53" t="s">
        <v>480</v>
      </c>
      <c r="W81" s="53" t="s">
        <v>480</v>
      </c>
      <c r="X81" s="53" t="s">
        <v>480</v>
      </c>
      <c r="Y81" s="53" t="s">
        <v>480</v>
      </c>
      <c r="Z81" s="53">
        <v>-0.25</v>
      </c>
      <c r="AA81" s="53" t="s">
        <v>480</v>
      </c>
      <c r="AB81" s="53">
        <v>0.41176470588235292</v>
      </c>
      <c r="AC81" s="53" t="s">
        <v>480</v>
      </c>
      <c r="AD81" s="53" t="s">
        <v>480</v>
      </c>
      <c r="AE81" s="53" t="s">
        <v>480</v>
      </c>
      <c r="AF81" s="53" t="s">
        <v>480</v>
      </c>
      <c r="AG81" s="53">
        <v>1.5</v>
      </c>
      <c r="AH81" s="53" t="s">
        <v>480</v>
      </c>
      <c r="AI81" s="53" t="s">
        <v>480</v>
      </c>
      <c r="AJ81" s="53">
        <v>-6.6176470588235295E-2</v>
      </c>
      <c r="AK81" s="53" t="s">
        <v>480</v>
      </c>
      <c r="AL81" s="53" t="s">
        <v>480</v>
      </c>
      <c r="AM81" s="53" t="s">
        <v>480</v>
      </c>
      <c r="AQ81">
        <f t="shared" si="3"/>
        <v>1</v>
      </c>
      <c r="AR81" t="s">
        <v>195</v>
      </c>
    </row>
    <row r="82" spans="1:44" x14ac:dyDescent="0.25">
      <c r="A82" s="1">
        <f>COUNTIF('Value Matchup'!$D$356:$D$423,PASE!B82)</f>
        <v>1</v>
      </c>
      <c r="B82" t="s">
        <v>196</v>
      </c>
      <c r="C82" s="64">
        <f t="shared" si="2"/>
        <v>-0.15808823529411764</v>
      </c>
      <c r="E82" s="91" t="s">
        <v>480</v>
      </c>
      <c r="F82" s="53" t="s">
        <v>480</v>
      </c>
      <c r="G82" s="53" t="s">
        <v>480</v>
      </c>
      <c r="H82" s="53" t="s">
        <v>480</v>
      </c>
      <c r="I82" s="53">
        <v>-0.25</v>
      </c>
      <c r="J82" s="53" t="s">
        <v>480</v>
      </c>
      <c r="K82" s="53" t="s">
        <v>480</v>
      </c>
      <c r="L82" s="53" t="s">
        <v>480</v>
      </c>
      <c r="M82" s="53" t="s">
        <v>480</v>
      </c>
      <c r="N82" s="53" t="s">
        <v>480</v>
      </c>
      <c r="O82" s="53" t="s">
        <v>480</v>
      </c>
      <c r="P82" s="53" t="s">
        <v>480</v>
      </c>
      <c r="Q82" s="53" t="s">
        <v>480</v>
      </c>
      <c r="R82" s="53" t="s">
        <v>480</v>
      </c>
      <c r="S82" s="53" t="s">
        <v>480</v>
      </c>
      <c r="T82" s="53">
        <v>-6.6176470588235295E-2</v>
      </c>
      <c r="U82" s="53" t="s">
        <v>480</v>
      </c>
      <c r="V82" s="53" t="s">
        <v>480</v>
      </c>
      <c r="W82" s="53" t="s">
        <v>480</v>
      </c>
      <c r="X82" s="53" t="s">
        <v>480</v>
      </c>
      <c r="Y82" s="53" t="s">
        <v>480</v>
      </c>
      <c r="Z82" s="53" t="s">
        <v>480</v>
      </c>
      <c r="AA82" s="53" t="s">
        <v>480</v>
      </c>
      <c r="AB82" s="53" t="s">
        <v>480</v>
      </c>
      <c r="AC82" s="53" t="s">
        <v>480</v>
      </c>
      <c r="AD82" s="53" t="s">
        <v>480</v>
      </c>
      <c r="AE82" s="53" t="s">
        <v>480</v>
      </c>
      <c r="AF82" s="53" t="s">
        <v>480</v>
      </c>
      <c r="AG82" s="53" t="s">
        <v>480</v>
      </c>
      <c r="AH82" s="53" t="s">
        <v>480</v>
      </c>
      <c r="AI82" s="53" t="s">
        <v>480</v>
      </c>
      <c r="AJ82" s="53" t="s">
        <v>480</v>
      </c>
      <c r="AK82" s="53" t="s">
        <v>480</v>
      </c>
      <c r="AL82" s="53" t="s">
        <v>480</v>
      </c>
      <c r="AM82" s="53" t="s">
        <v>480</v>
      </c>
      <c r="AQ82">
        <f t="shared" si="3"/>
        <v>1</v>
      </c>
      <c r="AR82" t="s">
        <v>196</v>
      </c>
    </row>
    <row r="83" spans="1:44" x14ac:dyDescent="0.25">
      <c r="A83" s="1">
        <f>COUNTIF('Value Matchup'!$D$356:$D$423,PASE!B83)</f>
        <v>0</v>
      </c>
      <c r="B83" t="s">
        <v>198</v>
      </c>
      <c r="C83" s="64">
        <f t="shared" si="2"/>
        <v>0</v>
      </c>
      <c r="E83" s="91" t="s">
        <v>480</v>
      </c>
      <c r="F83" s="53" t="s">
        <v>480</v>
      </c>
      <c r="G83" s="53" t="s">
        <v>480</v>
      </c>
      <c r="H83" s="53" t="s">
        <v>480</v>
      </c>
      <c r="I83" s="53" t="s">
        <v>480</v>
      </c>
      <c r="J83" s="53" t="s">
        <v>480</v>
      </c>
      <c r="K83" s="53" t="s">
        <v>480</v>
      </c>
      <c r="L83" s="53" t="s">
        <v>480</v>
      </c>
      <c r="M83" s="53" t="s">
        <v>480</v>
      </c>
      <c r="N83" s="53" t="s">
        <v>480</v>
      </c>
      <c r="O83" s="53" t="s">
        <v>480</v>
      </c>
      <c r="P83" s="53" t="s">
        <v>480</v>
      </c>
      <c r="Q83" s="53" t="s">
        <v>480</v>
      </c>
      <c r="R83" s="53" t="s">
        <v>480</v>
      </c>
      <c r="S83" s="53" t="s">
        <v>480</v>
      </c>
      <c r="T83" s="53" t="s">
        <v>480</v>
      </c>
      <c r="U83" s="53" t="s">
        <v>480</v>
      </c>
      <c r="V83" s="53" t="s">
        <v>480</v>
      </c>
      <c r="W83" s="53" t="s">
        <v>480</v>
      </c>
      <c r="X83" s="53" t="s">
        <v>480</v>
      </c>
      <c r="Y83" s="53" t="s">
        <v>480</v>
      </c>
      <c r="Z83" s="53" t="s">
        <v>480</v>
      </c>
      <c r="AA83" s="53" t="s">
        <v>480</v>
      </c>
      <c r="AB83" s="53" t="s">
        <v>480</v>
      </c>
      <c r="AC83" s="53" t="s">
        <v>480</v>
      </c>
      <c r="AD83" s="53" t="s">
        <v>480</v>
      </c>
      <c r="AE83" s="53" t="s">
        <v>480</v>
      </c>
      <c r="AF83" s="53" t="s">
        <v>480</v>
      </c>
      <c r="AG83" s="53" t="s">
        <v>480</v>
      </c>
      <c r="AH83" s="53" t="s">
        <v>480</v>
      </c>
      <c r="AI83" s="53" t="s">
        <v>480</v>
      </c>
      <c r="AJ83" s="53" t="s">
        <v>480</v>
      </c>
      <c r="AK83" s="53" t="s">
        <v>480</v>
      </c>
      <c r="AL83" s="53" t="s">
        <v>480</v>
      </c>
      <c r="AM83" s="53" t="s">
        <v>480</v>
      </c>
      <c r="AQ83">
        <f t="shared" si="3"/>
        <v>1</v>
      </c>
      <c r="AR83" t="s">
        <v>198</v>
      </c>
    </row>
    <row r="84" spans="1:44" x14ac:dyDescent="0.25">
      <c r="A84" s="1">
        <f>COUNTIF('Value Matchup'!$D$356:$D$423,PASE!B84)</f>
        <v>0</v>
      </c>
      <c r="B84" t="s">
        <v>199</v>
      </c>
      <c r="C84" s="64">
        <f t="shared" si="2"/>
        <v>-0.28492647058823528</v>
      </c>
      <c r="E84" s="91" t="s">
        <v>480</v>
      </c>
      <c r="F84" s="53" t="s">
        <v>480</v>
      </c>
      <c r="G84" s="53" t="s">
        <v>480</v>
      </c>
      <c r="H84" s="53" t="s">
        <v>480</v>
      </c>
      <c r="I84" s="53" t="s">
        <v>480</v>
      </c>
      <c r="J84" s="53" t="s">
        <v>480</v>
      </c>
      <c r="K84" s="53" t="s">
        <v>480</v>
      </c>
      <c r="L84" s="53" t="s">
        <v>480</v>
      </c>
      <c r="M84" s="53" t="s">
        <v>480</v>
      </c>
      <c r="N84" s="53" t="s">
        <v>480</v>
      </c>
      <c r="O84" s="53" t="s">
        <v>480</v>
      </c>
      <c r="P84" s="53" t="s">
        <v>480</v>
      </c>
      <c r="Q84" s="53" t="s">
        <v>480</v>
      </c>
      <c r="R84" s="53" t="s">
        <v>480</v>
      </c>
      <c r="S84" s="53" t="s">
        <v>480</v>
      </c>
      <c r="T84" s="53" t="s">
        <v>480</v>
      </c>
      <c r="U84" s="53" t="s">
        <v>480</v>
      </c>
      <c r="V84" s="53" t="s">
        <v>480</v>
      </c>
      <c r="W84" s="53" t="s">
        <v>480</v>
      </c>
      <c r="X84" s="53" t="s">
        <v>480</v>
      </c>
      <c r="Y84" s="53">
        <v>-0.625</v>
      </c>
      <c r="Z84" s="53" t="s">
        <v>480</v>
      </c>
      <c r="AA84" s="53" t="s">
        <v>480</v>
      </c>
      <c r="AB84" s="53" t="s">
        <v>480</v>
      </c>
      <c r="AC84" s="53" t="s">
        <v>480</v>
      </c>
      <c r="AD84" s="53" t="s">
        <v>480</v>
      </c>
      <c r="AE84" s="53">
        <v>-0.16911764705882354</v>
      </c>
      <c r="AF84" s="53">
        <v>-0.72058823529411764</v>
      </c>
      <c r="AG84" s="53" t="s">
        <v>480</v>
      </c>
      <c r="AH84" s="53" t="s">
        <v>480</v>
      </c>
      <c r="AI84" s="53">
        <v>0.375</v>
      </c>
      <c r="AJ84" s="53" t="s">
        <v>480</v>
      </c>
      <c r="AK84" s="53" t="s">
        <v>480</v>
      </c>
      <c r="AL84" s="53" t="s">
        <v>480</v>
      </c>
      <c r="AM84" s="53" t="s">
        <v>480</v>
      </c>
      <c r="AQ84">
        <f t="shared" si="3"/>
        <v>1</v>
      </c>
      <c r="AR84" t="s">
        <v>199</v>
      </c>
    </row>
    <row r="85" spans="1:44" x14ac:dyDescent="0.25">
      <c r="A85" s="1">
        <f>COUNTIF('Value Matchup'!$D$356:$D$423,PASE!B85)</f>
        <v>0</v>
      </c>
      <c r="B85" t="s">
        <v>200</v>
      </c>
      <c r="C85" s="64">
        <f t="shared" si="2"/>
        <v>-8.8235294117647065E-2</v>
      </c>
      <c r="E85" s="91" t="s">
        <v>480</v>
      </c>
      <c r="F85" s="53" t="s">
        <v>480</v>
      </c>
      <c r="G85" s="53" t="s">
        <v>480</v>
      </c>
      <c r="H85" s="53" t="s">
        <v>480</v>
      </c>
      <c r="I85" s="53" t="s">
        <v>480</v>
      </c>
      <c r="J85" s="53" t="s">
        <v>480</v>
      </c>
      <c r="K85" s="53" t="s">
        <v>480</v>
      </c>
      <c r="L85" s="53" t="s">
        <v>480</v>
      </c>
      <c r="M85" s="53" t="s">
        <v>480</v>
      </c>
      <c r="N85" s="53" t="s">
        <v>480</v>
      </c>
      <c r="O85" s="53" t="s">
        <v>480</v>
      </c>
      <c r="P85" s="53" t="s">
        <v>480</v>
      </c>
      <c r="Q85" s="53" t="s">
        <v>480</v>
      </c>
      <c r="R85" s="53" t="s">
        <v>480</v>
      </c>
      <c r="S85" s="53" t="s">
        <v>480</v>
      </c>
      <c r="T85" s="53" t="s">
        <v>480</v>
      </c>
      <c r="U85" s="53" t="s">
        <v>480</v>
      </c>
      <c r="V85" s="53" t="s">
        <v>480</v>
      </c>
      <c r="W85" s="53" t="s">
        <v>480</v>
      </c>
      <c r="X85" s="53" t="s">
        <v>480</v>
      </c>
      <c r="Y85" s="53" t="s">
        <v>480</v>
      </c>
      <c r="Z85" s="53" t="s">
        <v>480</v>
      </c>
      <c r="AA85" s="53">
        <v>-7.3529411764705881E-3</v>
      </c>
      <c r="AB85" s="53" t="s">
        <v>480</v>
      </c>
      <c r="AC85" s="53" t="s">
        <v>480</v>
      </c>
      <c r="AD85" s="53" t="s">
        <v>480</v>
      </c>
      <c r="AE85" s="53" t="s">
        <v>480</v>
      </c>
      <c r="AF85" s="53" t="s">
        <v>480</v>
      </c>
      <c r="AG85" s="53" t="s">
        <v>480</v>
      </c>
      <c r="AH85" s="53" t="s">
        <v>480</v>
      </c>
      <c r="AI85" s="53" t="s">
        <v>480</v>
      </c>
      <c r="AJ85" s="53" t="s">
        <v>480</v>
      </c>
      <c r="AK85" s="53">
        <v>-7.3529411764705881E-3</v>
      </c>
      <c r="AL85" s="53">
        <v>-0.25</v>
      </c>
      <c r="AM85" s="53" t="s">
        <v>480</v>
      </c>
      <c r="AQ85">
        <f t="shared" si="3"/>
        <v>1</v>
      </c>
      <c r="AR85" t="s">
        <v>200</v>
      </c>
    </row>
    <row r="86" spans="1:44" x14ac:dyDescent="0.25">
      <c r="A86" s="1">
        <f>COUNTIF('Value Matchup'!$D$356:$D$423,PASE!B86)</f>
        <v>0</v>
      </c>
      <c r="B86" t="s">
        <v>201</v>
      </c>
      <c r="C86" s="64">
        <f t="shared" si="2"/>
        <v>-5.7598039215686257E-2</v>
      </c>
      <c r="E86" s="91">
        <v>-0.25</v>
      </c>
      <c r="F86" s="53" t="s">
        <v>480</v>
      </c>
      <c r="G86" s="53" t="s">
        <v>480</v>
      </c>
      <c r="H86" s="53">
        <v>-7.3529411764705881E-3</v>
      </c>
      <c r="I86" s="53" t="s">
        <v>480</v>
      </c>
      <c r="J86" s="53" t="s">
        <v>480</v>
      </c>
      <c r="K86" s="53" t="s">
        <v>480</v>
      </c>
      <c r="L86" s="53" t="s">
        <v>480</v>
      </c>
      <c r="M86" s="53" t="s">
        <v>480</v>
      </c>
      <c r="N86" s="53" t="s">
        <v>480</v>
      </c>
      <c r="O86" s="53" t="s">
        <v>480</v>
      </c>
      <c r="P86" s="53" t="s">
        <v>480</v>
      </c>
      <c r="Q86" s="53" t="s">
        <v>480</v>
      </c>
      <c r="R86" s="53" t="s">
        <v>480</v>
      </c>
      <c r="S86" s="53">
        <v>-7.3529411764705881E-3</v>
      </c>
      <c r="T86" s="53" t="s">
        <v>480</v>
      </c>
      <c r="U86" s="53" t="s">
        <v>480</v>
      </c>
      <c r="V86" s="53" t="s">
        <v>480</v>
      </c>
      <c r="W86" s="53" t="s">
        <v>480</v>
      </c>
      <c r="X86" s="53" t="s">
        <v>480</v>
      </c>
      <c r="Y86" s="53" t="s">
        <v>480</v>
      </c>
      <c r="Z86" s="53">
        <v>-6.6176470588235295E-2</v>
      </c>
      <c r="AA86" s="53" t="s">
        <v>480</v>
      </c>
      <c r="AB86" s="53" t="s">
        <v>480</v>
      </c>
      <c r="AC86" s="53" t="s">
        <v>480</v>
      </c>
      <c r="AD86" s="53" t="s">
        <v>480</v>
      </c>
      <c r="AE86" s="53" t="s">
        <v>480</v>
      </c>
      <c r="AF86" s="53" t="s">
        <v>480</v>
      </c>
      <c r="AG86" s="53" t="s">
        <v>480</v>
      </c>
      <c r="AH86" s="53" t="s">
        <v>480</v>
      </c>
      <c r="AI86" s="53" t="s">
        <v>480</v>
      </c>
      <c r="AJ86" s="53">
        <v>-7.3529411764705881E-3</v>
      </c>
      <c r="AK86" s="53" t="s">
        <v>480</v>
      </c>
      <c r="AL86" s="53" t="s">
        <v>480</v>
      </c>
      <c r="AM86" s="53">
        <v>-7.3529411764705881E-3</v>
      </c>
      <c r="AQ86">
        <f t="shared" si="3"/>
        <v>1</v>
      </c>
      <c r="AR86" t="s">
        <v>201</v>
      </c>
    </row>
    <row r="87" spans="1:44" x14ac:dyDescent="0.25">
      <c r="A87" s="1">
        <f>COUNTIF('Value Matchup'!$D$356:$D$423,PASE!B87)</f>
        <v>0</v>
      </c>
      <c r="B87" t="s">
        <v>202</v>
      </c>
      <c r="C87" s="64">
        <f t="shared" si="2"/>
        <v>-7.3529411764705881E-3</v>
      </c>
      <c r="E87" s="91" t="s">
        <v>480</v>
      </c>
      <c r="F87" s="53" t="s">
        <v>480</v>
      </c>
      <c r="G87" s="53" t="s">
        <v>480</v>
      </c>
      <c r="H87" s="53" t="s">
        <v>480</v>
      </c>
      <c r="I87" s="53" t="s">
        <v>480</v>
      </c>
      <c r="J87" s="53" t="s">
        <v>480</v>
      </c>
      <c r="K87" s="53" t="s">
        <v>480</v>
      </c>
      <c r="L87" s="53" t="s">
        <v>480</v>
      </c>
      <c r="M87" s="53" t="s">
        <v>480</v>
      </c>
      <c r="N87" s="53" t="s">
        <v>480</v>
      </c>
      <c r="O87" s="53" t="s">
        <v>480</v>
      </c>
      <c r="P87" s="53" t="s">
        <v>480</v>
      </c>
      <c r="Q87" s="53" t="s">
        <v>480</v>
      </c>
      <c r="R87" s="53" t="s">
        <v>480</v>
      </c>
      <c r="S87" s="53" t="s">
        <v>480</v>
      </c>
      <c r="T87" s="53" t="s">
        <v>480</v>
      </c>
      <c r="U87" s="53" t="s">
        <v>480</v>
      </c>
      <c r="V87" s="53" t="s">
        <v>480</v>
      </c>
      <c r="W87" s="53" t="s">
        <v>480</v>
      </c>
      <c r="X87" s="53" t="s">
        <v>480</v>
      </c>
      <c r="Y87" s="53" t="s">
        <v>480</v>
      </c>
      <c r="Z87" s="53" t="s">
        <v>480</v>
      </c>
      <c r="AA87" s="53" t="s">
        <v>480</v>
      </c>
      <c r="AB87" s="53" t="s">
        <v>480</v>
      </c>
      <c r="AC87" s="53">
        <v>-7.3529411764705881E-3</v>
      </c>
      <c r="AD87" s="53" t="s">
        <v>480</v>
      </c>
      <c r="AE87" s="53" t="s">
        <v>480</v>
      </c>
      <c r="AF87" s="53" t="s">
        <v>480</v>
      </c>
      <c r="AG87" s="53" t="s">
        <v>480</v>
      </c>
      <c r="AH87" s="53" t="s">
        <v>480</v>
      </c>
      <c r="AI87" s="53" t="s">
        <v>480</v>
      </c>
      <c r="AJ87" s="53" t="s">
        <v>480</v>
      </c>
      <c r="AK87" s="53" t="s">
        <v>480</v>
      </c>
      <c r="AL87" s="53" t="s">
        <v>480</v>
      </c>
      <c r="AM87" s="53" t="s">
        <v>480</v>
      </c>
      <c r="AQ87">
        <f t="shared" si="3"/>
        <v>1</v>
      </c>
      <c r="AR87" t="s">
        <v>202</v>
      </c>
    </row>
    <row r="88" spans="1:44" x14ac:dyDescent="0.25">
      <c r="A88" s="1">
        <f>COUNTIF('Value Matchup'!$D$356:$D$423,PASE!B88)</f>
        <v>1</v>
      </c>
      <c r="B88" t="s">
        <v>81</v>
      </c>
      <c r="C88" s="64">
        <f t="shared" si="2"/>
        <v>0.34834033613445375</v>
      </c>
      <c r="E88" s="91">
        <v>0.37857142857142856</v>
      </c>
      <c r="F88" s="53">
        <v>-8.0882352941176405E-2</v>
      </c>
      <c r="G88" s="53">
        <v>1.4558823529411764</v>
      </c>
      <c r="H88" s="53" t="s">
        <v>480</v>
      </c>
      <c r="I88" s="53" t="s">
        <v>480</v>
      </c>
      <c r="J88" s="53">
        <v>0.65441176470588225</v>
      </c>
      <c r="K88" s="53">
        <v>1.1691176470588236</v>
      </c>
      <c r="L88" s="53">
        <v>2.0735294117647056</v>
      </c>
      <c r="M88" s="53">
        <v>0.63970588235294112</v>
      </c>
      <c r="N88" s="53">
        <v>-0.61764705882352944</v>
      </c>
      <c r="O88" s="53" t="s">
        <v>480</v>
      </c>
      <c r="P88" s="53" t="s">
        <v>480</v>
      </c>
      <c r="Q88" s="53" t="s">
        <v>480</v>
      </c>
      <c r="R88" s="53" t="s">
        <v>480</v>
      </c>
      <c r="S88" s="53">
        <v>-0.54411764705882359</v>
      </c>
      <c r="T88" s="53">
        <v>-1.1176470588235294</v>
      </c>
      <c r="U88" s="53">
        <v>-1.3602941176470589</v>
      </c>
      <c r="V88" s="53">
        <v>-1.1176470588235294</v>
      </c>
      <c r="W88" s="53">
        <v>-0.83088235294117641</v>
      </c>
      <c r="X88" s="53">
        <v>3.8823529411764706</v>
      </c>
      <c r="Y88" s="53">
        <v>0.91911764705882359</v>
      </c>
      <c r="Z88" s="53" t="s">
        <v>480</v>
      </c>
      <c r="AA88" s="53" t="s">
        <v>480</v>
      </c>
      <c r="AB88" s="53" t="s">
        <v>480</v>
      </c>
      <c r="AC88" s="53">
        <v>-0.61764705882352944</v>
      </c>
      <c r="AD88" s="53">
        <v>2.1691176470588234</v>
      </c>
      <c r="AE88" s="53" t="s">
        <v>480</v>
      </c>
      <c r="AF88" s="53" t="s">
        <v>480</v>
      </c>
      <c r="AG88" s="53" t="s">
        <v>480</v>
      </c>
      <c r="AH88" s="53" t="s">
        <v>480</v>
      </c>
      <c r="AI88" s="53">
        <v>-0.92647058823529416</v>
      </c>
      <c r="AJ88" s="53">
        <v>-8.0882352941176405E-2</v>
      </c>
      <c r="AK88" s="53">
        <v>0.91911764705882359</v>
      </c>
      <c r="AL88" s="53" t="s">
        <v>480</v>
      </c>
      <c r="AM88" s="53" t="s">
        <v>480</v>
      </c>
      <c r="AQ88">
        <f t="shared" si="3"/>
        <v>1</v>
      </c>
      <c r="AR88" t="s">
        <v>81</v>
      </c>
    </row>
    <row r="89" spans="1:44" x14ac:dyDescent="0.25">
      <c r="A89" s="1">
        <f>COUNTIF('Value Matchup'!$D$356:$D$423,PASE!B89)</f>
        <v>0</v>
      </c>
      <c r="B89" t="s">
        <v>203</v>
      </c>
      <c r="C89" s="64">
        <f t="shared" si="2"/>
        <v>-7.3529411764705873E-3</v>
      </c>
      <c r="E89" s="91" t="s">
        <v>480</v>
      </c>
      <c r="F89" s="53" t="s">
        <v>480</v>
      </c>
      <c r="G89" s="53" t="s">
        <v>480</v>
      </c>
      <c r="H89" s="53" t="s">
        <v>480</v>
      </c>
      <c r="I89" s="53" t="s">
        <v>480</v>
      </c>
      <c r="J89" s="53" t="s">
        <v>480</v>
      </c>
      <c r="K89" s="53" t="s">
        <v>480</v>
      </c>
      <c r="L89" s="53" t="s">
        <v>480</v>
      </c>
      <c r="M89" s="53" t="s">
        <v>480</v>
      </c>
      <c r="N89" s="53" t="s">
        <v>480</v>
      </c>
      <c r="O89" s="53" t="s">
        <v>480</v>
      </c>
      <c r="P89" s="53" t="s">
        <v>480</v>
      </c>
      <c r="Q89" s="53">
        <v>-7.3529411764705881E-3</v>
      </c>
      <c r="R89" s="53" t="s">
        <v>480</v>
      </c>
      <c r="S89" s="53" t="s">
        <v>480</v>
      </c>
      <c r="T89" s="53">
        <v>-7.3529411764705881E-3</v>
      </c>
      <c r="U89" s="53" t="s">
        <v>480</v>
      </c>
      <c r="V89" s="53" t="s">
        <v>480</v>
      </c>
      <c r="W89" s="53" t="s">
        <v>480</v>
      </c>
      <c r="X89" s="53" t="s">
        <v>480</v>
      </c>
      <c r="Y89" s="53">
        <v>-7.3529411764705881E-3</v>
      </c>
      <c r="Z89" s="53" t="s">
        <v>480</v>
      </c>
      <c r="AA89" s="53" t="s">
        <v>480</v>
      </c>
      <c r="AB89" s="53" t="s">
        <v>480</v>
      </c>
      <c r="AC89" s="53" t="s">
        <v>480</v>
      </c>
      <c r="AD89" s="53" t="s">
        <v>480</v>
      </c>
      <c r="AE89" s="53" t="s">
        <v>480</v>
      </c>
      <c r="AF89" s="53" t="s">
        <v>480</v>
      </c>
      <c r="AG89" s="53" t="s">
        <v>480</v>
      </c>
      <c r="AH89" s="53" t="s">
        <v>480</v>
      </c>
      <c r="AI89" s="53" t="s">
        <v>480</v>
      </c>
      <c r="AJ89" s="53" t="s">
        <v>480</v>
      </c>
      <c r="AK89" s="53" t="s">
        <v>480</v>
      </c>
      <c r="AL89" s="53" t="s">
        <v>480</v>
      </c>
      <c r="AM89" s="53" t="s">
        <v>480</v>
      </c>
      <c r="AQ89">
        <f t="shared" si="3"/>
        <v>1</v>
      </c>
      <c r="AR89" t="s">
        <v>203</v>
      </c>
    </row>
    <row r="90" spans="1:44" x14ac:dyDescent="0.25">
      <c r="A90" s="1">
        <f>COUNTIF('Value Matchup'!$D$356:$D$423,PASE!B90)</f>
        <v>0</v>
      </c>
      <c r="B90" t="s">
        <v>204</v>
      </c>
      <c r="C90" s="64">
        <f t="shared" si="2"/>
        <v>-6.6176470588235295E-2</v>
      </c>
      <c r="E90" s="91" t="s">
        <v>480</v>
      </c>
      <c r="F90" s="53" t="s">
        <v>480</v>
      </c>
      <c r="G90" s="53" t="s">
        <v>480</v>
      </c>
      <c r="H90" s="53" t="s">
        <v>480</v>
      </c>
      <c r="I90" s="53" t="s">
        <v>480</v>
      </c>
      <c r="J90" s="53" t="s">
        <v>480</v>
      </c>
      <c r="K90" s="53" t="s">
        <v>480</v>
      </c>
      <c r="L90" s="53" t="s">
        <v>480</v>
      </c>
      <c r="M90" s="53" t="s">
        <v>480</v>
      </c>
      <c r="N90" s="53" t="s">
        <v>480</v>
      </c>
      <c r="O90" s="53" t="s">
        <v>480</v>
      </c>
      <c r="P90" s="53" t="s">
        <v>480</v>
      </c>
      <c r="Q90" s="53" t="s">
        <v>480</v>
      </c>
      <c r="R90" s="53" t="s">
        <v>480</v>
      </c>
      <c r="S90" s="53" t="s">
        <v>480</v>
      </c>
      <c r="T90" s="53" t="s">
        <v>480</v>
      </c>
      <c r="U90" s="53" t="s">
        <v>480</v>
      </c>
      <c r="V90" s="53">
        <v>-6.6176470588235295E-2</v>
      </c>
      <c r="W90" s="53" t="s">
        <v>480</v>
      </c>
      <c r="X90" s="53" t="s">
        <v>480</v>
      </c>
      <c r="Y90" s="53" t="s">
        <v>480</v>
      </c>
      <c r="Z90" s="53" t="s">
        <v>480</v>
      </c>
      <c r="AA90" s="53" t="s">
        <v>480</v>
      </c>
      <c r="AB90" s="53" t="s">
        <v>480</v>
      </c>
      <c r="AC90" s="53" t="s">
        <v>480</v>
      </c>
      <c r="AD90" s="53" t="s">
        <v>480</v>
      </c>
      <c r="AE90" s="53" t="s">
        <v>480</v>
      </c>
      <c r="AF90" s="53" t="s">
        <v>480</v>
      </c>
      <c r="AG90" s="53" t="s">
        <v>480</v>
      </c>
      <c r="AH90" s="53" t="s">
        <v>480</v>
      </c>
      <c r="AI90" s="53" t="s">
        <v>480</v>
      </c>
      <c r="AJ90" s="53" t="s">
        <v>480</v>
      </c>
      <c r="AK90" s="53" t="s">
        <v>480</v>
      </c>
      <c r="AL90" s="53" t="s">
        <v>480</v>
      </c>
      <c r="AM90" s="53" t="s">
        <v>480</v>
      </c>
      <c r="AQ90">
        <f t="shared" si="3"/>
        <v>1</v>
      </c>
      <c r="AR90" t="s">
        <v>204</v>
      </c>
    </row>
    <row r="91" spans="1:44" x14ac:dyDescent="0.25">
      <c r="A91" s="1">
        <f>COUNTIF('Value Matchup'!$D$356:$D$423,PASE!B91)</f>
        <v>0</v>
      </c>
      <c r="B91" t="s">
        <v>205</v>
      </c>
      <c r="C91" s="64">
        <f t="shared" si="2"/>
        <v>0.58578431372549022</v>
      </c>
      <c r="E91" s="91" t="s">
        <v>480</v>
      </c>
      <c r="F91" s="53" t="s">
        <v>480</v>
      </c>
      <c r="G91" s="53">
        <v>-0.16911764705882354</v>
      </c>
      <c r="H91" s="53">
        <v>-7.3529411764705881E-3</v>
      </c>
      <c r="I91" s="53" t="s">
        <v>480</v>
      </c>
      <c r="J91" s="53" t="s">
        <v>480</v>
      </c>
      <c r="K91" s="53">
        <v>1.9338235294117647</v>
      </c>
      <c r="L91" s="53" t="s">
        <v>480</v>
      </c>
      <c r="M91" s="53" t="s">
        <v>480</v>
      </c>
      <c r="N91" s="53" t="s">
        <v>480</v>
      </c>
      <c r="O91" s="53" t="s">
        <v>480</v>
      </c>
      <c r="P91" s="53" t="s">
        <v>480</v>
      </c>
      <c r="Q91" s="53" t="s">
        <v>480</v>
      </c>
      <c r="R91" s="53" t="s">
        <v>480</v>
      </c>
      <c r="S91" s="53" t="s">
        <v>480</v>
      </c>
      <c r="T91" s="53" t="s">
        <v>480</v>
      </c>
      <c r="U91" s="53" t="s">
        <v>480</v>
      </c>
      <c r="V91" s="53" t="s">
        <v>480</v>
      </c>
      <c r="W91" s="53" t="s">
        <v>480</v>
      </c>
      <c r="X91" s="53" t="s">
        <v>480</v>
      </c>
      <c r="Y91" s="53" t="s">
        <v>480</v>
      </c>
      <c r="Z91" s="53" t="s">
        <v>480</v>
      </c>
      <c r="AA91" s="53" t="s">
        <v>480</v>
      </c>
      <c r="AB91" s="53" t="s">
        <v>480</v>
      </c>
      <c r="AC91" s="53" t="s">
        <v>480</v>
      </c>
      <c r="AD91" s="53" t="s">
        <v>480</v>
      </c>
      <c r="AE91" s="53" t="s">
        <v>480</v>
      </c>
      <c r="AF91" s="53" t="s">
        <v>480</v>
      </c>
      <c r="AG91" s="53" t="s">
        <v>480</v>
      </c>
      <c r="AH91" s="53" t="s">
        <v>480</v>
      </c>
      <c r="AI91" s="53" t="s">
        <v>480</v>
      </c>
      <c r="AJ91" s="53" t="s">
        <v>480</v>
      </c>
      <c r="AK91" s="53" t="s">
        <v>480</v>
      </c>
      <c r="AL91" s="53" t="s">
        <v>480</v>
      </c>
      <c r="AM91" s="53" t="s">
        <v>480</v>
      </c>
      <c r="AQ91">
        <f t="shared" si="3"/>
        <v>1</v>
      </c>
      <c r="AR91" t="s">
        <v>205</v>
      </c>
    </row>
    <row r="92" spans="1:44" x14ac:dyDescent="0.25">
      <c r="A92" s="1">
        <f>COUNTIF('Value Matchup'!$D$356:$D$423,PASE!B92)</f>
        <v>1</v>
      </c>
      <c r="B92" t="s">
        <v>207</v>
      </c>
      <c r="C92" s="64">
        <f t="shared" si="2"/>
        <v>5.8338720103425896E-2</v>
      </c>
      <c r="E92" s="91">
        <v>0.46428571428571419</v>
      </c>
      <c r="F92" s="53">
        <v>2.4117647058823528</v>
      </c>
      <c r="G92" s="53">
        <v>-0.83088235294117641</v>
      </c>
      <c r="H92" s="53" t="s">
        <v>480</v>
      </c>
      <c r="I92" s="53" t="s">
        <v>480</v>
      </c>
      <c r="J92" s="53" t="s">
        <v>480</v>
      </c>
      <c r="K92" s="53" t="s">
        <v>480</v>
      </c>
      <c r="L92" s="53">
        <v>-0.83088235294117641</v>
      </c>
      <c r="M92" s="53">
        <v>1.3823529411764706</v>
      </c>
      <c r="N92" s="53">
        <v>-0.58823529411764708</v>
      </c>
      <c r="O92" s="53">
        <v>-1.1176470588235294</v>
      </c>
      <c r="P92" s="53" t="s">
        <v>480</v>
      </c>
      <c r="Q92" s="53" t="s">
        <v>480</v>
      </c>
      <c r="R92" s="53" t="s">
        <v>480</v>
      </c>
      <c r="S92" s="53" t="s">
        <v>480</v>
      </c>
      <c r="T92" s="53" t="s">
        <v>480</v>
      </c>
      <c r="U92" s="53" t="s">
        <v>480</v>
      </c>
      <c r="V92" s="53" t="s">
        <v>480</v>
      </c>
      <c r="W92" s="53" t="s">
        <v>480</v>
      </c>
      <c r="X92" s="53" t="s">
        <v>480</v>
      </c>
      <c r="Y92" s="53" t="s">
        <v>480</v>
      </c>
      <c r="Z92" s="53">
        <v>0.5</v>
      </c>
      <c r="AA92" s="53" t="s">
        <v>480</v>
      </c>
      <c r="AB92" s="53" t="s">
        <v>480</v>
      </c>
      <c r="AC92" s="53" t="s">
        <v>480</v>
      </c>
      <c r="AD92" s="53" t="s">
        <v>480</v>
      </c>
      <c r="AE92" s="53">
        <v>1.1691176470588236</v>
      </c>
      <c r="AF92" s="53">
        <v>0.16911764705882359</v>
      </c>
      <c r="AG92" s="53">
        <v>7.3529411764705843E-2</v>
      </c>
      <c r="AH92" s="53" t="s">
        <v>480</v>
      </c>
      <c r="AI92" s="53">
        <v>-1.5441176470588236</v>
      </c>
      <c r="AJ92" s="53">
        <v>-0.5</v>
      </c>
      <c r="AK92" s="53" t="s">
        <v>480</v>
      </c>
      <c r="AL92" s="53" t="s">
        <v>480</v>
      </c>
      <c r="AM92" s="53" t="s">
        <v>480</v>
      </c>
      <c r="AQ92">
        <f t="shared" si="3"/>
        <v>1</v>
      </c>
      <c r="AR92" t="s">
        <v>207</v>
      </c>
    </row>
    <row r="93" spans="1:44" x14ac:dyDescent="0.25">
      <c r="A93" s="1">
        <f>COUNTIF('Value Matchup'!$D$356:$D$423,PASE!B93)</f>
        <v>0</v>
      </c>
      <c r="B93" t="s">
        <v>208</v>
      </c>
      <c r="C93" s="64">
        <f t="shared" si="2"/>
        <v>-0.16911764705882354</v>
      </c>
      <c r="E93" s="91" t="s">
        <v>480</v>
      </c>
      <c r="F93" s="53" t="s">
        <v>480</v>
      </c>
      <c r="G93" s="53" t="s">
        <v>480</v>
      </c>
      <c r="H93" s="53" t="s">
        <v>480</v>
      </c>
      <c r="I93" s="53" t="s">
        <v>480</v>
      </c>
      <c r="J93" s="53" t="s">
        <v>480</v>
      </c>
      <c r="K93" s="53" t="s">
        <v>480</v>
      </c>
      <c r="L93" s="53" t="s">
        <v>480</v>
      </c>
      <c r="M93" s="53" t="s">
        <v>480</v>
      </c>
      <c r="N93" s="53" t="s">
        <v>480</v>
      </c>
      <c r="O93" s="53" t="s">
        <v>480</v>
      </c>
      <c r="P93" s="53" t="s">
        <v>480</v>
      </c>
      <c r="Q93" s="53" t="s">
        <v>480</v>
      </c>
      <c r="R93" s="53" t="s">
        <v>480</v>
      </c>
      <c r="S93" s="53" t="s">
        <v>480</v>
      </c>
      <c r="T93" s="53" t="s">
        <v>480</v>
      </c>
      <c r="U93" s="53" t="s">
        <v>480</v>
      </c>
      <c r="V93" s="53" t="s">
        <v>480</v>
      </c>
      <c r="W93" s="53" t="s">
        <v>480</v>
      </c>
      <c r="X93" s="53" t="s">
        <v>480</v>
      </c>
      <c r="Y93" s="53" t="s">
        <v>480</v>
      </c>
      <c r="Z93" s="53" t="s">
        <v>480</v>
      </c>
      <c r="AA93" s="53" t="s">
        <v>480</v>
      </c>
      <c r="AB93" s="53" t="s">
        <v>480</v>
      </c>
      <c r="AC93" s="53" t="s">
        <v>480</v>
      </c>
      <c r="AD93" s="53" t="s">
        <v>480</v>
      </c>
      <c r="AE93" s="53" t="s">
        <v>480</v>
      </c>
      <c r="AF93" s="53">
        <v>-0.16911764705882354</v>
      </c>
      <c r="AG93" s="53" t="s">
        <v>480</v>
      </c>
      <c r="AH93" s="53" t="s">
        <v>480</v>
      </c>
      <c r="AI93" s="53" t="s">
        <v>480</v>
      </c>
      <c r="AJ93" s="53" t="s">
        <v>480</v>
      </c>
      <c r="AK93" s="53" t="s">
        <v>480</v>
      </c>
      <c r="AL93" s="53" t="s">
        <v>480</v>
      </c>
      <c r="AM93" s="53" t="s">
        <v>480</v>
      </c>
      <c r="AQ93">
        <f t="shared" si="3"/>
        <v>1</v>
      </c>
      <c r="AR93" t="s">
        <v>208</v>
      </c>
    </row>
    <row r="94" spans="1:44" x14ac:dyDescent="0.25">
      <c r="A94" s="1">
        <f>COUNTIF('Value Matchup'!$D$356:$D$423,PASE!B94)</f>
        <v>0</v>
      </c>
      <c r="B94" t="s">
        <v>209</v>
      </c>
      <c r="C94" s="64">
        <f t="shared" si="2"/>
        <v>-0.11519607843137257</v>
      </c>
      <c r="E94" s="91" t="s">
        <v>480</v>
      </c>
      <c r="F94" s="53" t="s">
        <v>480</v>
      </c>
      <c r="G94" s="53" t="s">
        <v>480</v>
      </c>
      <c r="H94" s="53">
        <v>-0.16911764705882354</v>
      </c>
      <c r="I94" s="53" t="s">
        <v>480</v>
      </c>
      <c r="J94" s="53" t="s">
        <v>480</v>
      </c>
      <c r="K94" s="53" t="s">
        <v>480</v>
      </c>
      <c r="L94" s="53" t="s">
        <v>480</v>
      </c>
      <c r="M94" s="53" t="s">
        <v>480</v>
      </c>
      <c r="N94" s="53" t="s">
        <v>480</v>
      </c>
      <c r="O94" s="53" t="s">
        <v>480</v>
      </c>
      <c r="P94" s="53" t="s">
        <v>480</v>
      </c>
      <c r="Q94" s="53" t="s">
        <v>480</v>
      </c>
      <c r="R94" s="53" t="s">
        <v>480</v>
      </c>
      <c r="S94" s="53" t="s">
        <v>480</v>
      </c>
      <c r="T94" s="53" t="s">
        <v>480</v>
      </c>
      <c r="U94" s="53" t="s">
        <v>480</v>
      </c>
      <c r="V94" s="53" t="s">
        <v>480</v>
      </c>
      <c r="W94" s="53">
        <v>0.41176470588235292</v>
      </c>
      <c r="X94" s="53">
        <v>-0.58823529411764708</v>
      </c>
      <c r="Y94" s="53" t="s">
        <v>480</v>
      </c>
      <c r="Z94" s="53" t="s">
        <v>480</v>
      </c>
      <c r="AA94" s="53" t="s">
        <v>480</v>
      </c>
      <c r="AB94" s="53" t="s">
        <v>480</v>
      </c>
      <c r="AC94" s="53" t="s">
        <v>480</v>
      </c>
      <c r="AD94" s="53" t="s">
        <v>480</v>
      </c>
      <c r="AE94" s="53" t="s">
        <v>480</v>
      </c>
      <c r="AF94" s="53" t="s">
        <v>480</v>
      </c>
      <c r="AG94" s="53" t="s">
        <v>480</v>
      </c>
      <c r="AH94" s="53" t="s">
        <v>480</v>
      </c>
      <c r="AI94" s="53" t="s">
        <v>480</v>
      </c>
      <c r="AJ94" s="53" t="s">
        <v>480</v>
      </c>
      <c r="AK94" s="53" t="s">
        <v>480</v>
      </c>
      <c r="AL94" s="53" t="s">
        <v>480</v>
      </c>
      <c r="AM94" s="53" t="s">
        <v>480</v>
      </c>
      <c r="AQ94">
        <f t="shared" si="3"/>
        <v>1</v>
      </c>
      <c r="AR94" t="s">
        <v>209</v>
      </c>
    </row>
    <row r="95" spans="1:44" x14ac:dyDescent="0.25">
      <c r="A95" s="1">
        <f>COUNTIF('Value Matchup'!$D$356:$D$423,PASE!B95)</f>
        <v>0</v>
      </c>
      <c r="B95" t="s">
        <v>210</v>
      </c>
      <c r="C95" s="64">
        <f t="shared" si="2"/>
        <v>0</v>
      </c>
      <c r="E95" s="91" t="s">
        <v>480</v>
      </c>
      <c r="F95" s="53" t="s">
        <v>480</v>
      </c>
      <c r="G95" s="53" t="s">
        <v>480</v>
      </c>
      <c r="H95" s="53" t="s">
        <v>480</v>
      </c>
      <c r="I95" s="53" t="s">
        <v>480</v>
      </c>
      <c r="J95" s="53" t="s">
        <v>480</v>
      </c>
      <c r="K95" s="53" t="s">
        <v>480</v>
      </c>
      <c r="L95" s="53" t="s">
        <v>480</v>
      </c>
      <c r="M95" s="53" t="s">
        <v>480</v>
      </c>
      <c r="N95" s="53" t="s">
        <v>480</v>
      </c>
      <c r="O95" s="53" t="s">
        <v>480</v>
      </c>
      <c r="P95" s="53" t="s">
        <v>480</v>
      </c>
      <c r="Q95" s="53" t="s">
        <v>480</v>
      </c>
      <c r="R95" s="53" t="s">
        <v>480</v>
      </c>
      <c r="S95" s="53" t="s">
        <v>480</v>
      </c>
      <c r="T95" s="53" t="s">
        <v>480</v>
      </c>
      <c r="U95" s="53" t="s">
        <v>480</v>
      </c>
      <c r="V95" s="53" t="s">
        <v>480</v>
      </c>
      <c r="W95" s="53" t="s">
        <v>480</v>
      </c>
      <c r="X95" s="53" t="s">
        <v>480</v>
      </c>
      <c r="Y95" s="53" t="s">
        <v>480</v>
      </c>
      <c r="Z95" s="53" t="s">
        <v>480</v>
      </c>
      <c r="AA95" s="53" t="s">
        <v>480</v>
      </c>
      <c r="AB95" s="53" t="s">
        <v>480</v>
      </c>
      <c r="AC95" s="53" t="s">
        <v>480</v>
      </c>
      <c r="AD95" s="53" t="s">
        <v>480</v>
      </c>
      <c r="AE95" s="53" t="s">
        <v>480</v>
      </c>
      <c r="AF95" s="53" t="s">
        <v>480</v>
      </c>
      <c r="AG95" s="53" t="s">
        <v>480</v>
      </c>
      <c r="AH95" s="53" t="s">
        <v>480</v>
      </c>
      <c r="AI95" s="53" t="s">
        <v>480</v>
      </c>
      <c r="AJ95" s="53" t="s">
        <v>480</v>
      </c>
      <c r="AK95" s="53" t="s">
        <v>480</v>
      </c>
      <c r="AL95" s="53" t="s">
        <v>480</v>
      </c>
      <c r="AM95" s="53" t="s">
        <v>480</v>
      </c>
      <c r="AQ95">
        <f t="shared" si="3"/>
        <v>1</v>
      </c>
      <c r="AR95" t="s">
        <v>210</v>
      </c>
    </row>
    <row r="96" spans="1:44" x14ac:dyDescent="0.25">
      <c r="A96" s="1">
        <f>COUNTIF('Value Matchup'!$D$356:$D$423,PASE!B96)</f>
        <v>0</v>
      </c>
      <c r="B96" t="s">
        <v>211</v>
      </c>
      <c r="C96" s="64">
        <f t="shared" si="2"/>
        <v>-7.1428571428571426E-3</v>
      </c>
      <c r="E96" s="91">
        <v>-7.1428571428571426E-3</v>
      </c>
      <c r="F96" s="53" t="s">
        <v>480</v>
      </c>
      <c r="G96" s="53" t="s">
        <v>480</v>
      </c>
      <c r="H96" s="53" t="s">
        <v>480</v>
      </c>
      <c r="I96" s="53" t="s">
        <v>480</v>
      </c>
      <c r="J96" s="53" t="s">
        <v>480</v>
      </c>
      <c r="K96" s="53" t="s">
        <v>480</v>
      </c>
      <c r="L96" s="53" t="s">
        <v>480</v>
      </c>
      <c r="M96" s="53" t="s">
        <v>480</v>
      </c>
      <c r="N96" s="53" t="s">
        <v>480</v>
      </c>
      <c r="O96" s="53" t="s">
        <v>480</v>
      </c>
      <c r="P96" s="53" t="s">
        <v>480</v>
      </c>
      <c r="Q96" s="53" t="s">
        <v>480</v>
      </c>
      <c r="R96" s="53" t="s">
        <v>480</v>
      </c>
      <c r="S96" s="53" t="s">
        <v>480</v>
      </c>
      <c r="T96" s="53" t="s">
        <v>480</v>
      </c>
      <c r="U96" s="53" t="s">
        <v>480</v>
      </c>
      <c r="V96" s="53" t="s">
        <v>480</v>
      </c>
      <c r="W96" s="53" t="s">
        <v>480</v>
      </c>
      <c r="X96" s="53" t="s">
        <v>480</v>
      </c>
      <c r="Y96" s="53" t="s">
        <v>480</v>
      </c>
      <c r="Z96" s="53" t="s">
        <v>480</v>
      </c>
      <c r="AA96" s="53" t="s">
        <v>480</v>
      </c>
      <c r="AB96" s="53" t="s">
        <v>480</v>
      </c>
      <c r="AC96" s="53" t="s">
        <v>480</v>
      </c>
      <c r="AD96" s="53" t="s">
        <v>480</v>
      </c>
      <c r="AE96" s="53" t="s">
        <v>480</v>
      </c>
      <c r="AF96" s="53" t="s">
        <v>480</v>
      </c>
      <c r="AG96" s="53" t="s">
        <v>480</v>
      </c>
      <c r="AH96" s="53" t="s">
        <v>480</v>
      </c>
      <c r="AI96" s="53" t="s">
        <v>480</v>
      </c>
      <c r="AJ96" s="53" t="s">
        <v>480</v>
      </c>
      <c r="AK96" s="53" t="s">
        <v>480</v>
      </c>
      <c r="AL96" s="53" t="s">
        <v>480</v>
      </c>
      <c r="AM96" s="53" t="s">
        <v>480</v>
      </c>
      <c r="AQ96">
        <f t="shared" si="3"/>
        <v>1</v>
      </c>
      <c r="AR96" t="s">
        <v>211</v>
      </c>
    </row>
    <row r="97" spans="1:44" x14ac:dyDescent="0.25">
      <c r="A97" s="1">
        <f>COUNTIF('Value Matchup'!$D$356:$D$423,PASE!B97)</f>
        <v>0</v>
      </c>
      <c r="B97" t="s">
        <v>212</v>
      </c>
      <c r="C97" s="64">
        <f t="shared" si="2"/>
        <v>0.45833333333333331</v>
      </c>
      <c r="E97" s="91" t="s">
        <v>480</v>
      </c>
      <c r="F97" s="53" t="s">
        <v>480</v>
      </c>
      <c r="G97" s="53" t="s">
        <v>480</v>
      </c>
      <c r="H97" s="53" t="s">
        <v>480</v>
      </c>
      <c r="I97" s="53" t="s">
        <v>480</v>
      </c>
      <c r="J97" s="53" t="s">
        <v>480</v>
      </c>
      <c r="K97" s="53" t="s">
        <v>480</v>
      </c>
      <c r="L97" s="53" t="s">
        <v>480</v>
      </c>
      <c r="M97" s="53">
        <v>0.27941176470588236</v>
      </c>
      <c r="N97" s="53" t="s">
        <v>480</v>
      </c>
      <c r="O97" s="53" t="s">
        <v>480</v>
      </c>
      <c r="P97" s="53">
        <v>-0.5</v>
      </c>
      <c r="Q97" s="53" t="s">
        <v>480</v>
      </c>
      <c r="R97" s="53">
        <v>3.375</v>
      </c>
      <c r="S97" s="53" t="s">
        <v>480</v>
      </c>
      <c r="T97" s="53" t="s">
        <v>480</v>
      </c>
      <c r="U97" s="53" t="s">
        <v>480</v>
      </c>
      <c r="V97" s="53" t="s">
        <v>480</v>
      </c>
      <c r="W97" s="53">
        <v>-0.16911764705882354</v>
      </c>
      <c r="X97" s="53" t="s">
        <v>480</v>
      </c>
      <c r="Y97" s="53">
        <v>-0.16911764705882354</v>
      </c>
      <c r="Z97" s="53" t="s">
        <v>480</v>
      </c>
      <c r="AA97" s="53" t="s">
        <v>480</v>
      </c>
      <c r="AB97" s="53" t="s">
        <v>480</v>
      </c>
      <c r="AC97" s="53" t="s">
        <v>480</v>
      </c>
      <c r="AD97" s="53" t="s">
        <v>480</v>
      </c>
      <c r="AE97" s="53" t="s">
        <v>480</v>
      </c>
      <c r="AF97" s="53" t="s">
        <v>480</v>
      </c>
      <c r="AG97" s="53" t="s">
        <v>480</v>
      </c>
      <c r="AH97" s="53" t="s">
        <v>480</v>
      </c>
      <c r="AI97" s="53">
        <v>-6.6176470588235295E-2</v>
      </c>
      <c r="AJ97" s="53" t="s">
        <v>480</v>
      </c>
      <c r="AK97" s="53" t="s">
        <v>480</v>
      </c>
      <c r="AL97" s="53" t="s">
        <v>480</v>
      </c>
      <c r="AM97" s="53" t="s">
        <v>480</v>
      </c>
      <c r="AQ97">
        <f t="shared" si="3"/>
        <v>1</v>
      </c>
      <c r="AR97" t="s">
        <v>212</v>
      </c>
    </row>
    <row r="98" spans="1:44" x14ac:dyDescent="0.25">
      <c r="A98" s="1">
        <f>COUNTIF('Value Matchup'!$D$356:$D$423,PASE!B98)</f>
        <v>0</v>
      </c>
      <c r="B98" t="s">
        <v>213</v>
      </c>
      <c r="C98" s="64">
        <f t="shared" si="2"/>
        <v>-0.15441176470588239</v>
      </c>
      <c r="E98" s="91" t="s">
        <v>480</v>
      </c>
      <c r="F98" s="53" t="s">
        <v>480</v>
      </c>
      <c r="G98" s="53" t="s">
        <v>480</v>
      </c>
      <c r="H98" s="53" t="s">
        <v>480</v>
      </c>
      <c r="I98" s="53" t="s">
        <v>480</v>
      </c>
      <c r="J98" s="53">
        <v>-0.58823529411764708</v>
      </c>
      <c r="K98" s="53" t="s">
        <v>480</v>
      </c>
      <c r="L98" s="53" t="s">
        <v>480</v>
      </c>
      <c r="M98" s="53" t="s">
        <v>480</v>
      </c>
      <c r="N98" s="53" t="s">
        <v>480</v>
      </c>
      <c r="O98" s="53" t="s">
        <v>480</v>
      </c>
      <c r="P98" s="53" t="s">
        <v>480</v>
      </c>
      <c r="Q98" s="53">
        <v>-0.625</v>
      </c>
      <c r="R98" s="53">
        <v>0.27941176470588236</v>
      </c>
      <c r="S98" s="53">
        <v>-0.5</v>
      </c>
      <c r="T98" s="53" t="s">
        <v>480</v>
      </c>
      <c r="U98" s="53" t="s">
        <v>480</v>
      </c>
      <c r="V98" s="53" t="s">
        <v>480</v>
      </c>
      <c r="W98" s="53" t="s">
        <v>480</v>
      </c>
      <c r="X98" s="53" t="s">
        <v>480</v>
      </c>
      <c r="Y98" s="53">
        <v>-0.625</v>
      </c>
      <c r="Z98" s="53">
        <v>-0.58823529411764708</v>
      </c>
      <c r="AA98" s="53" t="s">
        <v>480</v>
      </c>
      <c r="AB98" s="53">
        <v>-0.625</v>
      </c>
      <c r="AC98" s="53" t="s">
        <v>480</v>
      </c>
      <c r="AD98" s="53">
        <v>0.38235294117647056</v>
      </c>
      <c r="AE98" s="53">
        <v>1.5</v>
      </c>
      <c r="AF98" s="53" t="s">
        <v>480</v>
      </c>
      <c r="AG98" s="53" t="s">
        <v>480</v>
      </c>
      <c r="AH98" s="53" t="s">
        <v>480</v>
      </c>
      <c r="AI98" s="53" t="s">
        <v>480</v>
      </c>
      <c r="AJ98" s="53" t="s">
        <v>480</v>
      </c>
      <c r="AK98" s="53" t="s">
        <v>480</v>
      </c>
      <c r="AL98" s="53" t="s">
        <v>480</v>
      </c>
      <c r="AM98" s="53" t="s">
        <v>480</v>
      </c>
      <c r="AQ98">
        <f t="shared" si="3"/>
        <v>1</v>
      </c>
      <c r="AR98" t="s">
        <v>213</v>
      </c>
    </row>
    <row r="99" spans="1:44" x14ac:dyDescent="0.25">
      <c r="A99" s="1">
        <f>COUNTIF('Value Matchup'!$D$356:$D$423,PASE!B99)</f>
        <v>1</v>
      </c>
      <c r="B99" t="s">
        <v>66</v>
      </c>
      <c r="C99" s="64">
        <f t="shared" si="2"/>
        <v>-0.1186974789915967</v>
      </c>
      <c r="E99" s="91" t="s">
        <v>480</v>
      </c>
      <c r="F99" s="53" t="s">
        <v>480</v>
      </c>
      <c r="G99" s="53" t="s">
        <v>480</v>
      </c>
      <c r="H99" s="53" t="s">
        <v>480</v>
      </c>
      <c r="I99" s="53">
        <v>-0.54411764705882359</v>
      </c>
      <c r="J99" s="53" t="s">
        <v>480</v>
      </c>
      <c r="K99" s="53">
        <v>-2.3602941176470589</v>
      </c>
      <c r="L99" s="53">
        <v>-0.83088235294117641</v>
      </c>
      <c r="M99" s="53">
        <v>-1.0808823529411764</v>
      </c>
      <c r="N99" s="53">
        <v>-1.8308823529411764</v>
      </c>
      <c r="O99" s="53" t="s">
        <v>480</v>
      </c>
      <c r="P99" s="53">
        <v>-1.3602941176470589</v>
      </c>
      <c r="Q99" s="53">
        <v>1.6397058823529411</v>
      </c>
      <c r="R99" s="53">
        <v>1.0735294117647058</v>
      </c>
      <c r="S99" s="53" t="s">
        <v>480</v>
      </c>
      <c r="T99" s="53" t="s">
        <v>480</v>
      </c>
      <c r="U99" s="53" t="s">
        <v>480</v>
      </c>
      <c r="V99" s="53" t="s">
        <v>480</v>
      </c>
      <c r="W99" s="53">
        <v>1.3823529411764706</v>
      </c>
      <c r="X99" s="53" t="s">
        <v>480</v>
      </c>
      <c r="Y99" s="53" t="s">
        <v>480</v>
      </c>
      <c r="Z99" s="53" t="s">
        <v>480</v>
      </c>
      <c r="AA99" s="53">
        <v>-0.61764705882352944</v>
      </c>
      <c r="AB99" s="53">
        <v>0.63970588235294112</v>
      </c>
      <c r="AC99" s="53">
        <v>0.91911764705882359</v>
      </c>
      <c r="AD99" s="53">
        <v>0.41176470588235292</v>
      </c>
      <c r="AE99" s="53" t="s">
        <v>480</v>
      </c>
      <c r="AF99" s="53">
        <v>-8.0882352941176405E-2</v>
      </c>
      <c r="AG99" s="53">
        <v>0.27941176470588236</v>
      </c>
      <c r="AH99" s="53">
        <v>-0.83088235294117641</v>
      </c>
      <c r="AI99" s="53">
        <v>-0.34558823529411775</v>
      </c>
      <c r="AJ99" s="53">
        <v>0.27941176470588236</v>
      </c>
      <c r="AK99" s="53">
        <v>-0.34558823529411775</v>
      </c>
      <c r="AL99" s="53">
        <v>-0.54411764705882359</v>
      </c>
      <c r="AM99" s="53">
        <v>1.6544117647058822</v>
      </c>
      <c r="AQ99">
        <f t="shared" si="3"/>
        <v>1</v>
      </c>
      <c r="AR99" t="s">
        <v>66</v>
      </c>
    </row>
    <row r="100" spans="1:44" x14ac:dyDescent="0.25">
      <c r="A100" s="1">
        <f>COUNTIF('Value Matchup'!$D$356:$D$423,PASE!B100)</f>
        <v>0</v>
      </c>
      <c r="B100" t="s">
        <v>60</v>
      </c>
      <c r="C100" s="64">
        <f t="shared" si="2"/>
        <v>-0.53275401069518724</v>
      </c>
      <c r="E100" s="91" t="s">
        <v>480</v>
      </c>
      <c r="F100" s="53" t="s">
        <v>480</v>
      </c>
      <c r="G100" s="53" t="s">
        <v>480</v>
      </c>
      <c r="H100" s="53" t="s">
        <v>480</v>
      </c>
      <c r="I100" s="53">
        <v>-0.61764705882352944</v>
      </c>
      <c r="J100" s="53" t="s">
        <v>480</v>
      </c>
      <c r="K100" s="53" t="s">
        <v>480</v>
      </c>
      <c r="L100" s="53" t="s">
        <v>480</v>
      </c>
      <c r="M100" s="53">
        <v>-0.61764705882352944</v>
      </c>
      <c r="N100" s="53" t="s">
        <v>480</v>
      </c>
      <c r="O100" s="53" t="s">
        <v>480</v>
      </c>
      <c r="P100" s="53">
        <v>-0.16911764705882354</v>
      </c>
      <c r="Q100" s="53" t="s">
        <v>480</v>
      </c>
      <c r="R100" s="53" t="s">
        <v>480</v>
      </c>
      <c r="S100" s="53" t="s">
        <v>480</v>
      </c>
      <c r="T100" s="53" t="s">
        <v>480</v>
      </c>
      <c r="U100" s="53" t="s">
        <v>480</v>
      </c>
      <c r="V100" s="53">
        <v>-0.83088235294117641</v>
      </c>
      <c r="W100" s="53">
        <v>-0.72058823529411764</v>
      </c>
      <c r="X100" s="53" t="s">
        <v>480</v>
      </c>
      <c r="Y100" s="53" t="s">
        <v>480</v>
      </c>
      <c r="Z100" s="53" t="s">
        <v>480</v>
      </c>
      <c r="AA100" s="53">
        <v>-1.8308823529411764</v>
      </c>
      <c r="AB100" s="53">
        <v>1.2794117647058822</v>
      </c>
      <c r="AC100" s="53" t="s">
        <v>480</v>
      </c>
      <c r="AD100" s="53" t="s">
        <v>480</v>
      </c>
      <c r="AE100" s="53" t="s">
        <v>480</v>
      </c>
      <c r="AF100" s="53" t="s">
        <v>480</v>
      </c>
      <c r="AG100" s="53">
        <v>-0.625</v>
      </c>
      <c r="AH100" s="53">
        <v>-0.92647058823529416</v>
      </c>
      <c r="AI100" s="53" t="s">
        <v>480</v>
      </c>
      <c r="AJ100" s="53" t="s">
        <v>480</v>
      </c>
      <c r="AK100" s="53">
        <v>-0.72058823529411764</v>
      </c>
      <c r="AL100" s="53" t="s">
        <v>480</v>
      </c>
      <c r="AM100" s="53">
        <v>-8.0882352941176405E-2</v>
      </c>
      <c r="AQ100">
        <f t="shared" si="3"/>
        <v>1</v>
      </c>
      <c r="AR100" t="s">
        <v>60</v>
      </c>
    </row>
    <row r="101" spans="1:44" x14ac:dyDescent="0.25">
      <c r="A101" s="1">
        <f>COUNTIF('Value Matchup'!$D$356:$D$423,PASE!B101)</f>
        <v>0</v>
      </c>
      <c r="B101" t="s">
        <v>214</v>
      </c>
      <c r="C101" s="64">
        <f t="shared" si="2"/>
        <v>-6.6176470588235295E-2</v>
      </c>
      <c r="E101" s="91" t="s">
        <v>480</v>
      </c>
      <c r="F101" s="53" t="s">
        <v>480</v>
      </c>
      <c r="G101" s="53" t="s">
        <v>480</v>
      </c>
      <c r="H101" s="53" t="s">
        <v>480</v>
      </c>
      <c r="I101" s="53" t="s">
        <v>480</v>
      </c>
      <c r="J101" s="53" t="s">
        <v>480</v>
      </c>
      <c r="K101" s="53" t="s">
        <v>480</v>
      </c>
      <c r="L101" s="53" t="s">
        <v>480</v>
      </c>
      <c r="M101" s="53" t="s">
        <v>480</v>
      </c>
      <c r="N101" s="53" t="s">
        <v>480</v>
      </c>
      <c r="O101" s="53" t="s">
        <v>480</v>
      </c>
      <c r="P101" s="53" t="s">
        <v>480</v>
      </c>
      <c r="Q101" s="53" t="s">
        <v>480</v>
      </c>
      <c r="R101" s="53" t="s">
        <v>480</v>
      </c>
      <c r="S101" s="53" t="s">
        <v>480</v>
      </c>
      <c r="T101" s="53" t="s">
        <v>480</v>
      </c>
      <c r="U101" s="53" t="s">
        <v>480</v>
      </c>
      <c r="V101" s="53" t="s">
        <v>480</v>
      </c>
      <c r="W101" s="53" t="s">
        <v>480</v>
      </c>
      <c r="X101" s="53" t="s">
        <v>480</v>
      </c>
      <c r="Y101" s="53" t="s">
        <v>480</v>
      </c>
      <c r="Z101" s="53" t="s">
        <v>480</v>
      </c>
      <c r="AA101" s="53" t="s">
        <v>480</v>
      </c>
      <c r="AB101" s="53" t="s">
        <v>480</v>
      </c>
      <c r="AC101" s="53" t="s">
        <v>480</v>
      </c>
      <c r="AD101" s="53" t="s">
        <v>480</v>
      </c>
      <c r="AE101" s="53" t="s">
        <v>480</v>
      </c>
      <c r="AF101" s="53">
        <v>-6.6176470588235295E-2</v>
      </c>
      <c r="AG101" s="53" t="s">
        <v>480</v>
      </c>
      <c r="AH101" s="53" t="s">
        <v>480</v>
      </c>
      <c r="AI101" s="53" t="s">
        <v>480</v>
      </c>
      <c r="AJ101" s="53" t="s">
        <v>480</v>
      </c>
      <c r="AK101" s="53">
        <v>-6.6176470588235295E-2</v>
      </c>
      <c r="AL101" s="53" t="s">
        <v>480</v>
      </c>
      <c r="AM101" s="53" t="s">
        <v>480</v>
      </c>
      <c r="AQ101">
        <f t="shared" si="3"/>
        <v>1</v>
      </c>
      <c r="AR101" t="s">
        <v>214</v>
      </c>
    </row>
    <row r="102" spans="1:44" x14ac:dyDescent="0.25">
      <c r="A102" s="1">
        <f>COUNTIF('Value Matchup'!$D$356:$D$423,PASE!B102)</f>
        <v>0</v>
      </c>
      <c r="B102" t="s">
        <v>215</v>
      </c>
      <c r="C102" s="64">
        <f t="shared" si="2"/>
        <v>0.19361344537815123</v>
      </c>
      <c r="E102" s="91">
        <v>-0.16428571428571428</v>
      </c>
      <c r="F102" s="53">
        <v>-6.6176470588235295E-2</v>
      </c>
      <c r="G102" s="53" t="s">
        <v>480</v>
      </c>
      <c r="H102" s="53" t="s">
        <v>480</v>
      </c>
      <c r="I102" s="53">
        <v>0.83088235294117641</v>
      </c>
      <c r="J102" s="53" t="s">
        <v>480</v>
      </c>
      <c r="K102" s="53" t="s">
        <v>480</v>
      </c>
      <c r="L102" s="53" t="s">
        <v>480</v>
      </c>
      <c r="M102" s="53" t="s">
        <v>480</v>
      </c>
      <c r="N102" s="53" t="s">
        <v>480</v>
      </c>
      <c r="O102" s="53" t="s">
        <v>480</v>
      </c>
      <c r="P102" s="53" t="s">
        <v>480</v>
      </c>
      <c r="Q102" s="53" t="s">
        <v>480</v>
      </c>
      <c r="R102" s="53" t="s">
        <v>480</v>
      </c>
      <c r="S102" s="53" t="s">
        <v>480</v>
      </c>
      <c r="T102" s="53" t="s">
        <v>480</v>
      </c>
      <c r="U102" s="53" t="s">
        <v>480</v>
      </c>
      <c r="V102" s="53" t="s">
        <v>480</v>
      </c>
      <c r="W102" s="53">
        <v>0.375</v>
      </c>
      <c r="X102" s="53" t="s">
        <v>480</v>
      </c>
      <c r="Y102" s="53" t="s">
        <v>480</v>
      </c>
      <c r="Z102" s="53" t="s">
        <v>480</v>
      </c>
      <c r="AA102" s="53" t="s">
        <v>480</v>
      </c>
      <c r="AB102" s="53" t="s">
        <v>480</v>
      </c>
      <c r="AC102" s="53" t="s">
        <v>480</v>
      </c>
      <c r="AD102" s="53" t="s">
        <v>480</v>
      </c>
      <c r="AE102" s="53" t="s">
        <v>480</v>
      </c>
      <c r="AF102" s="53" t="s">
        <v>480</v>
      </c>
      <c r="AG102" s="53">
        <v>-7.3529411764705881E-3</v>
      </c>
      <c r="AH102" s="53" t="s">
        <v>480</v>
      </c>
      <c r="AI102" s="53" t="s">
        <v>480</v>
      </c>
      <c r="AJ102" s="53" t="s">
        <v>480</v>
      </c>
      <c r="AK102" s="53" t="s">
        <v>480</v>
      </c>
      <c r="AL102" s="53" t="s">
        <v>480</v>
      </c>
      <c r="AM102" s="53" t="s">
        <v>480</v>
      </c>
      <c r="AQ102">
        <f t="shared" si="3"/>
        <v>1</v>
      </c>
      <c r="AR102" t="s">
        <v>215</v>
      </c>
    </row>
    <row r="103" spans="1:44" x14ac:dyDescent="0.25">
      <c r="A103" s="1">
        <f>COUNTIF('Value Matchup'!$D$356:$D$423,PASE!B103)</f>
        <v>1</v>
      </c>
      <c r="B103" t="s">
        <v>216</v>
      </c>
      <c r="C103" s="64">
        <f t="shared" si="2"/>
        <v>0.17892156862745096</v>
      </c>
      <c r="E103" s="91" t="s">
        <v>480</v>
      </c>
      <c r="F103" s="53" t="s">
        <v>480</v>
      </c>
      <c r="G103" s="53" t="s">
        <v>480</v>
      </c>
      <c r="H103" s="53" t="s">
        <v>480</v>
      </c>
      <c r="I103" s="53" t="s">
        <v>480</v>
      </c>
      <c r="J103" s="53" t="s">
        <v>480</v>
      </c>
      <c r="K103" s="53" t="s">
        <v>480</v>
      </c>
      <c r="L103" s="53" t="s">
        <v>480</v>
      </c>
      <c r="M103" s="53" t="s">
        <v>480</v>
      </c>
      <c r="N103" s="53">
        <v>0.38235294117647056</v>
      </c>
      <c r="O103" s="53" t="s">
        <v>480</v>
      </c>
      <c r="P103" s="53" t="s">
        <v>480</v>
      </c>
      <c r="Q103" s="53">
        <v>-0.61764705882352944</v>
      </c>
      <c r="R103" s="53" t="s">
        <v>480</v>
      </c>
      <c r="S103" s="53">
        <v>-0.11764705882352944</v>
      </c>
      <c r="T103" s="53">
        <v>3.1691176470588234</v>
      </c>
      <c r="U103" s="53" t="s">
        <v>480</v>
      </c>
      <c r="V103" s="53" t="s">
        <v>480</v>
      </c>
      <c r="W103" s="53">
        <v>-0.72058823529411764</v>
      </c>
      <c r="X103" s="53" t="s">
        <v>480</v>
      </c>
      <c r="Y103" s="53" t="s">
        <v>480</v>
      </c>
      <c r="Z103" s="53" t="s">
        <v>480</v>
      </c>
      <c r="AA103" s="53" t="s">
        <v>480</v>
      </c>
      <c r="AB103" s="53">
        <v>0.16911764705882359</v>
      </c>
      <c r="AC103" s="53" t="s">
        <v>480</v>
      </c>
      <c r="AD103" s="53" t="s">
        <v>480</v>
      </c>
      <c r="AE103" s="53">
        <v>-1.5441176470588236</v>
      </c>
      <c r="AF103" s="53">
        <v>1.0735294117647058</v>
      </c>
      <c r="AG103" s="53">
        <v>0.27941176470588236</v>
      </c>
      <c r="AH103" s="53">
        <v>2.4558823529411766</v>
      </c>
      <c r="AI103" s="53">
        <v>-1.0808823529411764</v>
      </c>
      <c r="AJ103" s="53">
        <v>-0.11764705882352944</v>
      </c>
      <c r="AK103" s="53">
        <v>-0.92647058823529416</v>
      </c>
      <c r="AL103" s="53">
        <v>-0.36029411764705888</v>
      </c>
      <c r="AM103" s="53">
        <v>0.63970588235294112</v>
      </c>
      <c r="AQ103">
        <f t="shared" si="3"/>
        <v>1</v>
      </c>
      <c r="AR103" t="s">
        <v>216</v>
      </c>
    </row>
    <row r="104" spans="1:44" x14ac:dyDescent="0.25">
      <c r="A104" s="1">
        <f>COUNTIF('Value Matchup'!$D$356:$D$423,PASE!B104)</f>
        <v>1</v>
      </c>
      <c r="B104" t="s">
        <v>71</v>
      </c>
      <c r="C104" s="64">
        <f t="shared" si="2"/>
        <v>0.1705882352941176</v>
      </c>
      <c r="E104" s="91">
        <v>-0.35000000000000009</v>
      </c>
      <c r="F104" s="53">
        <v>0.45588235294117641</v>
      </c>
      <c r="G104" s="53">
        <v>1.6544117647058822</v>
      </c>
      <c r="H104" s="53">
        <v>1.375</v>
      </c>
      <c r="I104" s="53">
        <v>0.63970588235294112</v>
      </c>
      <c r="J104" s="53">
        <v>0.27941176470588236</v>
      </c>
      <c r="K104" s="53">
        <v>-2.3455882352941178</v>
      </c>
      <c r="L104" s="53">
        <v>7.3529411764705843E-2</v>
      </c>
      <c r="M104" s="53">
        <v>0.375</v>
      </c>
      <c r="N104" s="53">
        <v>0.27941176470588236</v>
      </c>
      <c r="O104" s="53">
        <v>0.45588235294117641</v>
      </c>
      <c r="P104" s="53">
        <v>-0.92647058823529416</v>
      </c>
      <c r="Q104" s="53">
        <v>-0.61764705882352944</v>
      </c>
      <c r="R104" s="53">
        <v>0.16911764705882359</v>
      </c>
      <c r="S104" s="53">
        <v>-0.83088235294117641</v>
      </c>
      <c r="T104" s="53">
        <v>-1.3602941176470589</v>
      </c>
      <c r="U104" s="53">
        <v>0.41176470588235292</v>
      </c>
      <c r="V104" s="53">
        <v>-1.0808823529411764</v>
      </c>
      <c r="W104" s="53">
        <v>1.5</v>
      </c>
      <c r="X104" s="53">
        <v>1.3823529411764706</v>
      </c>
      <c r="Y104" s="53">
        <v>2.3823529411764706</v>
      </c>
      <c r="Z104" s="53" t="s">
        <v>480</v>
      </c>
      <c r="AA104" s="53" t="s">
        <v>480</v>
      </c>
      <c r="AB104" s="53" t="s">
        <v>480</v>
      </c>
      <c r="AC104" s="53">
        <v>-0.16911764705882354</v>
      </c>
      <c r="AD104" s="53" t="s">
        <v>480</v>
      </c>
      <c r="AE104" s="53" t="s">
        <v>480</v>
      </c>
      <c r="AF104" s="53" t="s">
        <v>480</v>
      </c>
      <c r="AG104" s="53" t="s">
        <v>480</v>
      </c>
      <c r="AH104" s="53" t="s">
        <v>480</v>
      </c>
      <c r="AI104" s="53" t="s">
        <v>480</v>
      </c>
      <c r="AJ104" s="53" t="s">
        <v>480</v>
      </c>
      <c r="AK104" s="53" t="s">
        <v>480</v>
      </c>
      <c r="AL104" s="53" t="s">
        <v>480</v>
      </c>
      <c r="AM104" s="53" t="s">
        <v>480</v>
      </c>
      <c r="AQ104">
        <f t="shared" si="3"/>
        <v>1</v>
      </c>
      <c r="AR104" t="s">
        <v>71</v>
      </c>
    </row>
    <row r="105" spans="1:44" x14ac:dyDescent="0.25">
      <c r="A105" s="1">
        <f>COUNTIF('Value Matchup'!$D$356:$D$423,PASE!B105)</f>
        <v>0</v>
      </c>
      <c r="B105" t="s">
        <v>217</v>
      </c>
      <c r="C105" s="64">
        <f t="shared" si="2"/>
        <v>0</v>
      </c>
      <c r="E105" s="91" t="s">
        <v>480</v>
      </c>
      <c r="F105" s="53" t="s">
        <v>480</v>
      </c>
      <c r="G105" s="53" t="s">
        <v>480</v>
      </c>
      <c r="H105" s="53" t="s">
        <v>480</v>
      </c>
      <c r="I105" s="53" t="s">
        <v>480</v>
      </c>
      <c r="J105" s="53" t="s">
        <v>480</v>
      </c>
      <c r="K105" s="53" t="s">
        <v>480</v>
      </c>
      <c r="L105" s="53" t="s">
        <v>480</v>
      </c>
      <c r="M105" s="53" t="s">
        <v>480</v>
      </c>
      <c r="N105" s="53" t="s">
        <v>480</v>
      </c>
      <c r="O105" s="53" t="s">
        <v>480</v>
      </c>
      <c r="P105" s="53" t="s">
        <v>480</v>
      </c>
      <c r="Q105" s="53" t="s">
        <v>480</v>
      </c>
      <c r="R105" s="53" t="s">
        <v>480</v>
      </c>
      <c r="S105" s="53" t="s">
        <v>480</v>
      </c>
      <c r="T105" s="53" t="s">
        <v>480</v>
      </c>
      <c r="U105" s="53" t="s">
        <v>480</v>
      </c>
      <c r="V105" s="53" t="s">
        <v>480</v>
      </c>
      <c r="W105" s="53" t="s">
        <v>480</v>
      </c>
      <c r="X105" s="53" t="s">
        <v>480</v>
      </c>
      <c r="Y105" s="53" t="s">
        <v>480</v>
      </c>
      <c r="Z105" s="53" t="s">
        <v>480</v>
      </c>
      <c r="AA105" s="53" t="s">
        <v>480</v>
      </c>
      <c r="AB105" s="53" t="s">
        <v>480</v>
      </c>
      <c r="AC105" s="53" t="s">
        <v>480</v>
      </c>
      <c r="AD105" s="53" t="s">
        <v>480</v>
      </c>
      <c r="AE105" s="53" t="s">
        <v>480</v>
      </c>
      <c r="AF105" s="53" t="s">
        <v>480</v>
      </c>
      <c r="AG105" s="53" t="s">
        <v>480</v>
      </c>
      <c r="AH105" s="53" t="s">
        <v>480</v>
      </c>
      <c r="AI105" s="53" t="s">
        <v>480</v>
      </c>
      <c r="AJ105" s="53" t="s">
        <v>480</v>
      </c>
      <c r="AK105" s="53" t="s">
        <v>480</v>
      </c>
      <c r="AL105" s="53" t="s">
        <v>480</v>
      </c>
      <c r="AM105" s="53" t="s">
        <v>480</v>
      </c>
      <c r="AQ105">
        <f t="shared" si="3"/>
        <v>1</v>
      </c>
      <c r="AR105" t="s">
        <v>217</v>
      </c>
    </row>
    <row r="106" spans="1:44" x14ac:dyDescent="0.25">
      <c r="A106" s="1">
        <f>COUNTIF('Value Matchup'!$D$356:$D$423,PASE!B106)</f>
        <v>1</v>
      </c>
      <c r="B106" t="s">
        <v>218</v>
      </c>
      <c r="C106" s="64">
        <f t="shared" si="2"/>
        <v>0</v>
      </c>
      <c r="E106" s="91" t="s">
        <v>480</v>
      </c>
      <c r="F106" s="53" t="s">
        <v>480</v>
      </c>
      <c r="G106" s="53" t="s">
        <v>480</v>
      </c>
      <c r="H106" s="53" t="s">
        <v>480</v>
      </c>
      <c r="I106" s="53" t="s">
        <v>480</v>
      </c>
      <c r="J106" s="53" t="s">
        <v>480</v>
      </c>
      <c r="K106" s="53" t="s">
        <v>480</v>
      </c>
      <c r="L106" s="53" t="s">
        <v>480</v>
      </c>
      <c r="M106" s="53" t="s">
        <v>480</v>
      </c>
      <c r="N106" s="53" t="s">
        <v>480</v>
      </c>
      <c r="O106" s="53" t="s">
        <v>480</v>
      </c>
      <c r="P106" s="53" t="s">
        <v>480</v>
      </c>
      <c r="Q106" s="53" t="s">
        <v>480</v>
      </c>
      <c r="R106" s="53" t="s">
        <v>480</v>
      </c>
      <c r="S106" s="53" t="s">
        <v>480</v>
      </c>
      <c r="T106" s="53" t="s">
        <v>480</v>
      </c>
      <c r="U106" s="53" t="s">
        <v>480</v>
      </c>
      <c r="V106" s="53" t="s">
        <v>480</v>
      </c>
      <c r="W106" s="53" t="s">
        <v>480</v>
      </c>
      <c r="X106" s="53" t="s">
        <v>480</v>
      </c>
      <c r="Y106" s="53" t="s">
        <v>480</v>
      </c>
      <c r="Z106" s="53" t="s">
        <v>480</v>
      </c>
      <c r="AA106" s="53" t="s">
        <v>480</v>
      </c>
      <c r="AB106" s="53" t="s">
        <v>480</v>
      </c>
      <c r="AC106" s="53" t="s">
        <v>480</v>
      </c>
      <c r="AD106" s="53" t="s">
        <v>480</v>
      </c>
      <c r="AE106" s="53" t="s">
        <v>480</v>
      </c>
      <c r="AF106" s="53" t="s">
        <v>480</v>
      </c>
      <c r="AG106" s="53" t="s">
        <v>480</v>
      </c>
      <c r="AH106" s="53" t="s">
        <v>480</v>
      </c>
      <c r="AI106" s="53" t="s">
        <v>480</v>
      </c>
      <c r="AJ106" s="53" t="s">
        <v>480</v>
      </c>
      <c r="AK106" s="53" t="s">
        <v>480</v>
      </c>
      <c r="AL106" s="53" t="s">
        <v>480</v>
      </c>
      <c r="AM106" s="53" t="s">
        <v>480</v>
      </c>
      <c r="AQ106">
        <f t="shared" si="3"/>
        <v>1</v>
      </c>
      <c r="AR106" t="s">
        <v>218</v>
      </c>
    </row>
    <row r="107" spans="1:44" x14ac:dyDescent="0.25">
      <c r="A107" s="1">
        <f>COUNTIF('Value Matchup'!$D$356:$D$423,PASE!B107)</f>
        <v>0</v>
      </c>
      <c r="B107" t="s">
        <v>219</v>
      </c>
      <c r="C107" s="64">
        <f t="shared" si="2"/>
        <v>-0.21176470588235294</v>
      </c>
      <c r="E107" s="91" t="s">
        <v>480</v>
      </c>
      <c r="F107" s="53" t="s">
        <v>480</v>
      </c>
      <c r="G107" s="53" t="s">
        <v>480</v>
      </c>
      <c r="H107" s="53">
        <v>-0.16911764705882354</v>
      </c>
      <c r="I107" s="53" t="s">
        <v>480</v>
      </c>
      <c r="J107" s="53" t="s">
        <v>480</v>
      </c>
      <c r="K107" s="53" t="s">
        <v>480</v>
      </c>
      <c r="L107" s="53" t="s">
        <v>480</v>
      </c>
      <c r="M107" s="53" t="s">
        <v>480</v>
      </c>
      <c r="N107" s="53" t="s">
        <v>480</v>
      </c>
      <c r="O107" s="53" t="s">
        <v>480</v>
      </c>
      <c r="P107" s="53" t="s">
        <v>480</v>
      </c>
      <c r="Q107" s="53" t="s">
        <v>480</v>
      </c>
      <c r="R107" s="53" t="s">
        <v>480</v>
      </c>
      <c r="S107" s="53" t="s">
        <v>480</v>
      </c>
      <c r="T107" s="53" t="s">
        <v>480</v>
      </c>
      <c r="U107" s="53" t="s">
        <v>480</v>
      </c>
      <c r="V107" s="53" t="s">
        <v>480</v>
      </c>
      <c r="W107" s="53" t="s">
        <v>480</v>
      </c>
      <c r="X107" s="53" t="s">
        <v>480</v>
      </c>
      <c r="Y107" s="53" t="s">
        <v>480</v>
      </c>
      <c r="Z107" s="53" t="s">
        <v>480</v>
      </c>
      <c r="AA107" s="53" t="s">
        <v>480</v>
      </c>
      <c r="AB107" s="53">
        <v>-0.72058823529411764</v>
      </c>
      <c r="AC107" s="53">
        <v>-0.16911764705882354</v>
      </c>
      <c r="AD107" s="53">
        <v>0.5</v>
      </c>
      <c r="AE107" s="53" t="s">
        <v>480</v>
      </c>
      <c r="AF107" s="53" t="s">
        <v>480</v>
      </c>
      <c r="AG107" s="53">
        <v>-0.5</v>
      </c>
      <c r="AH107" s="53" t="s">
        <v>480</v>
      </c>
      <c r="AI107" s="53" t="s">
        <v>480</v>
      </c>
      <c r="AJ107" s="53" t="s">
        <v>480</v>
      </c>
      <c r="AK107" s="53" t="s">
        <v>480</v>
      </c>
      <c r="AL107" s="53" t="s">
        <v>480</v>
      </c>
      <c r="AM107" s="53" t="s">
        <v>480</v>
      </c>
      <c r="AQ107">
        <f t="shared" si="3"/>
        <v>1</v>
      </c>
      <c r="AR107" t="s">
        <v>219</v>
      </c>
    </row>
    <row r="108" spans="1:44" x14ac:dyDescent="0.25">
      <c r="A108" s="1">
        <f>COUNTIF('Value Matchup'!$D$356:$D$423,PASE!B108)</f>
        <v>0</v>
      </c>
      <c r="B108" t="s">
        <v>27</v>
      </c>
      <c r="C108" s="64">
        <f t="shared" si="2"/>
        <v>0.13970588235294118</v>
      </c>
      <c r="E108" s="91" t="s">
        <v>480</v>
      </c>
      <c r="F108" s="53" t="s">
        <v>480</v>
      </c>
      <c r="G108" s="53" t="s">
        <v>480</v>
      </c>
      <c r="H108" s="53">
        <v>-7.3529411764705881E-3</v>
      </c>
      <c r="I108" s="53">
        <v>-7.3529411764705881E-3</v>
      </c>
      <c r="J108" s="53" t="s">
        <v>480</v>
      </c>
      <c r="K108" s="53" t="s">
        <v>480</v>
      </c>
      <c r="L108" s="53" t="s">
        <v>480</v>
      </c>
      <c r="M108" s="53">
        <v>-7.3529411764705881E-3</v>
      </c>
      <c r="N108" s="53" t="s">
        <v>480</v>
      </c>
      <c r="O108" s="53" t="s">
        <v>480</v>
      </c>
      <c r="P108" s="53" t="s">
        <v>480</v>
      </c>
      <c r="Q108" s="53" t="s">
        <v>480</v>
      </c>
      <c r="R108" s="53">
        <v>-7.3529411764705881E-3</v>
      </c>
      <c r="S108" s="53" t="s">
        <v>480</v>
      </c>
      <c r="T108" s="53" t="s">
        <v>480</v>
      </c>
      <c r="U108" s="53" t="s">
        <v>480</v>
      </c>
      <c r="V108" s="53">
        <v>-6.6176470588235295E-2</v>
      </c>
      <c r="W108" s="53">
        <v>0.93382352941176472</v>
      </c>
      <c r="X108" s="53" t="s">
        <v>480</v>
      </c>
      <c r="Y108" s="53" t="s">
        <v>480</v>
      </c>
      <c r="Z108" s="53" t="s">
        <v>480</v>
      </c>
      <c r="AA108" s="53" t="s">
        <v>480</v>
      </c>
      <c r="AB108" s="53" t="s">
        <v>480</v>
      </c>
      <c r="AC108" s="53" t="s">
        <v>480</v>
      </c>
      <c r="AD108" s="53" t="s">
        <v>480</v>
      </c>
      <c r="AE108" s="53" t="s">
        <v>480</v>
      </c>
      <c r="AF108" s="53" t="s">
        <v>480</v>
      </c>
      <c r="AG108" s="53" t="s">
        <v>480</v>
      </c>
      <c r="AH108" s="53" t="s">
        <v>480</v>
      </c>
      <c r="AI108" s="53" t="s">
        <v>480</v>
      </c>
      <c r="AJ108" s="53" t="s">
        <v>480</v>
      </c>
      <c r="AK108" s="53" t="s">
        <v>480</v>
      </c>
      <c r="AL108" s="53" t="s">
        <v>480</v>
      </c>
      <c r="AM108" s="53" t="s">
        <v>480</v>
      </c>
      <c r="AQ108">
        <f t="shared" si="3"/>
        <v>1</v>
      </c>
      <c r="AR108" t="s">
        <v>27</v>
      </c>
    </row>
    <row r="109" spans="1:44" x14ac:dyDescent="0.25">
      <c r="A109" s="1">
        <f>COUNTIF('Value Matchup'!$D$356:$D$423,PASE!B109)</f>
        <v>1</v>
      </c>
      <c r="B109" t="s">
        <v>220</v>
      </c>
      <c r="C109" s="64">
        <f t="shared" si="2"/>
        <v>0</v>
      </c>
      <c r="E109" s="91" t="s">
        <v>480</v>
      </c>
      <c r="F109" s="53" t="s">
        <v>480</v>
      </c>
      <c r="G109" s="53" t="s">
        <v>480</v>
      </c>
      <c r="H109" s="53" t="s">
        <v>480</v>
      </c>
      <c r="I109" s="53" t="s">
        <v>480</v>
      </c>
      <c r="J109" s="53" t="s">
        <v>480</v>
      </c>
      <c r="K109" s="53" t="s">
        <v>480</v>
      </c>
      <c r="L109" s="53" t="s">
        <v>480</v>
      </c>
      <c r="M109" s="53" t="s">
        <v>480</v>
      </c>
      <c r="N109" s="53" t="s">
        <v>480</v>
      </c>
      <c r="O109" s="53" t="s">
        <v>480</v>
      </c>
      <c r="P109" s="53" t="s">
        <v>480</v>
      </c>
      <c r="Q109" s="53" t="s">
        <v>480</v>
      </c>
      <c r="R109" s="53" t="s">
        <v>480</v>
      </c>
      <c r="S109" s="53" t="s">
        <v>480</v>
      </c>
      <c r="T109" s="53" t="s">
        <v>480</v>
      </c>
      <c r="U109" s="53" t="s">
        <v>480</v>
      </c>
      <c r="V109" s="53" t="s">
        <v>480</v>
      </c>
      <c r="W109" s="53" t="s">
        <v>480</v>
      </c>
      <c r="X109" s="53" t="s">
        <v>480</v>
      </c>
      <c r="Y109" s="53" t="s">
        <v>480</v>
      </c>
      <c r="Z109" s="53" t="s">
        <v>480</v>
      </c>
      <c r="AA109" s="53" t="s">
        <v>480</v>
      </c>
      <c r="AB109" s="53" t="s">
        <v>480</v>
      </c>
      <c r="AC109" s="53" t="s">
        <v>480</v>
      </c>
      <c r="AD109" s="53" t="s">
        <v>480</v>
      </c>
      <c r="AE109" s="53" t="s">
        <v>480</v>
      </c>
      <c r="AF109" s="53" t="s">
        <v>480</v>
      </c>
      <c r="AG109" s="53" t="s">
        <v>480</v>
      </c>
      <c r="AH109" s="53" t="s">
        <v>480</v>
      </c>
      <c r="AI109" s="53" t="s">
        <v>480</v>
      </c>
      <c r="AJ109" s="53" t="s">
        <v>480</v>
      </c>
      <c r="AK109" s="53" t="s">
        <v>480</v>
      </c>
      <c r="AL109" s="53" t="s">
        <v>480</v>
      </c>
      <c r="AM109" s="53" t="s">
        <v>480</v>
      </c>
      <c r="AQ109">
        <f t="shared" si="3"/>
        <v>1</v>
      </c>
      <c r="AR109" t="s">
        <v>220</v>
      </c>
    </row>
    <row r="110" spans="1:44" x14ac:dyDescent="0.25">
      <c r="A110" s="1">
        <f>COUNTIF('Value Matchup'!$D$356:$D$423,PASE!B110)</f>
        <v>0</v>
      </c>
      <c r="B110" t="s">
        <v>43</v>
      </c>
      <c r="C110" s="64">
        <f t="shared" si="2"/>
        <v>0.1452205882352941</v>
      </c>
      <c r="E110" s="91" t="s">
        <v>480</v>
      </c>
      <c r="F110" s="53" t="s">
        <v>480</v>
      </c>
      <c r="G110" s="53" t="s">
        <v>480</v>
      </c>
      <c r="H110" s="53" t="s">
        <v>480</v>
      </c>
      <c r="I110" s="53">
        <v>-0.25</v>
      </c>
      <c r="J110" s="53">
        <v>0.5</v>
      </c>
      <c r="K110" s="53">
        <v>0.83088235294117641</v>
      </c>
      <c r="L110" s="53">
        <v>-0.5</v>
      </c>
      <c r="M110" s="53" t="s">
        <v>480</v>
      </c>
      <c r="N110" s="53" t="s">
        <v>480</v>
      </c>
      <c r="O110" s="53" t="s">
        <v>480</v>
      </c>
      <c r="P110" s="53" t="s">
        <v>480</v>
      </c>
      <c r="Q110" s="53" t="s">
        <v>480</v>
      </c>
      <c r="R110" s="53" t="s">
        <v>480</v>
      </c>
      <c r="S110" s="53" t="s">
        <v>480</v>
      </c>
      <c r="T110" s="53" t="s">
        <v>480</v>
      </c>
      <c r="U110" s="53" t="s">
        <v>480</v>
      </c>
      <c r="V110" s="53" t="s">
        <v>480</v>
      </c>
      <c r="W110" s="53" t="s">
        <v>480</v>
      </c>
      <c r="X110" s="53" t="s">
        <v>480</v>
      </c>
      <c r="Y110" s="53" t="s">
        <v>480</v>
      </c>
      <c r="Z110" s="53" t="s">
        <v>480</v>
      </c>
      <c r="AA110" s="53" t="s">
        <v>480</v>
      </c>
      <c r="AB110" s="53" t="s">
        <v>480</v>
      </c>
      <c r="AC110" s="53" t="s">
        <v>480</v>
      </c>
      <c r="AD110" s="53" t="s">
        <v>480</v>
      </c>
      <c r="AE110" s="53" t="s">
        <v>480</v>
      </c>
      <c r="AF110" s="53" t="s">
        <v>480</v>
      </c>
      <c r="AG110" s="53" t="s">
        <v>480</v>
      </c>
      <c r="AH110" s="53" t="s">
        <v>480</v>
      </c>
      <c r="AI110" s="53" t="s">
        <v>480</v>
      </c>
      <c r="AJ110" s="53" t="s">
        <v>480</v>
      </c>
      <c r="AK110" s="53" t="s">
        <v>480</v>
      </c>
      <c r="AL110" s="53" t="s">
        <v>480</v>
      </c>
      <c r="AM110" s="53" t="s">
        <v>480</v>
      </c>
      <c r="AQ110">
        <f t="shared" si="3"/>
        <v>1</v>
      </c>
      <c r="AR110" t="s">
        <v>43</v>
      </c>
    </row>
    <row r="111" spans="1:44" x14ac:dyDescent="0.25">
      <c r="A111" s="1">
        <f>COUNTIF('Value Matchup'!$D$356:$D$423,PASE!B111)</f>
        <v>0</v>
      </c>
      <c r="B111" t="s">
        <v>221</v>
      </c>
      <c r="C111" s="64">
        <f t="shared" si="2"/>
        <v>-0.15441176470588236</v>
      </c>
      <c r="E111" s="91" t="s">
        <v>480</v>
      </c>
      <c r="F111" s="53" t="s">
        <v>480</v>
      </c>
      <c r="G111" s="53" t="s">
        <v>480</v>
      </c>
      <c r="H111" s="53">
        <v>0.75</v>
      </c>
      <c r="I111" s="53" t="s">
        <v>480</v>
      </c>
      <c r="J111" s="53" t="s">
        <v>480</v>
      </c>
      <c r="K111" s="53" t="s">
        <v>480</v>
      </c>
      <c r="L111" s="53" t="s">
        <v>480</v>
      </c>
      <c r="M111" s="53" t="s">
        <v>480</v>
      </c>
      <c r="N111" s="53" t="s">
        <v>480</v>
      </c>
      <c r="O111" s="53" t="s">
        <v>480</v>
      </c>
      <c r="P111" s="53" t="s">
        <v>480</v>
      </c>
      <c r="Q111" s="53" t="s">
        <v>480</v>
      </c>
      <c r="R111" s="53" t="s">
        <v>480</v>
      </c>
      <c r="S111" s="53" t="s">
        <v>480</v>
      </c>
      <c r="T111" s="53" t="s">
        <v>480</v>
      </c>
      <c r="U111" s="53" t="s">
        <v>480</v>
      </c>
      <c r="V111" s="53">
        <v>-0.61764705882352944</v>
      </c>
      <c r="W111" s="53">
        <v>-0.5</v>
      </c>
      <c r="X111" s="53" t="s">
        <v>480</v>
      </c>
      <c r="Y111" s="53" t="s">
        <v>480</v>
      </c>
      <c r="Z111" s="53" t="s">
        <v>480</v>
      </c>
      <c r="AA111" s="53" t="s">
        <v>480</v>
      </c>
      <c r="AB111" s="53" t="s">
        <v>480</v>
      </c>
      <c r="AC111" s="53" t="s">
        <v>480</v>
      </c>
      <c r="AD111" s="53">
        <v>-0.25</v>
      </c>
      <c r="AE111" s="53" t="s">
        <v>480</v>
      </c>
      <c r="AF111" s="53" t="s">
        <v>480</v>
      </c>
      <c r="AG111" s="53" t="s">
        <v>480</v>
      </c>
      <c r="AH111" s="53" t="s">
        <v>480</v>
      </c>
      <c r="AI111" s="53" t="s">
        <v>480</v>
      </c>
      <c r="AJ111" s="53" t="s">
        <v>480</v>
      </c>
      <c r="AK111" s="53" t="s">
        <v>480</v>
      </c>
      <c r="AL111" s="53" t="s">
        <v>480</v>
      </c>
      <c r="AM111" s="53" t="s">
        <v>480</v>
      </c>
      <c r="AQ111">
        <f t="shared" si="3"/>
        <v>1</v>
      </c>
      <c r="AR111" t="s">
        <v>221</v>
      </c>
    </row>
    <row r="112" spans="1:44" x14ac:dyDescent="0.25">
      <c r="A112" s="1">
        <f>COUNTIF('Value Matchup'!$D$356:$D$423,PASE!B112)</f>
        <v>0</v>
      </c>
      <c r="B112" t="s">
        <v>222</v>
      </c>
      <c r="C112" s="64">
        <f t="shared" si="2"/>
        <v>0</v>
      </c>
      <c r="E112" s="91" t="s">
        <v>480</v>
      </c>
      <c r="F112" s="53" t="s">
        <v>480</v>
      </c>
      <c r="G112" s="53" t="s">
        <v>480</v>
      </c>
      <c r="H112" s="53" t="s">
        <v>480</v>
      </c>
      <c r="I112" s="53" t="s">
        <v>480</v>
      </c>
      <c r="J112" s="53" t="s">
        <v>480</v>
      </c>
      <c r="K112" s="53" t="s">
        <v>480</v>
      </c>
      <c r="L112" s="53" t="s">
        <v>480</v>
      </c>
      <c r="M112" s="53" t="s">
        <v>480</v>
      </c>
      <c r="N112" s="53" t="s">
        <v>480</v>
      </c>
      <c r="O112" s="53" t="s">
        <v>480</v>
      </c>
      <c r="P112" s="53" t="s">
        <v>480</v>
      </c>
      <c r="Q112" s="53" t="s">
        <v>480</v>
      </c>
      <c r="R112" s="53" t="s">
        <v>480</v>
      </c>
      <c r="S112" s="53" t="s">
        <v>480</v>
      </c>
      <c r="T112" s="53" t="s">
        <v>480</v>
      </c>
      <c r="U112" s="53" t="s">
        <v>480</v>
      </c>
      <c r="V112" s="53" t="s">
        <v>480</v>
      </c>
      <c r="W112" s="53" t="s">
        <v>480</v>
      </c>
      <c r="X112" s="53" t="s">
        <v>480</v>
      </c>
      <c r="Y112" s="53" t="s">
        <v>480</v>
      </c>
      <c r="Z112" s="53" t="s">
        <v>480</v>
      </c>
      <c r="AA112" s="53" t="s">
        <v>480</v>
      </c>
      <c r="AB112" s="53" t="s">
        <v>480</v>
      </c>
      <c r="AC112" s="53" t="s">
        <v>480</v>
      </c>
      <c r="AD112" s="53" t="s">
        <v>480</v>
      </c>
      <c r="AE112" s="53" t="s">
        <v>480</v>
      </c>
      <c r="AF112" s="53" t="s">
        <v>480</v>
      </c>
      <c r="AG112" s="53" t="s">
        <v>480</v>
      </c>
      <c r="AH112" s="53" t="s">
        <v>480</v>
      </c>
      <c r="AI112" s="53" t="s">
        <v>480</v>
      </c>
      <c r="AJ112" s="53" t="s">
        <v>480</v>
      </c>
      <c r="AK112" s="53" t="s">
        <v>480</v>
      </c>
      <c r="AL112" s="53" t="s">
        <v>480</v>
      </c>
      <c r="AM112" s="53" t="s">
        <v>480</v>
      </c>
      <c r="AQ112">
        <f t="shared" si="3"/>
        <v>1</v>
      </c>
      <c r="AR112" t="s">
        <v>222</v>
      </c>
    </row>
    <row r="113" spans="1:44" x14ac:dyDescent="0.25">
      <c r="A113" s="1">
        <f>COUNTIF('Value Matchup'!$D$356:$D$423,PASE!B113)</f>
        <v>0</v>
      </c>
      <c r="B113" t="s">
        <v>223</v>
      </c>
      <c r="C113" s="64">
        <f t="shared" si="2"/>
        <v>-0.20955882352941177</v>
      </c>
      <c r="E113" s="91" t="s">
        <v>480</v>
      </c>
      <c r="F113" s="53" t="s">
        <v>480</v>
      </c>
      <c r="G113" s="53" t="s">
        <v>480</v>
      </c>
      <c r="H113" s="53" t="s">
        <v>480</v>
      </c>
      <c r="I113" s="53" t="s">
        <v>480</v>
      </c>
      <c r="J113" s="53" t="s">
        <v>480</v>
      </c>
      <c r="K113" s="53" t="s">
        <v>480</v>
      </c>
      <c r="L113" s="53" t="s">
        <v>480</v>
      </c>
      <c r="M113" s="53" t="s">
        <v>480</v>
      </c>
      <c r="N113" s="53" t="s">
        <v>480</v>
      </c>
      <c r="O113" s="53" t="s">
        <v>480</v>
      </c>
      <c r="P113" s="53" t="s">
        <v>480</v>
      </c>
      <c r="Q113" s="53" t="s">
        <v>480</v>
      </c>
      <c r="R113" s="53" t="s">
        <v>480</v>
      </c>
      <c r="S113" s="53" t="s">
        <v>480</v>
      </c>
      <c r="T113" s="53" t="s">
        <v>480</v>
      </c>
      <c r="U113" s="53" t="s">
        <v>480</v>
      </c>
      <c r="V113" s="53" t="s">
        <v>480</v>
      </c>
      <c r="W113" s="53">
        <v>-0.25</v>
      </c>
      <c r="X113" s="53">
        <v>-0.16911764705882354</v>
      </c>
      <c r="Y113" s="53" t="s">
        <v>480</v>
      </c>
      <c r="Z113" s="53" t="s">
        <v>480</v>
      </c>
      <c r="AA113" s="53" t="s">
        <v>480</v>
      </c>
      <c r="AB113" s="53" t="s">
        <v>480</v>
      </c>
      <c r="AC113" s="53" t="s">
        <v>480</v>
      </c>
      <c r="AD113" s="53" t="s">
        <v>480</v>
      </c>
      <c r="AE113" s="53" t="s">
        <v>480</v>
      </c>
      <c r="AF113" s="53" t="s">
        <v>480</v>
      </c>
      <c r="AG113" s="53" t="s">
        <v>480</v>
      </c>
      <c r="AH113" s="53" t="s">
        <v>480</v>
      </c>
      <c r="AI113" s="53" t="s">
        <v>480</v>
      </c>
      <c r="AJ113" s="53" t="s">
        <v>480</v>
      </c>
      <c r="AK113" s="53" t="s">
        <v>480</v>
      </c>
      <c r="AL113" s="53" t="s">
        <v>480</v>
      </c>
      <c r="AM113" s="53" t="s">
        <v>480</v>
      </c>
      <c r="AQ113">
        <f t="shared" si="3"/>
        <v>1</v>
      </c>
      <c r="AR113" t="s">
        <v>223</v>
      </c>
    </row>
    <row r="114" spans="1:44" x14ac:dyDescent="0.25">
      <c r="A114" s="1">
        <f>COUNTIF('Value Matchup'!$D$356:$D$423,PASE!B114)</f>
        <v>0</v>
      </c>
      <c r="B114" t="s">
        <v>224</v>
      </c>
      <c r="C114" s="64">
        <f t="shared" si="2"/>
        <v>-0.125</v>
      </c>
      <c r="E114" s="91" t="s">
        <v>480</v>
      </c>
      <c r="F114" s="53" t="s">
        <v>480</v>
      </c>
      <c r="G114" s="53" t="s">
        <v>480</v>
      </c>
      <c r="H114" s="53">
        <v>-7.3529411764705881E-3</v>
      </c>
      <c r="I114" s="53" t="s">
        <v>480</v>
      </c>
      <c r="J114" s="53" t="s">
        <v>480</v>
      </c>
      <c r="K114" s="53" t="s">
        <v>480</v>
      </c>
      <c r="L114" s="53" t="s">
        <v>480</v>
      </c>
      <c r="M114" s="53" t="s">
        <v>480</v>
      </c>
      <c r="N114" s="53" t="s">
        <v>480</v>
      </c>
      <c r="O114" s="53" t="s">
        <v>480</v>
      </c>
      <c r="P114" s="53" t="s">
        <v>480</v>
      </c>
      <c r="Q114" s="53">
        <v>-0.25</v>
      </c>
      <c r="R114" s="53" t="s">
        <v>480</v>
      </c>
      <c r="S114" s="53" t="s">
        <v>480</v>
      </c>
      <c r="T114" s="53" t="s">
        <v>480</v>
      </c>
      <c r="U114" s="53">
        <v>-0.16911764705882354</v>
      </c>
      <c r="V114" s="53">
        <v>-7.3529411764705881E-3</v>
      </c>
      <c r="W114" s="53">
        <v>-6.6176470588235295E-2</v>
      </c>
      <c r="X114" s="53" t="s">
        <v>480</v>
      </c>
      <c r="Y114" s="53" t="s">
        <v>480</v>
      </c>
      <c r="Z114" s="53" t="s">
        <v>480</v>
      </c>
      <c r="AA114" s="53" t="s">
        <v>480</v>
      </c>
      <c r="AB114" s="53" t="s">
        <v>480</v>
      </c>
      <c r="AC114" s="53" t="s">
        <v>480</v>
      </c>
      <c r="AD114" s="53" t="s">
        <v>480</v>
      </c>
      <c r="AE114" s="53">
        <v>-0.25</v>
      </c>
      <c r="AF114" s="53" t="s">
        <v>480</v>
      </c>
      <c r="AG114" s="53" t="s">
        <v>480</v>
      </c>
      <c r="AH114" s="53" t="s">
        <v>480</v>
      </c>
      <c r="AI114" s="53" t="s">
        <v>480</v>
      </c>
      <c r="AJ114" s="53" t="s">
        <v>480</v>
      </c>
      <c r="AK114" s="53" t="s">
        <v>480</v>
      </c>
      <c r="AL114" s="53" t="s">
        <v>480</v>
      </c>
      <c r="AM114" s="53" t="s">
        <v>480</v>
      </c>
      <c r="AQ114">
        <f t="shared" si="3"/>
        <v>1</v>
      </c>
      <c r="AR114" t="s">
        <v>224</v>
      </c>
    </row>
    <row r="115" spans="1:44" x14ac:dyDescent="0.25">
      <c r="A115" s="1">
        <f>COUNTIF('Value Matchup'!$D$356:$D$423,PASE!B115)</f>
        <v>1</v>
      </c>
      <c r="B115" t="s">
        <v>225</v>
      </c>
      <c r="C115" s="64">
        <f t="shared" si="2"/>
        <v>-0.3389005602240896</v>
      </c>
      <c r="E115" s="91">
        <v>0.13571428571428568</v>
      </c>
      <c r="F115" s="53">
        <v>-8.0882352941176405E-2</v>
      </c>
      <c r="G115" s="53" t="s">
        <v>480</v>
      </c>
      <c r="H115" s="53" t="s">
        <v>480</v>
      </c>
      <c r="I115" s="53" t="s">
        <v>480</v>
      </c>
      <c r="J115" s="53" t="s">
        <v>480</v>
      </c>
      <c r="K115" s="53" t="s">
        <v>480</v>
      </c>
      <c r="L115" s="53" t="s">
        <v>480</v>
      </c>
      <c r="M115" s="53" t="s">
        <v>480</v>
      </c>
      <c r="N115" s="53">
        <v>-0.25</v>
      </c>
      <c r="O115" s="53" t="s">
        <v>480</v>
      </c>
      <c r="P115" s="53" t="s">
        <v>480</v>
      </c>
      <c r="Q115" s="53" t="s">
        <v>480</v>
      </c>
      <c r="R115" s="53" t="s">
        <v>480</v>
      </c>
      <c r="S115" s="53" t="s">
        <v>480</v>
      </c>
      <c r="T115" s="53" t="s">
        <v>480</v>
      </c>
      <c r="U115" s="53" t="s">
        <v>480</v>
      </c>
      <c r="V115" s="53" t="s">
        <v>480</v>
      </c>
      <c r="W115" s="53" t="s">
        <v>480</v>
      </c>
      <c r="X115" s="53" t="s">
        <v>480</v>
      </c>
      <c r="Y115" s="53" t="s">
        <v>480</v>
      </c>
      <c r="Z115" s="53" t="s">
        <v>480</v>
      </c>
      <c r="AA115" s="53" t="s">
        <v>480</v>
      </c>
      <c r="AB115" s="53" t="s">
        <v>480</v>
      </c>
      <c r="AC115" s="53" t="s">
        <v>480</v>
      </c>
      <c r="AD115" s="53" t="s">
        <v>480</v>
      </c>
      <c r="AE115" s="53" t="s">
        <v>480</v>
      </c>
      <c r="AF115" s="53">
        <v>-0.61764705882352944</v>
      </c>
      <c r="AG115" s="53" t="s">
        <v>480</v>
      </c>
      <c r="AH115" s="53">
        <v>-0.72058823529411764</v>
      </c>
      <c r="AI115" s="53" t="s">
        <v>480</v>
      </c>
      <c r="AJ115" s="53" t="s">
        <v>480</v>
      </c>
      <c r="AK115" s="53">
        <v>-0.5</v>
      </c>
      <c r="AL115" s="53" t="s">
        <v>480</v>
      </c>
      <c r="AM115" s="53" t="s">
        <v>480</v>
      </c>
      <c r="AQ115">
        <f t="shared" si="3"/>
        <v>1</v>
      </c>
      <c r="AR115" t="s">
        <v>225</v>
      </c>
    </row>
    <row r="116" spans="1:44" x14ac:dyDescent="0.25">
      <c r="A116" s="1">
        <f>COUNTIF('Value Matchup'!$D$356:$D$423,PASE!B116)</f>
        <v>0</v>
      </c>
      <c r="B116" t="s">
        <v>226</v>
      </c>
      <c r="C116" s="64">
        <f t="shared" si="2"/>
        <v>0</v>
      </c>
      <c r="E116" s="91" t="s">
        <v>480</v>
      </c>
      <c r="F116" s="53" t="s">
        <v>480</v>
      </c>
      <c r="G116" s="53" t="s">
        <v>480</v>
      </c>
      <c r="H116" s="53" t="s">
        <v>480</v>
      </c>
      <c r="I116" s="53" t="s">
        <v>480</v>
      </c>
      <c r="J116" s="53" t="s">
        <v>480</v>
      </c>
      <c r="K116" s="53" t="s">
        <v>480</v>
      </c>
      <c r="L116" s="53" t="s">
        <v>480</v>
      </c>
      <c r="M116" s="53" t="s">
        <v>480</v>
      </c>
      <c r="N116" s="53" t="s">
        <v>480</v>
      </c>
      <c r="O116" s="53" t="s">
        <v>480</v>
      </c>
      <c r="P116" s="53" t="s">
        <v>480</v>
      </c>
      <c r="Q116" s="53" t="s">
        <v>480</v>
      </c>
      <c r="R116" s="53" t="s">
        <v>480</v>
      </c>
      <c r="S116" s="53" t="s">
        <v>480</v>
      </c>
      <c r="T116" s="53" t="s">
        <v>480</v>
      </c>
      <c r="U116" s="53" t="s">
        <v>480</v>
      </c>
      <c r="V116" s="53" t="s">
        <v>480</v>
      </c>
      <c r="W116" s="53" t="s">
        <v>480</v>
      </c>
      <c r="X116" s="53" t="s">
        <v>480</v>
      </c>
      <c r="Y116" s="53" t="s">
        <v>480</v>
      </c>
      <c r="Z116" s="53" t="s">
        <v>480</v>
      </c>
      <c r="AA116" s="53" t="s">
        <v>480</v>
      </c>
      <c r="AB116" s="53" t="s">
        <v>480</v>
      </c>
      <c r="AC116" s="53" t="s">
        <v>480</v>
      </c>
      <c r="AD116" s="53" t="s">
        <v>480</v>
      </c>
      <c r="AE116" s="53" t="s">
        <v>480</v>
      </c>
      <c r="AF116" s="53" t="s">
        <v>480</v>
      </c>
      <c r="AG116" s="53" t="s">
        <v>480</v>
      </c>
      <c r="AH116" s="53" t="s">
        <v>480</v>
      </c>
      <c r="AI116" s="53" t="s">
        <v>480</v>
      </c>
      <c r="AJ116" s="53" t="s">
        <v>480</v>
      </c>
      <c r="AK116" s="53" t="s">
        <v>480</v>
      </c>
      <c r="AL116" s="53" t="s">
        <v>480</v>
      </c>
      <c r="AM116" s="53" t="s">
        <v>480</v>
      </c>
      <c r="AQ116">
        <f t="shared" si="3"/>
        <v>1</v>
      </c>
      <c r="AR116" t="s">
        <v>226</v>
      </c>
    </row>
    <row r="117" spans="1:44" x14ac:dyDescent="0.25">
      <c r="A117" s="1">
        <f>COUNTIF('Value Matchup'!$D$356:$D$423,PASE!B117)</f>
        <v>0</v>
      </c>
      <c r="B117" t="s">
        <v>227</v>
      </c>
      <c r="C117" s="64">
        <f t="shared" si="2"/>
        <v>-7.3529411764705881E-3</v>
      </c>
      <c r="E117" s="91" t="s">
        <v>480</v>
      </c>
      <c r="F117" s="53" t="s">
        <v>480</v>
      </c>
      <c r="G117" s="53" t="s">
        <v>480</v>
      </c>
      <c r="H117" s="53" t="s">
        <v>480</v>
      </c>
      <c r="I117" s="53" t="s">
        <v>480</v>
      </c>
      <c r="J117" s="53" t="s">
        <v>480</v>
      </c>
      <c r="K117" s="53" t="s">
        <v>480</v>
      </c>
      <c r="L117" s="53" t="s">
        <v>480</v>
      </c>
      <c r="M117" s="53" t="s">
        <v>480</v>
      </c>
      <c r="N117" s="53" t="s">
        <v>480</v>
      </c>
      <c r="O117" s="53" t="s">
        <v>480</v>
      </c>
      <c r="P117" s="53" t="s">
        <v>480</v>
      </c>
      <c r="Q117" s="53" t="s">
        <v>480</v>
      </c>
      <c r="R117" s="53" t="s">
        <v>480</v>
      </c>
      <c r="S117" s="53" t="s">
        <v>480</v>
      </c>
      <c r="T117" s="53" t="s">
        <v>480</v>
      </c>
      <c r="U117" s="53" t="s">
        <v>480</v>
      </c>
      <c r="V117" s="53" t="s">
        <v>480</v>
      </c>
      <c r="W117" s="53" t="s">
        <v>480</v>
      </c>
      <c r="X117" s="53" t="s">
        <v>480</v>
      </c>
      <c r="Y117" s="53" t="s">
        <v>480</v>
      </c>
      <c r="Z117" s="53" t="s">
        <v>480</v>
      </c>
      <c r="AA117" s="53" t="s">
        <v>480</v>
      </c>
      <c r="AB117" s="53" t="s">
        <v>480</v>
      </c>
      <c r="AC117" s="53" t="s">
        <v>480</v>
      </c>
      <c r="AD117" s="53" t="s">
        <v>480</v>
      </c>
      <c r="AE117" s="53" t="s">
        <v>480</v>
      </c>
      <c r="AF117" s="53">
        <v>-7.3529411764705881E-3</v>
      </c>
      <c r="AG117" s="53" t="s">
        <v>480</v>
      </c>
      <c r="AH117" s="53" t="s">
        <v>480</v>
      </c>
      <c r="AI117" s="53" t="s">
        <v>480</v>
      </c>
      <c r="AJ117" s="53" t="s">
        <v>480</v>
      </c>
      <c r="AK117" s="53" t="s">
        <v>480</v>
      </c>
      <c r="AL117" s="53" t="s">
        <v>480</v>
      </c>
      <c r="AM117" s="53" t="s">
        <v>480</v>
      </c>
      <c r="AQ117">
        <f t="shared" si="3"/>
        <v>1</v>
      </c>
      <c r="AR117" t="s">
        <v>227</v>
      </c>
    </row>
    <row r="118" spans="1:44" x14ac:dyDescent="0.25">
      <c r="A118" s="1">
        <f>COUNTIF('Value Matchup'!$D$356:$D$423,PASE!B118)</f>
        <v>0</v>
      </c>
      <c r="B118" t="s">
        <v>228</v>
      </c>
      <c r="C118" s="64">
        <f t="shared" si="2"/>
        <v>-0.25</v>
      </c>
      <c r="E118" s="91" t="s">
        <v>480</v>
      </c>
      <c r="F118" s="53" t="s">
        <v>480</v>
      </c>
      <c r="G118" s="53" t="s">
        <v>480</v>
      </c>
      <c r="H118" s="53" t="s">
        <v>480</v>
      </c>
      <c r="I118" s="53" t="s">
        <v>480</v>
      </c>
      <c r="J118" s="53" t="s">
        <v>480</v>
      </c>
      <c r="K118" s="53" t="s">
        <v>480</v>
      </c>
      <c r="L118" s="53" t="s">
        <v>480</v>
      </c>
      <c r="M118" s="53" t="s">
        <v>480</v>
      </c>
      <c r="N118" s="53" t="s">
        <v>480</v>
      </c>
      <c r="O118" s="53" t="s">
        <v>480</v>
      </c>
      <c r="P118" s="53" t="s">
        <v>480</v>
      </c>
      <c r="Q118" s="53" t="s">
        <v>480</v>
      </c>
      <c r="R118" s="53" t="s">
        <v>480</v>
      </c>
      <c r="S118" s="53" t="s">
        <v>480</v>
      </c>
      <c r="T118" s="53" t="s">
        <v>480</v>
      </c>
      <c r="U118" s="53" t="s">
        <v>480</v>
      </c>
      <c r="V118" s="53" t="s">
        <v>480</v>
      </c>
      <c r="W118" s="53" t="s">
        <v>480</v>
      </c>
      <c r="X118" s="53" t="s">
        <v>480</v>
      </c>
      <c r="Y118" s="53" t="s">
        <v>480</v>
      </c>
      <c r="Z118" s="53" t="s">
        <v>480</v>
      </c>
      <c r="AA118" s="53" t="s">
        <v>480</v>
      </c>
      <c r="AB118" s="53" t="s">
        <v>480</v>
      </c>
      <c r="AC118" s="53" t="s">
        <v>480</v>
      </c>
      <c r="AD118" s="53" t="s">
        <v>480</v>
      </c>
      <c r="AE118" s="53" t="s">
        <v>480</v>
      </c>
      <c r="AF118" s="53" t="s">
        <v>480</v>
      </c>
      <c r="AG118" s="53" t="s">
        <v>480</v>
      </c>
      <c r="AH118" s="53">
        <v>-0.25</v>
      </c>
      <c r="AI118" s="53">
        <v>-0.25</v>
      </c>
      <c r="AJ118" s="53" t="s">
        <v>480</v>
      </c>
      <c r="AK118" s="53" t="s">
        <v>480</v>
      </c>
      <c r="AL118" s="53" t="s">
        <v>480</v>
      </c>
      <c r="AM118" s="53" t="s">
        <v>480</v>
      </c>
      <c r="AQ118">
        <f t="shared" si="3"/>
        <v>1</v>
      </c>
      <c r="AR118" t="s">
        <v>228</v>
      </c>
    </row>
    <row r="119" spans="1:44" x14ac:dyDescent="0.25">
      <c r="A119" s="1">
        <f>COUNTIF('Value Matchup'!$D$356:$D$423,PASE!B119)</f>
        <v>0</v>
      </c>
      <c r="B119" t="s">
        <v>229</v>
      </c>
      <c r="C119" s="64">
        <f t="shared" si="2"/>
        <v>-7.3529411764705881E-3</v>
      </c>
      <c r="E119" s="91" t="s">
        <v>480</v>
      </c>
      <c r="F119" s="53" t="s">
        <v>480</v>
      </c>
      <c r="G119" s="53" t="s">
        <v>480</v>
      </c>
      <c r="H119" s="53" t="s">
        <v>480</v>
      </c>
      <c r="I119" s="53" t="s">
        <v>480</v>
      </c>
      <c r="J119" s="53" t="s">
        <v>480</v>
      </c>
      <c r="K119" s="53" t="s">
        <v>480</v>
      </c>
      <c r="L119" s="53" t="s">
        <v>480</v>
      </c>
      <c r="M119" s="53" t="s">
        <v>480</v>
      </c>
      <c r="N119" s="53" t="s">
        <v>480</v>
      </c>
      <c r="O119" s="53" t="s">
        <v>480</v>
      </c>
      <c r="P119" s="53" t="s">
        <v>480</v>
      </c>
      <c r="Q119" s="53" t="s">
        <v>480</v>
      </c>
      <c r="R119" s="53" t="s">
        <v>480</v>
      </c>
      <c r="S119" s="53" t="s">
        <v>480</v>
      </c>
      <c r="T119" s="53" t="s">
        <v>480</v>
      </c>
      <c r="U119" s="53" t="s">
        <v>480</v>
      </c>
      <c r="V119" s="53" t="s">
        <v>480</v>
      </c>
      <c r="W119" s="53" t="s">
        <v>480</v>
      </c>
      <c r="X119" s="53" t="s">
        <v>480</v>
      </c>
      <c r="Y119" s="53" t="s">
        <v>480</v>
      </c>
      <c r="Z119" s="53" t="s">
        <v>480</v>
      </c>
      <c r="AA119" s="53" t="s">
        <v>480</v>
      </c>
      <c r="AB119" s="53" t="s">
        <v>480</v>
      </c>
      <c r="AC119" s="53" t="s">
        <v>480</v>
      </c>
      <c r="AD119" s="53" t="s">
        <v>480</v>
      </c>
      <c r="AE119" s="53" t="s">
        <v>480</v>
      </c>
      <c r="AF119" s="53" t="s">
        <v>480</v>
      </c>
      <c r="AG119" s="53" t="s">
        <v>480</v>
      </c>
      <c r="AH119" s="53" t="s">
        <v>480</v>
      </c>
      <c r="AI119" s="53" t="s">
        <v>480</v>
      </c>
      <c r="AJ119" s="53" t="s">
        <v>480</v>
      </c>
      <c r="AK119" s="53">
        <v>-7.3529411764705881E-3</v>
      </c>
      <c r="AL119" s="53" t="s">
        <v>480</v>
      </c>
      <c r="AM119" s="53" t="s">
        <v>480</v>
      </c>
      <c r="AQ119">
        <f t="shared" si="3"/>
        <v>1</v>
      </c>
      <c r="AR119" t="s">
        <v>229</v>
      </c>
    </row>
    <row r="120" spans="1:44" x14ac:dyDescent="0.25">
      <c r="A120" s="1">
        <f>COUNTIF('Value Matchup'!$D$356:$D$423,PASE!B120)</f>
        <v>1</v>
      </c>
      <c r="B120" t="s">
        <v>230</v>
      </c>
      <c r="C120" s="64">
        <f t="shared" si="2"/>
        <v>-0.23830213903743316</v>
      </c>
      <c r="E120" s="91" t="s">
        <v>480</v>
      </c>
      <c r="F120" s="53" t="s">
        <v>480</v>
      </c>
      <c r="G120" s="53" t="s">
        <v>480</v>
      </c>
      <c r="H120" s="53" t="s">
        <v>480</v>
      </c>
      <c r="I120" s="53" t="s">
        <v>480</v>
      </c>
      <c r="J120" s="53" t="s">
        <v>480</v>
      </c>
      <c r="K120" s="53">
        <v>7.3529411764705843E-2</v>
      </c>
      <c r="L120" s="53" t="s">
        <v>480</v>
      </c>
      <c r="M120" s="53">
        <v>0.41176470588235292</v>
      </c>
      <c r="N120" s="53" t="s">
        <v>480</v>
      </c>
      <c r="O120" s="53">
        <v>-1.1176470588235294</v>
      </c>
      <c r="P120" s="53" t="s">
        <v>480</v>
      </c>
      <c r="Q120" s="53">
        <v>-0.5</v>
      </c>
      <c r="R120" s="53">
        <v>-0.54411764705882359</v>
      </c>
      <c r="S120" s="53">
        <v>1.6544117647058822</v>
      </c>
      <c r="T120" s="53">
        <v>0.88235294117647056</v>
      </c>
      <c r="U120" s="53">
        <v>-0.54411764705882359</v>
      </c>
      <c r="V120" s="53">
        <v>0.45588235294117641</v>
      </c>
      <c r="W120" s="53">
        <v>-0.34558823529411775</v>
      </c>
      <c r="X120" s="53">
        <v>-0.54411764705882359</v>
      </c>
      <c r="Y120" s="53" t="s">
        <v>480</v>
      </c>
      <c r="Z120" s="53">
        <v>-0.11764705882352944</v>
      </c>
      <c r="AA120" s="53">
        <v>-8.0882352941176405E-2</v>
      </c>
      <c r="AB120" s="53" t="s">
        <v>480</v>
      </c>
      <c r="AC120" s="53">
        <v>-0.625</v>
      </c>
      <c r="AD120" s="53">
        <v>-0.72058823529411764</v>
      </c>
      <c r="AE120" s="53">
        <v>-8.0882352941176405E-2</v>
      </c>
      <c r="AF120" s="53" t="s">
        <v>480</v>
      </c>
      <c r="AG120" s="53" t="s">
        <v>480</v>
      </c>
      <c r="AH120" s="53">
        <v>-1.1176470588235294</v>
      </c>
      <c r="AI120" s="53">
        <v>0.65441176470588225</v>
      </c>
      <c r="AJ120" s="53">
        <v>-0.83088235294117641</v>
      </c>
      <c r="AK120" s="53">
        <v>-1.8308823529411764</v>
      </c>
      <c r="AL120" s="53">
        <v>-0.54411764705882359</v>
      </c>
      <c r="AM120" s="53">
        <v>0.16911764705882359</v>
      </c>
      <c r="AQ120">
        <f t="shared" si="3"/>
        <v>1</v>
      </c>
      <c r="AR120" t="s">
        <v>230</v>
      </c>
    </row>
    <row r="121" spans="1:44" x14ac:dyDescent="0.25">
      <c r="A121" s="1">
        <f>COUNTIF('Value Matchup'!$D$356:$D$423,PASE!B121)</f>
        <v>0</v>
      </c>
      <c r="B121" t="s">
        <v>232</v>
      </c>
      <c r="C121" s="64">
        <f t="shared" si="2"/>
        <v>-0.3014705882352941</v>
      </c>
      <c r="E121" s="91" t="s">
        <v>480</v>
      </c>
      <c r="F121" s="53" t="s">
        <v>480</v>
      </c>
      <c r="G121" s="53" t="s">
        <v>480</v>
      </c>
      <c r="H121" s="53" t="s">
        <v>480</v>
      </c>
      <c r="I121" s="53" t="s">
        <v>480</v>
      </c>
      <c r="J121" s="53" t="s">
        <v>480</v>
      </c>
      <c r="K121" s="53" t="s">
        <v>480</v>
      </c>
      <c r="L121" s="53" t="s">
        <v>480</v>
      </c>
      <c r="M121" s="53" t="s">
        <v>480</v>
      </c>
      <c r="N121" s="53" t="s">
        <v>480</v>
      </c>
      <c r="O121" s="53" t="s">
        <v>480</v>
      </c>
      <c r="P121" s="53" t="s">
        <v>480</v>
      </c>
      <c r="Q121" s="53" t="s">
        <v>480</v>
      </c>
      <c r="R121" s="53" t="s">
        <v>480</v>
      </c>
      <c r="S121" s="53" t="s">
        <v>480</v>
      </c>
      <c r="T121" s="53">
        <v>-0.25</v>
      </c>
      <c r="U121" s="53" t="s">
        <v>480</v>
      </c>
      <c r="V121" s="53">
        <v>-6.6176470588235295E-2</v>
      </c>
      <c r="W121" s="53" t="s">
        <v>480</v>
      </c>
      <c r="X121" s="53" t="s">
        <v>480</v>
      </c>
      <c r="Y121" s="53" t="s">
        <v>480</v>
      </c>
      <c r="Z121" s="53">
        <v>-0.58823529411764708</v>
      </c>
      <c r="AA121" s="53" t="s">
        <v>480</v>
      </c>
      <c r="AB121" s="53" t="s">
        <v>480</v>
      </c>
      <c r="AC121" s="53" t="s">
        <v>480</v>
      </c>
      <c r="AD121" s="53" t="s">
        <v>480</v>
      </c>
      <c r="AE121" s="53" t="s">
        <v>480</v>
      </c>
      <c r="AF121" s="53" t="s">
        <v>480</v>
      </c>
      <c r="AG121" s="53" t="s">
        <v>480</v>
      </c>
      <c r="AH121" s="53" t="s">
        <v>480</v>
      </c>
      <c r="AI121" s="53" t="s">
        <v>480</v>
      </c>
      <c r="AJ121" s="53" t="s">
        <v>480</v>
      </c>
      <c r="AK121" s="53" t="s">
        <v>480</v>
      </c>
      <c r="AL121" s="53" t="s">
        <v>480</v>
      </c>
      <c r="AM121" s="53" t="s">
        <v>480</v>
      </c>
      <c r="AQ121">
        <f t="shared" si="3"/>
        <v>1</v>
      </c>
      <c r="AR121" t="s">
        <v>232</v>
      </c>
    </row>
    <row r="122" spans="1:44" x14ac:dyDescent="0.25">
      <c r="A122" s="1">
        <f>COUNTIF('Value Matchup'!$D$356:$D$423,PASE!B122)</f>
        <v>0</v>
      </c>
      <c r="B122" t="s">
        <v>233</v>
      </c>
      <c r="C122" s="64">
        <f t="shared" si="2"/>
        <v>7.352941176470576E-3</v>
      </c>
      <c r="E122" s="91" t="s">
        <v>480</v>
      </c>
      <c r="F122" s="53" t="s">
        <v>480</v>
      </c>
      <c r="G122" s="53" t="s">
        <v>480</v>
      </c>
      <c r="H122" s="53" t="s">
        <v>480</v>
      </c>
      <c r="I122" s="53" t="s">
        <v>480</v>
      </c>
      <c r="J122" s="53" t="s">
        <v>480</v>
      </c>
      <c r="K122" s="53" t="s">
        <v>480</v>
      </c>
      <c r="L122" s="53" t="s">
        <v>480</v>
      </c>
      <c r="M122" s="53" t="s">
        <v>480</v>
      </c>
      <c r="N122" s="53" t="s">
        <v>480</v>
      </c>
      <c r="O122" s="53" t="s">
        <v>480</v>
      </c>
      <c r="P122" s="53" t="s">
        <v>480</v>
      </c>
      <c r="Q122" s="53" t="s">
        <v>480</v>
      </c>
      <c r="R122" s="53" t="s">
        <v>480</v>
      </c>
      <c r="S122" s="53" t="s">
        <v>480</v>
      </c>
      <c r="T122" s="53" t="s">
        <v>480</v>
      </c>
      <c r="U122" s="53" t="s">
        <v>480</v>
      </c>
      <c r="V122" s="53" t="s">
        <v>480</v>
      </c>
      <c r="W122" s="53" t="s">
        <v>480</v>
      </c>
      <c r="X122" s="53" t="s">
        <v>480</v>
      </c>
      <c r="Y122" s="53" t="s">
        <v>480</v>
      </c>
      <c r="Z122" s="53">
        <v>0.41176470588235292</v>
      </c>
      <c r="AA122" s="53">
        <v>-0.625</v>
      </c>
      <c r="AB122" s="53" t="s">
        <v>480</v>
      </c>
      <c r="AC122" s="53" t="s">
        <v>480</v>
      </c>
      <c r="AD122" s="53" t="s">
        <v>480</v>
      </c>
      <c r="AE122" s="53" t="s">
        <v>480</v>
      </c>
      <c r="AF122" s="53" t="s">
        <v>480</v>
      </c>
      <c r="AG122" s="53" t="s">
        <v>480</v>
      </c>
      <c r="AH122" s="53">
        <v>-0.16911764705882354</v>
      </c>
      <c r="AI122" s="53" t="s">
        <v>480</v>
      </c>
      <c r="AJ122" s="53" t="s">
        <v>480</v>
      </c>
      <c r="AK122" s="53" t="s">
        <v>480</v>
      </c>
      <c r="AL122" s="53" t="s">
        <v>480</v>
      </c>
      <c r="AM122" s="53">
        <v>0.41176470588235292</v>
      </c>
      <c r="AQ122">
        <f t="shared" si="3"/>
        <v>1</v>
      </c>
      <c r="AR122" t="s">
        <v>233</v>
      </c>
    </row>
    <row r="123" spans="1:44" x14ac:dyDescent="0.25">
      <c r="A123" s="1">
        <f>COUNTIF('Value Matchup'!$D$356:$D$423,PASE!B123)</f>
        <v>0</v>
      </c>
      <c r="B123" t="s">
        <v>234</v>
      </c>
      <c r="C123" s="64">
        <f t="shared" si="2"/>
        <v>0</v>
      </c>
      <c r="E123" s="91" t="s">
        <v>480</v>
      </c>
      <c r="F123" s="53" t="s">
        <v>480</v>
      </c>
      <c r="G123" s="53" t="s">
        <v>480</v>
      </c>
      <c r="H123" s="53" t="s">
        <v>480</v>
      </c>
      <c r="I123" s="53" t="s">
        <v>480</v>
      </c>
      <c r="J123" s="53" t="s">
        <v>480</v>
      </c>
      <c r="K123" s="53" t="s">
        <v>480</v>
      </c>
      <c r="L123" s="53" t="s">
        <v>480</v>
      </c>
      <c r="M123" s="53" t="s">
        <v>480</v>
      </c>
      <c r="N123" s="53" t="s">
        <v>480</v>
      </c>
      <c r="O123" s="53" t="s">
        <v>480</v>
      </c>
      <c r="P123" s="53" t="s">
        <v>480</v>
      </c>
      <c r="Q123" s="53" t="s">
        <v>480</v>
      </c>
      <c r="R123" s="53" t="s">
        <v>480</v>
      </c>
      <c r="S123" s="53" t="s">
        <v>480</v>
      </c>
      <c r="T123" s="53" t="s">
        <v>480</v>
      </c>
      <c r="U123" s="53" t="s">
        <v>480</v>
      </c>
      <c r="V123" s="53" t="s">
        <v>480</v>
      </c>
      <c r="W123" s="53" t="s">
        <v>480</v>
      </c>
      <c r="X123" s="53" t="s">
        <v>480</v>
      </c>
      <c r="Y123" s="53" t="s">
        <v>480</v>
      </c>
      <c r="Z123" s="53" t="s">
        <v>480</v>
      </c>
      <c r="AA123" s="53" t="s">
        <v>480</v>
      </c>
      <c r="AB123" s="53" t="s">
        <v>480</v>
      </c>
      <c r="AC123" s="53" t="s">
        <v>480</v>
      </c>
      <c r="AD123" s="53" t="s">
        <v>480</v>
      </c>
      <c r="AE123" s="53" t="s">
        <v>480</v>
      </c>
      <c r="AF123" s="53" t="s">
        <v>480</v>
      </c>
      <c r="AG123" s="53" t="s">
        <v>480</v>
      </c>
      <c r="AH123" s="53" t="s">
        <v>480</v>
      </c>
      <c r="AI123" s="53" t="s">
        <v>480</v>
      </c>
      <c r="AJ123" s="53" t="s">
        <v>480</v>
      </c>
      <c r="AK123" s="53" t="s">
        <v>480</v>
      </c>
      <c r="AL123" s="53" t="s">
        <v>480</v>
      </c>
      <c r="AM123" s="53" t="s">
        <v>480</v>
      </c>
      <c r="AQ123">
        <f t="shared" si="3"/>
        <v>1</v>
      </c>
      <c r="AR123" t="s">
        <v>234</v>
      </c>
    </row>
    <row r="124" spans="1:44" x14ac:dyDescent="0.25">
      <c r="A124" s="1">
        <f>COUNTIF('Value Matchup'!$D$356:$D$423,PASE!B124)</f>
        <v>0</v>
      </c>
      <c r="B124" t="s">
        <v>36</v>
      </c>
      <c r="C124" s="64">
        <f t="shared" si="2"/>
        <v>-0.21078431372549022</v>
      </c>
      <c r="E124" s="91" t="s">
        <v>480</v>
      </c>
      <c r="F124" s="53" t="s">
        <v>480</v>
      </c>
      <c r="G124" s="53" t="s">
        <v>480</v>
      </c>
      <c r="H124" s="53">
        <v>0.88235294117647056</v>
      </c>
      <c r="I124" s="53">
        <v>-0.61764705882352944</v>
      </c>
      <c r="J124" s="53" t="s">
        <v>480</v>
      </c>
      <c r="K124" s="53">
        <v>-1.3455882352941178</v>
      </c>
      <c r="L124" s="53">
        <v>0.45588235294117641</v>
      </c>
      <c r="M124" s="53" t="s">
        <v>480</v>
      </c>
      <c r="N124" s="53" t="s">
        <v>480</v>
      </c>
      <c r="O124" s="53" t="s">
        <v>480</v>
      </c>
      <c r="P124" s="53">
        <v>-0.72058823529411764</v>
      </c>
      <c r="Q124" s="53">
        <v>7.3529411764705843E-2</v>
      </c>
      <c r="R124" s="53">
        <v>-8.0882352941176405E-2</v>
      </c>
      <c r="S124" s="53" t="s">
        <v>480</v>
      </c>
      <c r="T124" s="53" t="s">
        <v>480</v>
      </c>
      <c r="U124" s="53">
        <v>7.3529411764705843E-2</v>
      </c>
      <c r="V124" s="53">
        <v>3.8823529411764706</v>
      </c>
      <c r="W124" s="53">
        <v>-1.5441176470588236</v>
      </c>
      <c r="X124" s="53">
        <v>-1.0808823529411764</v>
      </c>
      <c r="Y124" s="53">
        <v>-8.0882352941176405E-2</v>
      </c>
      <c r="Z124" s="53">
        <v>7.3529411764705843E-2</v>
      </c>
      <c r="AA124" s="53">
        <v>-0.72058823529411764</v>
      </c>
      <c r="AB124" s="53">
        <v>-1.0808823529411764</v>
      </c>
      <c r="AC124" s="53">
        <v>-0.58823529411764708</v>
      </c>
      <c r="AD124" s="53">
        <v>0.88235294117647056</v>
      </c>
      <c r="AE124" s="53">
        <v>-0.34558823529411775</v>
      </c>
      <c r="AF124" s="53">
        <v>1.6397058823529411</v>
      </c>
      <c r="AG124" s="53">
        <v>-0.36029411764705888</v>
      </c>
      <c r="AH124" s="53">
        <v>-0.72058823529411764</v>
      </c>
      <c r="AI124" s="53">
        <v>-0.36029411764705888</v>
      </c>
      <c r="AJ124" s="53">
        <v>-1.5441176470588236</v>
      </c>
      <c r="AK124" s="53" t="s">
        <v>480</v>
      </c>
      <c r="AL124" s="53">
        <v>-1.8308823529411764</v>
      </c>
      <c r="AM124" s="53" t="s">
        <v>480</v>
      </c>
      <c r="AQ124">
        <f t="shared" si="3"/>
        <v>1</v>
      </c>
      <c r="AR124" t="s">
        <v>36</v>
      </c>
    </row>
    <row r="125" spans="1:44" x14ac:dyDescent="0.25">
      <c r="A125" s="1">
        <f>COUNTIF('Value Matchup'!$D$356:$D$423,PASE!B125)</f>
        <v>0</v>
      </c>
      <c r="B125" t="s">
        <v>235</v>
      </c>
      <c r="C125" s="64">
        <f t="shared" si="2"/>
        <v>2.6960784313725467E-2</v>
      </c>
      <c r="E125" s="91" t="s">
        <v>480</v>
      </c>
      <c r="F125" s="53" t="s">
        <v>480</v>
      </c>
      <c r="G125" s="53" t="s">
        <v>480</v>
      </c>
      <c r="H125" s="53" t="s">
        <v>480</v>
      </c>
      <c r="I125" s="53" t="s">
        <v>480</v>
      </c>
      <c r="J125" s="53" t="s">
        <v>480</v>
      </c>
      <c r="K125" s="53" t="s">
        <v>480</v>
      </c>
      <c r="L125" s="53" t="s">
        <v>480</v>
      </c>
      <c r="M125" s="53">
        <v>-0.16911764705882354</v>
      </c>
      <c r="N125" s="53" t="s">
        <v>480</v>
      </c>
      <c r="O125" s="53" t="s">
        <v>480</v>
      </c>
      <c r="P125" s="53" t="s">
        <v>480</v>
      </c>
      <c r="Q125" s="53" t="s">
        <v>480</v>
      </c>
      <c r="R125" s="53" t="s">
        <v>480</v>
      </c>
      <c r="S125" s="53" t="s">
        <v>480</v>
      </c>
      <c r="T125" s="53" t="s">
        <v>480</v>
      </c>
      <c r="U125" s="53" t="s">
        <v>480</v>
      </c>
      <c r="V125" s="53" t="s">
        <v>480</v>
      </c>
      <c r="W125" s="53">
        <v>0.75</v>
      </c>
      <c r="X125" s="53">
        <v>-0.5</v>
      </c>
      <c r="Y125" s="53" t="s">
        <v>480</v>
      </c>
      <c r="Z125" s="53" t="s">
        <v>480</v>
      </c>
      <c r="AA125" s="53" t="s">
        <v>480</v>
      </c>
      <c r="AB125" s="53" t="s">
        <v>480</v>
      </c>
      <c r="AC125" s="53" t="s">
        <v>480</v>
      </c>
      <c r="AD125" s="53" t="s">
        <v>480</v>
      </c>
      <c r="AE125" s="53" t="s">
        <v>480</v>
      </c>
      <c r="AF125" s="53" t="s">
        <v>480</v>
      </c>
      <c r="AG125" s="53" t="s">
        <v>480</v>
      </c>
      <c r="AH125" s="53" t="s">
        <v>480</v>
      </c>
      <c r="AI125" s="53" t="s">
        <v>480</v>
      </c>
      <c r="AJ125" s="53" t="s">
        <v>480</v>
      </c>
      <c r="AK125" s="53" t="s">
        <v>480</v>
      </c>
      <c r="AL125" s="53" t="s">
        <v>480</v>
      </c>
      <c r="AM125" s="53" t="s">
        <v>480</v>
      </c>
      <c r="AQ125">
        <f t="shared" si="3"/>
        <v>1</v>
      </c>
      <c r="AR125" t="s">
        <v>235</v>
      </c>
    </row>
    <row r="126" spans="1:44" x14ac:dyDescent="0.25">
      <c r="A126" s="1">
        <f>COUNTIF('Value Matchup'!$D$356:$D$423,PASE!B126)</f>
        <v>1</v>
      </c>
      <c r="B126" t="s">
        <v>236</v>
      </c>
      <c r="C126" s="64">
        <f t="shared" si="2"/>
        <v>-0.18781512605042019</v>
      </c>
      <c r="E126" s="91">
        <v>-7.1428571428571426E-3</v>
      </c>
      <c r="F126" s="53">
        <v>-6.6176470588235295E-2</v>
      </c>
      <c r="G126" s="53">
        <v>-0.16911764705882354</v>
      </c>
      <c r="H126" s="53">
        <v>-0.25</v>
      </c>
      <c r="I126" s="53" t="s">
        <v>480</v>
      </c>
      <c r="J126" s="53" t="s">
        <v>480</v>
      </c>
      <c r="K126" s="53">
        <v>-6.6176470588235295E-2</v>
      </c>
      <c r="L126" s="53">
        <v>-0.16911764705882354</v>
      </c>
      <c r="M126" s="53" t="s">
        <v>480</v>
      </c>
      <c r="N126" s="53" t="s">
        <v>480</v>
      </c>
      <c r="O126" s="53" t="s">
        <v>480</v>
      </c>
      <c r="P126" s="53" t="s">
        <v>480</v>
      </c>
      <c r="Q126" s="53" t="s">
        <v>480</v>
      </c>
      <c r="R126" s="53">
        <v>-0.25</v>
      </c>
      <c r="S126" s="53" t="s">
        <v>480</v>
      </c>
      <c r="T126" s="53" t="s">
        <v>480</v>
      </c>
      <c r="U126" s="53" t="s">
        <v>480</v>
      </c>
      <c r="V126" s="53" t="s">
        <v>480</v>
      </c>
      <c r="W126" s="53">
        <v>-0.16911764705882354</v>
      </c>
      <c r="X126" s="53">
        <v>-0.16911764705882354</v>
      </c>
      <c r="Y126" s="53" t="s">
        <v>480</v>
      </c>
      <c r="Z126" s="53">
        <v>-0.5</v>
      </c>
      <c r="AA126" s="53" t="s">
        <v>480</v>
      </c>
      <c r="AB126" s="53" t="s">
        <v>480</v>
      </c>
      <c r="AC126" s="53" t="s">
        <v>480</v>
      </c>
      <c r="AD126" s="53" t="s">
        <v>480</v>
      </c>
      <c r="AE126" s="53" t="s">
        <v>480</v>
      </c>
      <c r="AF126" s="53" t="s">
        <v>480</v>
      </c>
      <c r="AG126" s="53" t="s">
        <v>480</v>
      </c>
      <c r="AH126" s="53" t="s">
        <v>480</v>
      </c>
      <c r="AI126" s="53" t="s">
        <v>480</v>
      </c>
      <c r="AJ126" s="53" t="s">
        <v>480</v>
      </c>
      <c r="AK126" s="53" t="s">
        <v>480</v>
      </c>
      <c r="AL126" s="53" t="s">
        <v>480</v>
      </c>
      <c r="AM126" s="53">
        <v>-0.25</v>
      </c>
      <c r="AQ126">
        <f t="shared" si="3"/>
        <v>1</v>
      </c>
      <c r="AR126" t="s">
        <v>236</v>
      </c>
    </row>
    <row r="127" spans="1:44" x14ac:dyDescent="0.25">
      <c r="A127" s="1">
        <f>COUNTIF('Value Matchup'!$D$356:$D$423,PASE!B127)</f>
        <v>1</v>
      </c>
      <c r="B127" t="s">
        <v>69</v>
      </c>
      <c r="C127" s="64">
        <f t="shared" si="2"/>
        <v>-0.10110877684407099</v>
      </c>
      <c r="E127" s="91">
        <v>0.37857142857142856</v>
      </c>
      <c r="F127" s="53" t="s">
        <v>480</v>
      </c>
      <c r="G127" s="53" t="s">
        <v>480</v>
      </c>
      <c r="H127" s="53">
        <v>7.3529411764705843E-2</v>
      </c>
      <c r="I127" s="53">
        <v>7.3529411764705843E-2</v>
      </c>
      <c r="J127" s="53">
        <v>-0.625</v>
      </c>
      <c r="K127" s="53" t="s">
        <v>480</v>
      </c>
      <c r="L127" s="53" t="s">
        <v>480</v>
      </c>
      <c r="M127" s="53" t="s">
        <v>480</v>
      </c>
      <c r="N127" s="53" t="s">
        <v>480</v>
      </c>
      <c r="O127" s="53" t="s">
        <v>480</v>
      </c>
      <c r="P127" s="53" t="s">
        <v>480</v>
      </c>
      <c r="Q127" s="53" t="s">
        <v>480</v>
      </c>
      <c r="R127" s="53">
        <v>-1.8308823529411764</v>
      </c>
      <c r="S127" s="53">
        <v>-0.61764705882352944</v>
      </c>
      <c r="T127" s="53" t="s">
        <v>480</v>
      </c>
      <c r="U127" s="53" t="s">
        <v>480</v>
      </c>
      <c r="V127" s="53" t="s">
        <v>480</v>
      </c>
      <c r="W127" s="53">
        <v>7.3529411764705843E-2</v>
      </c>
      <c r="X127" s="53" t="s">
        <v>480</v>
      </c>
      <c r="Y127" s="53">
        <v>0.88235294117647056</v>
      </c>
      <c r="Z127" s="53" t="s">
        <v>480</v>
      </c>
      <c r="AA127" s="53">
        <v>0.27941176470588236</v>
      </c>
      <c r="AB127" s="53">
        <v>-8.0882352941176405E-2</v>
      </c>
      <c r="AC127" s="53" t="s">
        <v>480</v>
      </c>
      <c r="AD127" s="53" t="s">
        <v>480</v>
      </c>
      <c r="AE127" s="53">
        <v>-0.54411764705882359</v>
      </c>
      <c r="AF127" s="53">
        <v>0.41176470588235292</v>
      </c>
      <c r="AG127" s="53">
        <v>7.3529411764705843E-2</v>
      </c>
      <c r="AH127" s="53" t="s">
        <v>480</v>
      </c>
      <c r="AI127" s="53">
        <v>-0.54411764705882359</v>
      </c>
      <c r="AJ127" s="53">
        <v>0.88235294117647056</v>
      </c>
      <c r="AK127" s="53">
        <v>0.63970588235294112</v>
      </c>
      <c r="AL127" s="53">
        <v>-0.625</v>
      </c>
      <c r="AM127" s="53">
        <v>-0.72058823529411764</v>
      </c>
      <c r="AQ127">
        <f t="shared" si="3"/>
        <v>1</v>
      </c>
      <c r="AR127" t="s">
        <v>69</v>
      </c>
    </row>
    <row r="128" spans="1:44" x14ac:dyDescent="0.25">
      <c r="A128" s="1">
        <f>COUNTIF('Value Matchup'!$D$356:$D$423,PASE!B128)</f>
        <v>0</v>
      </c>
      <c r="B128" t="s">
        <v>237</v>
      </c>
      <c r="C128" s="64">
        <f t="shared" si="2"/>
        <v>-0.1473352498894295</v>
      </c>
      <c r="E128" s="91">
        <v>-1.0714285714285714</v>
      </c>
      <c r="F128" s="53" t="s">
        <v>480</v>
      </c>
      <c r="G128" s="53">
        <v>-0.11764705882352944</v>
      </c>
      <c r="H128" s="53">
        <v>0.45588235294117641</v>
      </c>
      <c r="I128" s="53">
        <v>-1.8308823529411764</v>
      </c>
      <c r="J128" s="53">
        <v>0.16911764705882359</v>
      </c>
      <c r="K128" s="53">
        <v>0.38235294117647056</v>
      </c>
      <c r="L128" s="53">
        <v>0.27941176470588236</v>
      </c>
      <c r="M128" s="53" t="s">
        <v>480</v>
      </c>
      <c r="N128" s="53" t="s">
        <v>480</v>
      </c>
      <c r="O128" s="53" t="s">
        <v>480</v>
      </c>
      <c r="P128" s="53" t="s">
        <v>480</v>
      </c>
      <c r="Q128" s="53" t="s">
        <v>480</v>
      </c>
      <c r="R128" s="53" t="s">
        <v>480</v>
      </c>
      <c r="S128" s="53">
        <v>0.41176470588235292</v>
      </c>
      <c r="T128" s="53" t="s">
        <v>480</v>
      </c>
      <c r="U128" s="53" t="s">
        <v>480</v>
      </c>
      <c r="V128" s="53" t="s">
        <v>480</v>
      </c>
      <c r="W128" s="53">
        <v>-2.3602941176470589</v>
      </c>
      <c r="X128" s="53">
        <v>0.63970588235294112</v>
      </c>
      <c r="Y128" s="53" t="s">
        <v>480</v>
      </c>
      <c r="Z128" s="53" t="s">
        <v>480</v>
      </c>
      <c r="AA128" s="53">
        <v>0.91911764705882359</v>
      </c>
      <c r="AB128" s="53">
        <v>-0.11764705882352944</v>
      </c>
      <c r="AC128" s="53">
        <v>7.3529411764705843E-2</v>
      </c>
      <c r="AD128" s="53" t="s">
        <v>480</v>
      </c>
      <c r="AE128" s="53">
        <v>-0.72058823529411764</v>
      </c>
      <c r="AF128" s="53">
        <v>0.38235294117647056</v>
      </c>
      <c r="AG128" s="53" t="s">
        <v>480</v>
      </c>
      <c r="AH128" s="53" t="s">
        <v>480</v>
      </c>
      <c r="AI128" s="53">
        <v>-0.61764705882352944</v>
      </c>
      <c r="AJ128" s="53">
        <v>-0.5</v>
      </c>
      <c r="AK128" s="53" t="s">
        <v>480</v>
      </c>
      <c r="AL128" s="53">
        <v>1.0735294117647058</v>
      </c>
      <c r="AM128" s="53">
        <v>-0.25</v>
      </c>
      <c r="AQ128">
        <f t="shared" si="3"/>
        <v>1</v>
      </c>
      <c r="AR128" t="s">
        <v>237</v>
      </c>
    </row>
    <row r="129" spans="1:44" x14ac:dyDescent="0.25">
      <c r="A129" s="1">
        <f>COUNTIF('Value Matchup'!$D$356:$D$423,PASE!B129)</f>
        <v>0</v>
      </c>
      <c r="B129" t="s">
        <v>238</v>
      </c>
      <c r="C129" s="64">
        <f t="shared" si="2"/>
        <v>-7.3529411764705881E-3</v>
      </c>
      <c r="E129" s="91" t="s">
        <v>480</v>
      </c>
      <c r="F129" s="53" t="s">
        <v>480</v>
      </c>
      <c r="G129" s="53" t="s">
        <v>480</v>
      </c>
      <c r="H129" s="53" t="s">
        <v>480</v>
      </c>
      <c r="I129" s="53" t="s">
        <v>480</v>
      </c>
      <c r="J129" s="53" t="s">
        <v>480</v>
      </c>
      <c r="K129" s="53" t="s">
        <v>480</v>
      </c>
      <c r="L129" s="53" t="s">
        <v>480</v>
      </c>
      <c r="M129" s="53" t="s">
        <v>480</v>
      </c>
      <c r="N129" s="53" t="s">
        <v>480</v>
      </c>
      <c r="O129" s="53" t="s">
        <v>480</v>
      </c>
      <c r="P129" s="53" t="s">
        <v>480</v>
      </c>
      <c r="Q129" s="53" t="s">
        <v>480</v>
      </c>
      <c r="R129" s="53" t="s">
        <v>480</v>
      </c>
      <c r="S129" s="53" t="s">
        <v>480</v>
      </c>
      <c r="T129" s="53" t="s">
        <v>480</v>
      </c>
      <c r="U129" s="53">
        <v>-7.3529411764705881E-3</v>
      </c>
      <c r="V129" s="53" t="s">
        <v>480</v>
      </c>
      <c r="W129" s="53" t="s">
        <v>480</v>
      </c>
      <c r="X129" s="53" t="s">
        <v>480</v>
      </c>
      <c r="Y129" s="53" t="s">
        <v>480</v>
      </c>
      <c r="Z129" s="53" t="s">
        <v>480</v>
      </c>
      <c r="AA129" s="53" t="s">
        <v>480</v>
      </c>
      <c r="AB129" s="53" t="s">
        <v>480</v>
      </c>
      <c r="AC129" s="53" t="s">
        <v>480</v>
      </c>
      <c r="AD129" s="53" t="s">
        <v>480</v>
      </c>
      <c r="AE129" s="53" t="s">
        <v>480</v>
      </c>
      <c r="AF129" s="53" t="s">
        <v>480</v>
      </c>
      <c r="AG129" s="53" t="s">
        <v>480</v>
      </c>
      <c r="AH129" s="53" t="s">
        <v>480</v>
      </c>
      <c r="AI129" s="53" t="s">
        <v>480</v>
      </c>
      <c r="AJ129" s="53" t="s">
        <v>480</v>
      </c>
      <c r="AK129" s="53" t="s">
        <v>480</v>
      </c>
      <c r="AL129" s="53" t="s">
        <v>480</v>
      </c>
      <c r="AM129" s="53" t="s">
        <v>480</v>
      </c>
      <c r="AQ129">
        <f t="shared" si="3"/>
        <v>1</v>
      </c>
      <c r="AR129" t="s">
        <v>238</v>
      </c>
    </row>
    <row r="130" spans="1:44" x14ac:dyDescent="0.25">
      <c r="A130" s="1">
        <f>COUNTIF('Value Matchup'!$D$356:$D$423,PASE!B130)</f>
        <v>0</v>
      </c>
      <c r="B130" t="s">
        <v>239</v>
      </c>
      <c r="C130" s="64">
        <f t="shared" si="2"/>
        <v>-7.3529411764705873E-3</v>
      </c>
      <c r="E130" s="91" t="s">
        <v>480</v>
      </c>
      <c r="F130" s="53" t="s">
        <v>480</v>
      </c>
      <c r="G130" s="53" t="s">
        <v>480</v>
      </c>
      <c r="H130" s="53" t="s">
        <v>480</v>
      </c>
      <c r="I130" s="53" t="s">
        <v>480</v>
      </c>
      <c r="J130" s="53" t="s">
        <v>480</v>
      </c>
      <c r="K130" s="53" t="s">
        <v>480</v>
      </c>
      <c r="L130" s="53" t="s">
        <v>480</v>
      </c>
      <c r="M130" s="53" t="s">
        <v>480</v>
      </c>
      <c r="N130" s="53" t="s">
        <v>480</v>
      </c>
      <c r="O130" s="53" t="s">
        <v>480</v>
      </c>
      <c r="P130" s="53" t="s">
        <v>480</v>
      </c>
      <c r="Q130" s="53">
        <v>-7.3529411764705881E-3</v>
      </c>
      <c r="R130" s="53" t="s">
        <v>480</v>
      </c>
      <c r="S130" s="53" t="s">
        <v>480</v>
      </c>
      <c r="T130" s="53" t="s">
        <v>480</v>
      </c>
      <c r="U130" s="53" t="s">
        <v>480</v>
      </c>
      <c r="V130" s="53" t="s">
        <v>480</v>
      </c>
      <c r="W130" s="53" t="s">
        <v>480</v>
      </c>
      <c r="X130" s="53">
        <v>-7.3529411764705881E-3</v>
      </c>
      <c r="Y130" s="53" t="s">
        <v>480</v>
      </c>
      <c r="Z130" s="53" t="s">
        <v>480</v>
      </c>
      <c r="AA130" s="53">
        <v>-7.3529411764705881E-3</v>
      </c>
      <c r="AB130" s="53" t="s">
        <v>480</v>
      </c>
      <c r="AC130" s="53" t="s">
        <v>480</v>
      </c>
      <c r="AD130" s="53" t="s">
        <v>480</v>
      </c>
      <c r="AE130" s="53" t="s">
        <v>480</v>
      </c>
      <c r="AF130" s="53" t="s">
        <v>480</v>
      </c>
      <c r="AG130" s="53" t="s">
        <v>480</v>
      </c>
      <c r="AH130" s="53" t="s">
        <v>480</v>
      </c>
      <c r="AI130" s="53" t="s">
        <v>480</v>
      </c>
      <c r="AJ130" s="53" t="s">
        <v>480</v>
      </c>
      <c r="AK130" s="53" t="s">
        <v>480</v>
      </c>
      <c r="AL130" s="53" t="s">
        <v>480</v>
      </c>
      <c r="AM130" s="53" t="s">
        <v>480</v>
      </c>
      <c r="AQ130">
        <f t="shared" si="3"/>
        <v>1</v>
      </c>
      <c r="AR130" t="s">
        <v>239</v>
      </c>
    </row>
    <row r="131" spans="1:44" x14ac:dyDescent="0.25">
      <c r="A131" s="1">
        <f>COUNTIF('Value Matchup'!$D$356:$D$423,PASE!B131)</f>
        <v>0</v>
      </c>
      <c r="B131" t="s">
        <v>240</v>
      </c>
      <c r="C131" s="64">
        <f t="shared" si="2"/>
        <v>-0.72058823529411764</v>
      </c>
      <c r="E131" s="91" t="s">
        <v>480</v>
      </c>
      <c r="F131" s="53" t="s">
        <v>480</v>
      </c>
      <c r="G131" s="53" t="s">
        <v>480</v>
      </c>
      <c r="H131" s="53" t="s">
        <v>480</v>
      </c>
      <c r="I131" s="53" t="s">
        <v>480</v>
      </c>
      <c r="J131" s="53" t="s">
        <v>480</v>
      </c>
      <c r="K131" s="53" t="s">
        <v>480</v>
      </c>
      <c r="L131" s="53" t="s">
        <v>480</v>
      </c>
      <c r="M131" s="53" t="s">
        <v>480</v>
      </c>
      <c r="N131" s="53" t="s">
        <v>480</v>
      </c>
      <c r="O131" s="53" t="s">
        <v>480</v>
      </c>
      <c r="P131" s="53" t="s">
        <v>480</v>
      </c>
      <c r="Q131" s="53" t="s">
        <v>480</v>
      </c>
      <c r="R131" s="53" t="s">
        <v>480</v>
      </c>
      <c r="S131" s="53" t="s">
        <v>480</v>
      </c>
      <c r="T131" s="53" t="s">
        <v>480</v>
      </c>
      <c r="U131" s="53" t="s">
        <v>480</v>
      </c>
      <c r="V131" s="53" t="s">
        <v>480</v>
      </c>
      <c r="W131" s="53" t="s">
        <v>480</v>
      </c>
      <c r="X131" s="53" t="s">
        <v>480</v>
      </c>
      <c r="Y131" s="53" t="s">
        <v>480</v>
      </c>
      <c r="Z131" s="53" t="s">
        <v>480</v>
      </c>
      <c r="AA131" s="53" t="s">
        <v>480</v>
      </c>
      <c r="AB131" s="53" t="s">
        <v>480</v>
      </c>
      <c r="AC131" s="53" t="s">
        <v>480</v>
      </c>
      <c r="AD131" s="53" t="s">
        <v>480</v>
      </c>
      <c r="AE131" s="53" t="s">
        <v>480</v>
      </c>
      <c r="AF131" s="53" t="s">
        <v>480</v>
      </c>
      <c r="AG131" s="53" t="s">
        <v>480</v>
      </c>
      <c r="AH131" s="53" t="s">
        <v>480</v>
      </c>
      <c r="AI131" s="53" t="s">
        <v>480</v>
      </c>
      <c r="AJ131" s="53" t="s">
        <v>480</v>
      </c>
      <c r="AK131" s="53" t="s">
        <v>480</v>
      </c>
      <c r="AL131" s="53">
        <v>-0.72058823529411764</v>
      </c>
      <c r="AM131" s="53" t="s">
        <v>480</v>
      </c>
      <c r="AQ131">
        <f t="shared" si="3"/>
        <v>1</v>
      </c>
      <c r="AR131" t="s">
        <v>240</v>
      </c>
    </row>
    <row r="132" spans="1:44" x14ac:dyDescent="0.25">
      <c r="A132" s="1">
        <f>COUNTIF('Value Matchup'!$D$356:$D$423,PASE!B132)</f>
        <v>0</v>
      </c>
      <c r="B132" t="s">
        <v>241</v>
      </c>
      <c r="C132" s="64">
        <f t="shared" ref="C132:C195" si="4">IFERROR(AVERAGE(E132:AM132),0)</f>
        <v>-6.6176470588235295E-2</v>
      </c>
      <c r="E132" s="91" t="s">
        <v>480</v>
      </c>
      <c r="F132" s="53" t="s">
        <v>480</v>
      </c>
      <c r="G132" s="53">
        <v>-6.6176470588235295E-2</v>
      </c>
      <c r="H132" s="53" t="s">
        <v>480</v>
      </c>
      <c r="I132" s="53" t="s">
        <v>480</v>
      </c>
      <c r="J132" s="53" t="s">
        <v>480</v>
      </c>
      <c r="K132" s="53" t="s">
        <v>480</v>
      </c>
      <c r="L132" s="53" t="s">
        <v>480</v>
      </c>
      <c r="M132" s="53" t="s">
        <v>480</v>
      </c>
      <c r="N132" s="53" t="s">
        <v>480</v>
      </c>
      <c r="O132" s="53" t="s">
        <v>480</v>
      </c>
      <c r="P132" s="53" t="s">
        <v>480</v>
      </c>
      <c r="Q132" s="53" t="s">
        <v>480</v>
      </c>
      <c r="R132" s="53" t="s">
        <v>480</v>
      </c>
      <c r="S132" s="53" t="s">
        <v>480</v>
      </c>
      <c r="T132" s="53" t="s">
        <v>480</v>
      </c>
      <c r="U132" s="53" t="s">
        <v>480</v>
      </c>
      <c r="V132" s="53" t="s">
        <v>480</v>
      </c>
      <c r="W132" s="53" t="s">
        <v>480</v>
      </c>
      <c r="X132" s="53" t="s">
        <v>480</v>
      </c>
      <c r="Y132" s="53" t="s">
        <v>480</v>
      </c>
      <c r="Z132" s="53" t="s">
        <v>480</v>
      </c>
      <c r="AA132" s="53" t="s">
        <v>480</v>
      </c>
      <c r="AB132" s="53" t="s">
        <v>480</v>
      </c>
      <c r="AC132" s="53" t="s">
        <v>480</v>
      </c>
      <c r="AD132" s="53" t="s">
        <v>480</v>
      </c>
      <c r="AE132" s="53" t="s">
        <v>480</v>
      </c>
      <c r="AF132" s="53" t="s">
        <v>480</v>
      </c>
      <c r="AG132" s="53" t="s">
        <v>480</v>
      </c>
      <c r="AH132" s="53" t="s">
        <v>480</v>
      </c>
      <c r="AI132" s="53" t="s">
        <v>480</v>
      </c>
      <c r="AJ132" s="53" t="s">
        <v>480</v>
      </c>
      <c r="AK132" s="53" t="s">
        <v>480</v>
      </c>
      <c r="AL132" s="53" t="s">
        <v>480</v>
      </c>
      <c r="AM132" s="53" t="s">
        <v>480</v>
      </c>
      <c r="AQ132">
        <f t="shared" ref="AQ132:AQ195" si="5">COUNTIF(B:B,AR132)</f>
        <v>1</v>
      </c>
      <c r="AR132" t="s">
        <v>241</v>
      </c>
    </row>
    <row r="133" spans="1:44" x14ac:dyDescent="0.25">
      <c r="A133" s="1">
        <f>COUNTIF('Value Matchup'!$D$356:$D$423,PASE!B133)</f>
        <v>0</v>
      </c>
      <c r="B133" t="s">
        <v>242</v>
      </c>
      <c r="C133" s="64">
        <f t="shared" si="4"/>
        <v>-8.8235294117647065E-2</v>
      </c>
      <c r="E133" s="91" t="s">
        <v>480</v>
      </c>
      <c r="F133" s="53" t="s">
        <v>480</v>
      </c>
      <c r="G133" s="53" t="s">
        <v>480</v>
      </c>
      <c r="H133" s="53" t="s">
        <v>480</v>
      </c>
      <c r="I133" s="53" t="s">
        <v>480</v>
      </c>
      <c r="J133" s="53" t="s">
        <v>480</v>
      </c>
      <c r="K133" s="53">
        <v>-7.3529411764705881E-3</v>
      </c>
      <c r="L133" s="53" t="s">
        <v>480</v>
      </c>
      <c r="M133" s="53" t="s">
        <v>480</v>
      </c>
      <c r="N133" s="53" t="s">
        <v>480</v>
      </c>
      <c r="O133" s="53" t="s">
        <v>480</v>
      </c>
      <c r="P133" s="53" t="s">
        <v>480</v>
      </c>
      <c r="Q133" s="53" t="s">
        <v>480</v>
      </c>
      <c r="R133" s="53" t="s">
        <v>480</v>
      </c>
      <c r="S133" s="53" t="s">
        <v>480</v>
      </c>
      <c r="T133" s="53" t="s">
        <v>480</v>
      </c>
      <c r="U133" s="53" t="s">
        <v>480</v>
      </c>
      <c r="V133" s="53" t="s">
        <v>480</v>
      </c>
      <c r="W133" s="53" t="s">
        <v>480</v>
      </c>
      <c r="X133" s="53" t="s">
        <v>480</v>
      </c>
      <c r="Y133" s="53" t="s">
        <v>480</v>
      </c>
      <c r="Z133" s="53" t="s">
        <v>480</v>
      </c>
      <c r="AA133" s="53" t="s">
        <v>480</v>
      </c>
      <c r="AB133" s="53" t="s">
        <v>480</v>
      </c>
      <c r="AC133" s="53" t="s">
        <v>480</v>
      </c>
      <c r="AD133" s="53">
        <v>-0.16911764705882354</v>
      </c>
      <c r="AE133" s="53" t="s">
        <v>480</v>
      </c>
      <c r="AF133" s="53" t="s">
        <v>480</v>
      </c>
      <c r="AG133" s="53" t="s">
        <v>480</v>
      </c>
      <c r="AH133" s="53" t="s">
        <v>480</v>
      </c>
      <c r="AI133" s="53" t="s">
        <v>480</v>
      </c>
      <c r="AJ133" s="53" t="s">
        <v>480</v>
      </c>
      <c r="AK133" s="53" t="s">
        <v>480</v>
      </c>
      <c r="AL133" s="53" t="s">
        <v>480</v>
      </c>
      <c r="AM133" s="53" t="s">
        <v>480</v>
      </c>
      <c r="AQ133">
        <f t="shared" si="5"/>
        <v>1</v>
      </c>
      <c r="AR133" t="s">
        <v>242</v>
      </c>
    </row>
    <row r="134" spans="1:44" x14ac:dyDescent="0.25">
      <c r="A134" s="1">
        <f>COUNTIF('Value Matchup'!$D$356:$D$423,PASE!B134)</f>
        <v>1</v>
      </c>
      <c r="B134" t="s">
        <v>37</v>
      </c>
      <c r="C134" s="64">
        <f t="shared" si="4"/>
        <v>-0.15529805672268912</v>
      </c>
      <c r="E134" s="91">
        <v>-0.53571428571428581</v>
      </c>
      <c r="F134" s="53">
        <v>0.65441176470588225</v>
      </c>
      <c r="G134" s="53">
        <v>-0.34558823529411775</v>
      </c>
      <c r="H134" s="53">
        <v>-0.34558823529411775</v>
      </c>
      <c r="I134" s="53">
        <v>-1.3602941176470589</v>
      </c>
      <c r="J134" s="53">
        <v>-1.3602941176470589</v>
      </c>
      <c r="K134" s="53">
        <v>-1.3455882352941178</v>
      </c>
      <c r="L134" s="53">
        <v>2.6397058823529411</v>
      </c>
      <c r="M134" s="53">
        <v>-0.34558823529411775</v>
      </c>
      <c r="N134" s="53">
        <v>-2.3455882352941178</v>
      </c>
      <c r="O134" s="53">
        <v>0.16911764705882359</v>
      </c>
      <c r="P134" s="53" t="s">
        <v>480</v>
      </c>
      <c r="Q134" s="53">
        <v>-0.34558823529411775</v>
      </c>
      <c r="R134" s="53">
        <v>-1.5441176470588236</v>
      </c>
      <c r="S134" s="53">
        <v>-1.8308823529411764</v>
      </c>
      <c r="T134" s="53">
        <v>1.4558823529411764</v>
      </c>
      <c r="U134" s="53">
        <v>2.6397058823529411</v>
      </c>
      <c r="V134" s="53">
        <v>0.65441176470588225</v>
      </c>
      <c r="W134" s="53">
        <v>0.45588235294117641</v>
      </c>
      <c r="X134" s="53">
        <v>0.27941176470588236</v>
      </c>
      <c r="Y134" s="53">
        <v>-8.0882352941176405E-2</v>
      </c>
      <c r="Z134" s="53">
        <v>-2.3455882352941178</v>
      </c>
      <c r="AA134" s="53">
        <v>-1.3455882352941178</v>
      </c>
      <c r="AB134" s="53">
        <v>0.63970588235294112</v>
      </c>
      <c r="AC134" s="53">
        <v>-1.3455882352941178</v>
      </c>
      <c r="AD134" s="53">
        <v>0.45588235294117641</v>
      </c>
      <c r="AE134" s="53">
        <v>1.6397058823529411</v>
      </c>
      <c r="AF134" s="53">
        <v>-2.3455882352941178</v>
      </c>
      <c r="AG134" s="53">
        <v>3.1691176470588234</v>
      </c>
      <c r="AH134" s="53">
        <v>-1.3602941176470589</v>
      </c>
      <c r="AI134" s="53" t="s">
        <v>480</v>
      </c>
      <c r="AJ134" s="53" t="s">
        <v>480</v>
      </c>
      <c r="AK134" s="53">
        <v>0.88235294117647056</v>
      </c>
      <c r="AL134" s="53">
        <v>0.65441176470588225</v>
      </c>
      <c r="AM134" s="53">
        <v>-0.83088235294117641</v>
      </c>
      <c r="AQ134">
        <f t="shared" si="5"/>
        <v>1</v>
      </c>
      <c r="AR134" t="s">
        <v>37</v>
      </c>
    </row>
    <row r="135" spans="1:44" x14ac:dyDescent="0.25">
      <c r="A135" s="1">
        <f>COUNTIF('Value Matchup'!$D$356:$D$423,PASE!B135)</f>
        <v>0</v>
      </c>
      <c r="B135" t="s">
        <v>243</v>
      </c>
      <c r="C135" s="64">
        <f t="shared" si="4"/>
        <v>-0.14943977591036417</v>
      </c>
      <c r="E135" s="91">
        <v>-1.5357142857142858</v>
      </c>
      <c r="F135" s="53">
        <v>2.4117647058823528</v>
      </c>
      <c r="G135" s="53">
        <v>-0.625</v>
      </c>
      <c r="H135" s="53" t="s">
        <v>480</v>
      </c>
      <c r="I135" s="53" t="s">
        <v>480</v>
      </c>
      <c r="J135" s="53">
        <v>-0.58823529411764708</v>
      </c>
      <c r="K135" s="53">
        <v>-1.5441176470588236</v>
      </c>
      <c r="L135" s="53">
        <v>0.27941176470588236</v>
      </c>
      <c r="M135" s="53">
        <v>-0.11764705882352944</v>
      </c>
      <c r="N135" s="53">
        <v>0.63970588235294112</v>
      </c>
      <c r="O135" s="53" t="s">
        <v>480</v>
      </c>
      <c r="P135" s="53">
        <v>0.375</v>
      </c>
      <c r="Q135" s="53" t="s">
        <v>480</v>
      </c>
      <c r="R135" s="53" t="s">
        <v>480</v>
      </c>
      <c r="S135" s="53" t="s">
        <v>480</v>
      </c>
      <c r="T135" s="53" t="s">
        <v>480</v>
      </c>
      <c r="U135" s="53" t="s">
        <v>480</v>
      </c>
      <c r="V135" s="53" t="s">
        <v>480</v>
      </c>
      <c r="W135" s="53" t="s">
        <v>480</v>
      </c>
      <c r="X135" s="53" t="s">
        <v>480</v>
      </c>
      <c r="Y135" s="53" t="s">
        <v>480</v>
      </c>
      <c r="Z135" s="53" t="s">
        <v>480</v>
      </c>
      <c r="AA135" s="53" t="s">
        <v>480</v>
      </c>
      <c r="AB135" s="53">
        <v>-0.61764705882352944</v>
      </c>
      <c r="AC135" s="53" t="s">
        <v>480</v>
      </c>
      <c r="AD135" s="53" t="s">
        <v>480</v>
      </c>
      <c r="AE135" s="53">
        <v>-1.0808823529411764</v>
      </c>
      <c r="AF135" s="53" t="s">
        <v>480</v>
      </c>
      <c r="AG135" s="53" t="s">
        <v>480</v>
      </c>
      <c r="AH135" s="53">
        <v>-0.625</v>
      </c>
      <c r="AI135" s="53">
        <v>-1.0808823529411764</v>
      </c>
      <c r="AJ135" s="53">
        <v>1.4558823529411764</v>
      </c>
      <c r="AK135" s="53">
        <v>0.41176470588235292</v>
      </c>
      <c r="AL135" s="53" t="s">
        <v>480</v>
      </c>
      <c r="AM135" s="53" t="s">
        <v>480</v>
      </c>
      <c r="AQ135">
        <f t="shared" si="5"/>
        <v>1</v>
      </c>
      <c r="AR135" t="s">
        <v>243</v>
      </c>
    </row>
    <row r="136" spans="1:44" x14ac:dyDescent="0.25">
      <c r="A136" s="1">
        <f>COUNTIF('Value Matchup'!$D$356:$D$423,PASE!B136)</f>
        <v>0</v>
      </c>
      <c r="B136" t="s">
        <v>244</v>
      </c>
      <c r="C136" s="64">
        <f t="shared" si="4"/>
        <v>0</v>
      </c>
      <c r="E136" s="91" t="s">
        <v>480</v>
      </c>
      <c r="F136" s="53" t="s">
        <v>480</v>
      </c>
      <c r="G136" s="53" t="s">
        <v>480</v>
      </c>
      <c r="H136" s="53" t="s">
        <v>480</v>
      </c>
      <c r="I136" s="53" t="s">
        <v>480</v>
      </c>
      <c r="J136" s="53" t="s">
        <v>480</v>
      </c>
      <c r="K136" s="53" t="s">
        <v>480</v>
      </c>
      <c r="L136" s="53" t="s">
        <v>480</v>
      </c>
      <c r="M136" s="53" t="s">
        <v>480</v>
      </c>
      <c r="N136" s="53" t="s">
        <v>480</v>
      </c>
      <c r="O136" s="53" t="s">
        <v>480</v>
      </c>
      <c r="P136" s="53" t="s">
        <v>480</v>
      </c>
      <c r="Q136" s="53" t="s">
        <v>480</v>
      </c>
      <c r="R136" s="53" t="s">
        <v>480</v>
      </c>
      <c r="S136" s="53" t="s">
        <v>480</v>
      </c>
      <c r="T136" s="53" t="s">
        <v>480</v>
      </c>
      <c r="U136" s="53" t="s">
        <v>480</v>
      </c>
      <c r="V136" s="53" t="s">
        <v>480</v>
      </c>
      <c r="W136" s="53" t="s">
        <v>480</v>
      </c>
      <c r="X136" s="53" t="s">
        <v>480</v>
      </c>
      <c r="Y136" s="53" t="s">
        <v>480</v>
      </c>
      <c r="Z136" s="53" t="s">
        <v>480</v>
      </c>
      <c r="AA136" s="53" t="s">
        <v>480</v>
      </c>
      <c r="AB136" s="53" t="s">
        <v>480</v>
      </c>
      <c r="AC136" s="53" t="s">
        <v>480</v>
      </c>
      <c r="AD136" s="53" t="s">
        <v>480</v>
      </c>
      <c r="AE136" s="53" t="s">
        <v>480</v>
      </c>
      <c r="AF136" s="53" t="s">
        <v>480</v>
      </c>
      <c r="AG136" s="53" t="s">
        <v>480</v>
      </c>
      <c r="AH136" s="53" t="s">
        <v>480</v>
      </c>
      <c r="AI136" s="53" t="s">
        <v>480</v>
      </c>
      <c r="AJ136" s="53" t="s">
        <v>480</v>
      </c>
      <c r="AK136" s="53" t="s">
        <v>480</v>
      </c>
      <c r="AL136" s="53" t="s">
        <v>480</v>
      </c>
      <c r="AM136" s="53" t="s">
        <v>480</v>
      </c>
      <c r="AQ136">
        <f t="shared" si="5"/>
        <v>1</v>
      </c>
      <c r="AR136" t="s">
        <v>244</v>
      </c>
    </row>
    <row r="137" spans="1:44" x14ac:dyDescent="0.25">
      <c r="A137" s="1">
        <f>COUNTIF('Value Matchup'!$D$356:$D$423,PASE!B137)</f>
        <v>0</v>
      </c>
      <c r="B137" t="s">
        <v>245</v>
      </c>
      <c r="C137" s="64">
        <f t="shared" si="4"/>
        <v>0.20833333333333334</v>
      </c>
      <c r="E137" s="91" t="s">
        <v>480</v>
      </c>
      <c r="F137" s="53" t="s">
        <v>480</v>
      </c>
      <c r="G137" s="53">
        <v>-0.16911764705882354</v>
      </c>
      <c r="H137" s="53" t="s">
        <v>480</v>
      </c>
      <c r="I137" s="53" t="s">
        <v>480</v>
      </c>
      <c r="J137" s="53" t="s">
        <v>480</v>
      </c>
      <c r="K137" s="53" t="s">
        <v>480</v>
      </c>
      <c r="L137" s="53" t="s">
        <v>480</v>
      </c>
      <c r="M137" s="53" t="s">
        <v>480</v>
      </c>
      <c r="N137" s="53" t="s">
        <v>480</v>
      </c>
      <c r="O137" s="53" t="s">
        <v>480</v>
      </c>
      <c r="P137" s="53">
        <v>-0.58823529411764708</v>
      </c>
      <c r="Q137" s="53" t="s">
        <v>480</v>
      </c>
      <c r="R137" s="53">
        <v>-0.5</v>
      </c>
      <c r="S137" s="53" t="s">
        <v>480</v>
      </c>
      <c r="T137" s="53" t="s">
        <v>480</v>
      </c>
      <c r="U137" s="53" t="s">
        <v>480</v>
      </c>
      <c r="V137" s="53">
        <v>2.3823529411764706</v>
      </c>
      <c r="W137" s="53">
        <v>0.75</v>
      </c>
      <c r="X137" s="53" t="s">
        <v>480</v>
      </c>
      <c r="Y137" s="53">
        <v>-0.625</v>
      </c>
      <c r="Z137" s="53" t="s">
        <v>480</v>
      </c>
      <c r="AA137" s="53" t="s">
        <v>480</v>
      </c>
      <c r="AB137" s="53" t="s">
        <v>480</v>
      </c>
      <c r="AC137" s="53" t="s">
        <v>480</v>
      </c>
      <c r="AD137" s="53" t="s">
        <v>480</v>
      </c>
      <c r="AE137" s="53" t="s">
        <v>480</v>
      </c>
      <c r="AF137" s="53" t="s">
        <v>480</v>
      </c>
      <c r="AG137" s="53" t="s">
        <v>480</v>
      </c>
      <c r="AH137" s="53" t="s">
        <v>480</v>
      </c>
      <c r="AI137" s="53" t="s">
        <v>480</v>
      </c>
      <c r="AJ137" s="53" t="s">
        <v>480</v>
      </c>
      <c r="AK137" s="53" t="s">
        <v>480</v>
      </c>
      <c r="AL137" s="53" t="s">
        <v>480</v>
      </c>
      <c r="AM137" s="53" t="s">
        <v>480</v>
      </c>
      <c r="AQ137">
        <f t="shared" si="5"/>
        <v>1</v>
      </c>
      <c r="AR137" t="s">
        <v>245</v>
      </c>
    </row>
    <row r="138" spans="1:44" x14ac:dyDescent="0.25">
      <c r="A138" s="1">
        <f>COUNTIF('Value Matchup'!$D$356:$D$423,PASE!B138)</f>
        <v>0</v>
      </c>
      <c r="B138" t="s">
        <v>26</v>
      </c>
      <c r="C138" s="64">
        <f t="shared" si="4"/>
        <v>0.35280112044817924</v>
      </c>
      <c r="E138" s="91">
        <v>0.62857142857142856</v>
      </c>
      <c r="F138" s="53">
        <v>0.88235294117647056</v>
      </c>
      <c r="G138" s="53">
        <v>0.63970588235294112</v>
      </c>
      <c r="H138" s="53">
        <v>-0.54411764705882359</v>
      </c>
      <c r="I138" s="53">
        <v>0.65441176470588225</v>
      </c>
      <c r="J138" s="53">
        <v>4.2794117647058822</v>
      </c>
      <c r="K138" s="53" t="s">
        <v>480</v>
      </c>
      <c r="L138" s="53" t="s">
        <v>480</v>
      </c>
      <c r="M138" s="53">
        <v>2.4558823529411766</v>
      </c>
      <c r="N138" s="53">
        <v>-0.34558823529411775</v>
      </c>
      <c r="O138" s="53" t="s">
        <v>480</v>
      </c>
      <c r="P138" s="53">
        <v>-0.625</v>
      </c>
      <c r="Q138" s="53">
        <v>0.27941176470588236</v>
      </c>
      <c r="R138" s="53">
        <v>0.27941176470588236</v>
      </c>
      <c r="S138" s="53">
        <v>0.63970588235294112</v>
      </c>
      <c r="T138" s="53">
        <v>-2.3455882352941178</v>
      </c>
      <c r="U138" s="53">
        <v>-0.34558823529411775</v>
      </c>
      <c r="V138" s="53">
        <v>0.45588235294117641</v>
      </c>
      <c r="W138" s="53">
        <v>-0.36029411764705888</v>
      </c>
      <c r="X138" s="53">
        <v>-0.11764705882352944</v>
      </c>
      <c r="Y138" s="53">
        <v>1.1691176470588236</v>
      </c>
      <c r="Z138" s="53" t="s">
        <v>480</v>
      </c>
      <c r="AA138" s="53">
        <v>1.6544117647058822</v>
      </c>
      <c r="AB138" s="53" t="s">
        <v>480</v>
      </c>
      <c r="AC138" s="53">
        <v>-0.34558823529411775</v>
      </c>
      <c r="AD138" s="53">
        <v>-0.83088235294117641</v>
      </c>
      <c r="AE138" s="53">
        <v>0.65441176470588225</v>
      </c>
      <c r="AF138" s="53">
        <v>0.63970588235294112</v>
      </c>
      <c r="AG138" s="53" t="s">
        <v>480</v>
      </c>
      <c r="AH138" s="53" t="s">
        <v>480</v>
      </c>
      <c r="AI138" s="53" t="s">
        <v>480</v>
      </c>
      <c r="AJ138" s="53">
        <v>-0.36029411764705888</v>
      </c>
      <c r="AK138" s="53">
        <v>-0.72058823529411764</v>
      </c>
      <c r="AL138" s="53">
        <v>-0.34558823529411775</v>
      </c>
      <c r="AM138" s="53">
        <v>1.5</v>
      </c>
      <c r="AQ138">
        <f t="shared" si="5"/>
        <v>1</v>
      </c>
      <c r="AR138" t="s">
        <v>26</v>
      </c>
    </row>
    <row r="139" spans="1:44" x14ac:dyDescent="0.25">
      <c r="A139" s="1">
        <f>COUNTIF('Value Matchup'!$D$356:$D$423,PASE!B139)</f>
        <v>0</v>
      </c>
      <c r="B139" t="s">
        <v>246</v>
      </c>
      <c r="C139" s="64">
        <f t="shared" si="4"/>
        <v>-2.941176470588247E-3</v>
      </c>
      <c r="E139" s="91" t="s">
        <v>480</v>
      </c>
      <c r="F139" s="53" t="s">
        <v>480</v>
      </c>
      <c r="G139" s="53" t="s">
        <v>480</v>
      </c>
      <c r="H139" s="53" t="s">
        <v>480</v>
      </c>
      <c r="I139" s="53" t="s">
        <v>480</v>
      </c>
      <c r="J139" s="53" t="s">
        <v>480</v>
      </c>
      <c r="K139" s="53">
        <v>1.75</v>
      </c>
      <c r="L139" s="53" t="s">
        <v>480</v>
      </c>
      <c r="M139" s="53" t="s">
        <v>480</v>
      </c>
      <c r="N139" s="53" t="s">
        <v>480</v>
      </c>
      <c r="O139" s="53" t="s">
        <v>480</v>
      </c>
      <c r="P139" s="53" t="s">
        <v>480</v>
      </c>
      <c r="Q139" s="53" t="s">
        <v>480</v>
      </c>
      <c r="R139" s="53" t="s">
        <v>480</v>
      </c>
      <c r="S139" s="53" t="s">
        <v>480</v>
      </c>
      <c r="T139" s="53" t="s">
        <v>480</v>
      </c>
      <c r="U139" s="53" t="s">
        <v>480</v>
      </c>
      <c r="V139" s="53" t="s">
        <v>480</v>
      </c>
      <c r="W139" s="53" t="s">
        <v>480</v>
      </c>
      <c r="X139" s="53" t="s">
        <v>480</v>
      </c>
      <c r="Y139" s="53" t="s">
        <v>480</v>
      </c>
      <c r="Z139" s="53" t="s">
        <v>480</v>
      </c>
      <c r="AA139" s="53" t="s">
        <v>480</v>
      </c>
      <c r="AB139" s="53" t="s">
        <v>480</v>
      </c>
      <c r="AC139" s="53" t="s">
        <v>480</v>
      </c>
      <c r="AD139" s="53" t="s">
        <v>480</v>
      </c>
      <c r="AE139" s="53" t="s">
        <v>480</v>
      </c>
      <c r="AF139" s="53">
        <v>-0.25</v>
      </c>
      <c r="AG139" s="53" t="s">
        <v>480</v>
      </c>
      <c r="AH139" s="53">
        <v>-0.54411764705882359</v>
      </c>
      <c r="AI139" s="53">
        <v>-0.72058823529411764</v>
      </c>
      <c r="AJ139" s="53">
        <v>-0.25</v>
      </c>
      <c r="AK139" s="53" t="s">
        <v>480</v>
      </c>
      <c r="AL139" s="53" t="s">
        <v>480</v>
      </c>
      <c r="AM139" s="53" t="s">
        <v>480</v>
      </c>
      <c r="AQ139">
        <f t="shared" si="5"/>
        <v>1</v>
      </c>
      <c r="AR139" t="s">
        <v>246</v>
      </c>
    </row>
    <row r="140" spans="1:44" x14ac:dyDescent="0.25">
      <c r="A140" s="1">
        <f>COUNTIF('Value Matchup'!$D$356:$D$423,PASE!B140)</f>
        <v>0</v>
      </c>
      <c r="B140" t="s">
        <v>51</v>
      </c>
      <c r="C140" s="64">
        <f t="shared" si="4"/>
        <v>-4.6568627450980393E-2</v>
      </c>
      <c r="E140" s="91" t="s">
        <v>480</v>
      </c>
      <c r="F140" s="53" t="s">
        <v>480</v>
      </c>
      <c r="G140" s="53" t="s">
        <v>480</v>
      </c>
      <c r="H140" s="53" t="s">
        <v>480</v>
      </c>
      <c r="I140" s="53">
        <v>-7.3529411764705881E-3</v>
      </c>
      <c r="J140" s="53" t="s">
        <v>480</v>
      </c>
      <c r="K140" s="53" t="s">
        <v>480</v>
      </c>
      <c r="L140" s="53" t="s">
        <v>480</v>
      </c>
      <c r="M140" s="53" t="s">
        <v>480</v>
      </c>
      <c r="N140" s="53" t="s">
        <v>480</v>
      </c>
      <c r="O140" s="53" t="s">
        <v>480</v>
      </c>
      <c r="P140" s="53" t="s">
        <v>480</v>
      </c>
      <c r="Q140" s="53" t="s">
        <v>480</v>
      </c>
      <c r="R140" s="53" t="s">
        <v>480</v>
      </c>
      <c r="S140" s="53" t="s">
        <v>480</v>
      </c>
      <c r="T140" s="53" t="s">
        <v>480</v>
      </c>
      <c r="U140" s="53" t="s">
        <v>480</v>
      </c>
      <c r="V140" s="53" t="s">
        <v>480</v>
      </c>
      <c r="W140" s="53" t="s">
        <v>480</v>
      </c>
      <c r="X140" s="53">
        <v>-6.6176470588235295E-2</v>
      </c>
      <c r="Y140" s="53">
        <v>-6.6176470588235295E-2</v>
      </c>
      <c r="Z140" s="53" t="s">
        <v>480</v>
      </c>
      <c r="AA140" s="53" t="s">
        <v>480</v>
      </c>
      <c r="AB140" s="53" t="s">
        <v>480</v>
      </c>
      <c r="AC140" s="53" t="s">
        <v>480</v>
      </c>
      <c r="AD140" s="53" t="s">
        <v>480</v>
      </c>
      <c r="AE140" s="53" t="s">
        <v>480</v>
      </c>
      <c r="AF140" s="53" t="s">
        <v>480</v>
      </c>
      <c r="AG140" s="53" t="s">
        <v>480</v>
      </c>
      <c r="AH140" s="53" t="s">
        <v>480</v>
      </c>
      <c r="AI140" s="53" t="s">
        <v>480</v>
      </c>
      <c r="AJ140" s="53" t="s">
        <v>480</v>
      </c>
      <c r="AK140" s="53" t="s">
        <v>480</v>
      </c>
      <c r="AL140" s="53" t="s">
        <v>480</v>
      </c>
      <c r="AM140" s="53" t="s">
        <v>480</v>
      </c>
      <c r="AQ140">
        <f t="shared" si="5"/>
        <v>1</v>
      </c>
      <c r="AR140" t="s">
        <v>51</v>
      </c>
    </row>
    <row r="141" spans="1:44" x14ac:dyDescent="0.25">
      <c r="A141" s="1">
        <f>COUNTIF('Value Matchup'!$D$356:$D$423,PASE!B141)</f>
        <v>0</v>
      </c>
      <c r="B141" t="s">
        <v>247</v>
      </c>
      <c r="C141" s="64">
        <f t="shared" si="4"/>
        <v>-7.3529411764705881E-3</v>
      </c>
      <c r="E141" s="91" t="s">
        <v>480</v>
      </c>
      <c r="F141" s="53" t="s">
        <v>480</v>
      </c>
      <c r="G141" s="53" t="s">
        <v>480</v>
      </c>
      <c r="H141" s="53" t="s">
        <v>480</v>
      </c>
      <c r="I141" s="53" t="s">
        <v>480</v>
      </c>
      <c r="J141" s="53" t="s">
        <v>480</v>
      </c>
      <c r="K141" s="53" t="s">
        <v>480</v>
      </c>
      <c r="L141" s="53">
        <v>-7.3529411764705881E-3</v>
      </c>
      <c r="M141" s="53" t="s">
        <v>480</v>
      </c>
      <c r="N141" s="53" t="s">
        <v>480</v>
      </c>
      <c r="O141" s="53" t="s">
        <v>480</v>
      </c>
      <c r="P141" s="53" t="s">
        <v>480</v>
      </c>
      <c r="Q141" s="53" t="s">
        <v>480</v>
      </c>
      <c r="R141" s="53" t="s">
        <v>480</v>
      </c>
      <c r="S141" s="53" t="s">
        <v>480</v>
      </c>
      <c r="T141" s="53" t="s">
        <v>480</v>
      </c>
      <c r="U141" s="53" t="s">
        <v>480</v>
      </c>
      <c r="V141" s="53" t="s">
        <v>480</v>
      </c>
      <c r="W141" s="53" t="s">
        <v>480</v>
      </c>
      <c r="X141" s="53">
        <v>-7.3529411764705881E-3</v>
      </c>
      <c r="Y141" s="53" t="s">
        <v>480</v>
      </c>
      <c r="Z141" s="53" t="s">
        <v>480</v>
      </c>
      <c r="AA141" s="53" t="s">
        <v>480</v>
      </c>
      <c r="AB141" s="53" t="s">
        <v>480</v>
      </c>
      <c r="AC141" s="53" t="s">
        <v>480</v>
      </c>
      <c r="AD141" s="53" t="s">
        <v>480</v>
      </c>
      <c r="AE141" s="53" t="s">
        <v>480</v>
      </c>
      <c r="AF141" s="53" t="s">
        <v>480</v>
      </c>
      <c r="AG141" s="53" t="s">
        <v>480</v>
      </c>
      <c r="AH141" s="53" t="s">
        <v>480</v>
      </c>
      <c r="AI141" s="53" t="s">
        <v>480</v>
      </c>
      <c r="AJ141" s="53" t="s">
        <v>480</v>
      </c>
      <c r="AK141" s="53" t="s">
        <v>480</v>
      </c>
      <c r="AL141" s="53" t="s">
        <v>480</v>
      </c>
      <c r="AM141" s="53" t="s">
        <v>480</v>
      </c>
      <c r="AQ141">
        <f t="shared" si="5"/>
        <v>1</v>
      </c>
      <c r="AR141" t="s">
        <v>247</v>
      </c>
    </row>
    <row r="142" spans="1:44" x14ac:dyDescent="0.25">
      <c r="A142" s="1">
        <f>COUNTIF('Value Matchup'!$D$356:$D$423,PASE!B142)</f>
        <v>0</v>
      </c>
      <c r="B142" t="s">
        <v>248</v>
      </c>
      <c r="C142" s="64">
        <f t="shared" si="4"/>
        <v>0.18088235294117649</v>
      </c>
      <c r="E142" s="91" t="s">
        <v>480</v>
      </c>
      <c r="F142" s="53" t="s">
        <v>480</v>
      </c>
      <c r="G142" s="53" t="s">
        <v>480</v>
      </c>
      <c r="H142" s="53" t="s">
        <v>480</v>
      </c>
      <c r="I142" s="53" t="s">
        <v>480</v>
      </c>
      <c r="J142" s="53" t="s">
        <v>480</v>
      </c>
      <c r="K142" s="53" t="s">
        <v>480</v>
      </c>
      <c r="L142" s="53">
        <v>0.93382352941176472</v>
      </c>
      <c r="M142" s="53" t="s">
        <v>480</v>
      </c>
      <c r="N142" s="53">
        <v>-7.3529411764705881E-3</v>
      </c>
      <c r="O142" s="53" t="s">
        <v>480</v>
      </c>
      <c r="P142" s="53" t="s">
        <v>480</v>
      </c>
      <c r="Q142" s="53" t="s">
        <v>480</v>
      </c>
      <c r="R142" s="53" t="s">
        <v>480</v>
      </c>
      <c r="S142" s="53" t="s">
        <v>480</v>
      </c>
      <c r="T142" s="53">
        <v>-7.3529411764705881E-3</v>
      </c>
      <c r="U142" s="53" t="s">
        <v>480</v>
      </c>
      <c r="V142" s="53" t="s">
        <v>480</v>
      </c>
      <c r="W142" s="53" t="s">
        <v>480</v>
      </c>
      <c r="X142" s="53" t="s">
        <v>480</v>
      </c>
      <c r="Y142" s="53" t="s">
        <v>480</v>
      </c>
      <c r="Z142" s="53" t="s">
        <v>480</v>
      </c>
      <c r="AA142" s="53" t="s">
        <v>480</v>
      </c>
      <c r="AB142" s="53" t="s">
        <v>480</v>
      </c>
      <c r="AC142" s="53" t="s">
        <v>480</v>
      </c>
      <c r="AD142" s="53" t="s">
        <v>480</v>
      </c>
      <c r="AE142" s="53" t="s">
        <v>480</v>
      </c>
      <c r="AF142" s="53" t="s">
        <v>480</v>
      </c>
      <c r="AG142" s="53" t="s">
        <v>480</v>
      </c>
      <c r="AH142" s="53" t="s">
        <v>480</v>
      </c>
      <c r="AI142" s="53" t="s">
        <v>480</v>
      </c>
      <c r="AJ142" s="53">
        <v>-7.3529411764705881E-3</v>
      </c>
      <c r="AK142" s="53" t="s">
        <v>480</v>
      </c>
      <c r="AL142" s="53" t="s">
        <v>480</v>
      </c>
      <c r="AM142" s="53">
        <v>-7.3529411764705881E-3</v>
      </c>
      <c r="AQ142">
        <f t="shared" si="5"/>
        <v>1</v>
      </c>
      <c r="AR142" t="s">
        <v>248</v>
      </c>
    </row>
    <row r="143" spans="1:44" x14ac:dyDescent="0.25">
      <c r="A143" s="1">
        <f>COUNTIF('Value Matchup'!$D$356:$D$423,PASE!B143)</f>
        <v>1</v>
      </c>
      <c r="B143" t="s">
        <v>249</v>
      </c>
      <c r="C143" s="64">
        <f t="shared" si="4"/>
        <v>0.22841386554621851</v>
      </c>
      <c r="E143" s="91">
        <v>0.93571428571428572</v>
      </c>
      <c r="F143" s="53" t="s">
        <v>480</v>
      </c>
      <c r="G143" s="53" t="s">
        <v>480</v>
      </c>
      <c r="H143" s="53" t="s">
        <v>480</v>
      </c>
      <c r="I143" s="53" t="s">
        <v>480</v>
      </c>
      <c r="J143" s="53" t="s">
        <v>480</v>
      </c>
      <c r="K143" s="53">
        <v>-7.3529411764705881E-3</v>
      </c>
      <c r="L143" s="53" t="s">
        <v>480</v>
      </c>
      <c r="M143" s="53" t="s">
        <v>480</v>
      </c>
      <c r="N143" s="53" t="s">
        <v>480</v>
      </c>
      <c r="O143" s="53" t="s">
        <v>480</v>
      </c>
      <c r="P143" s="53" t="s">
        <v>480</v>
      </c>
      <c r="Q143" s="53" t="s">
        <v>480</v>
      </c>
      <c r="R143" s="53" t="s">
        <v>480</v>
      </c>
      <c r="S143" s="53" t="s">
        <v>480</v>
      </c>
      <c r="T143" s="53">
        <v>-7.3529411764705881E-3</v>
      </c>
      <c r="U143" s="53" t="s">
        <v>480</v>
      </c>
      <c r="V143" s="53" t="s">
        <v>480</v>
      </c>
      <c r="W143" s="53" t="s">
        <v>480</v>
      </c>
      <c r="X143" s="53" t="s">
        <v>480</v>
      </c>
      <c r="Y143" s="53" t="s">
        <v>480</v>
      </c>
      <c r="Z143" s="53" t="s">
        <v>480</v>
      </c>
      <c r="AA143" s="53" t="s">
        <v>480</v>
      </c>
      <c r="AB143" s="53" t="s">
        <v>480</v>
      </c>
      <c r="AC143" s="53" t="s">
        <v>480</v>
      </c>
      <c r="AD143" s="53">
        <v>-7.3529411764705881E-3</v>
      </c>
      <c r="AE143" s="53" t="s">
        <v>480</v>
      </c>
      <c r="AF143" s="53" t="s">
        <v>480</v>
      </c>
      <c r="AG143" s="53" t="s">
        <v>480</v>
      </c>
      <c r="AH143" s="53" t="s">
        <v>480</v>
      </c>
      <c r="AI143" s="53" t="s">
        <v>480</v>
      </c>
      <c r="AJ143" s="53" t="s">
        <v>480</v>
      </c>
      <c r="AK143" s="53" t="s">
        <v>480</v>
      </c>
      <c r="AL143" s="53" t="s">
        <v>480</v>
      </c>
      <c r="AM143" s="53" t="s">
        <v>480</v>
      </c>
      <c r="AQ143">
        <f t="shared" si="5"/>
        <v>1</v>
      </c>
      <c r="AR143" t="s">
        <v>249</v>
      </c>
    </row>
    <row r="144" spans="1:44" x14ac:dyDescent="0.25">
      <c r="A144" s="1">
        <f>COUNTIF('Value Matchup'!$D$356:$D$423,PASE!B144)</f>
        <v>0</v>
      </c>
      <c r="B144" t="s">
        <v>250</v>
      </c>
      <c r="C144" s="64">
        <f t="shared" si="4"/>
        <v>-6.6176470588235295E-2</v>
      </c>
      <c r="E144" s="91" t="s">
        <v>480</v>
      </c>
      <c r="F144" s="53">
        <v>-6.6176470588235295E-2</v>
      </c>
      <c r="G144" s="53" t="s">
        <v>480</v>
      </c>
      <c r="H144" s="53" t="s">
        <v>480</v>
      </c>
      <c r="I144" s="53" t="s">
        <v>480</v>
      </c>
      <c r="J144" s="53" t="s">
        <v>480</v>
      </c>
      <c r="K144" s="53" t="s">
        <v>480</v>
      </c>
      <c r="L144" s="53" t="s">
        <v>480</v>
      </c>
      <c r="M144" s="53" t="s">
        <v>480</v>
      </c>
      <c r="N144" s="53" t="s">
        <v>480</v>
      </c>
      <c r="O144" s="53" t="s">
        <v>480</v>
      </c>
      <c r="P144" s="53" t="s">
        <v>480</v>
      </c>
      <c r="Q144" s="53" t="s">
        <v>480</v>
      </c>
      <c r="R144" s="53" t="s">
        <v>480</v>
      </c>
      <c r="S144" s="53" t="s">
        <v>480</v>
      </c>
      <c r="T144" s="53" t="s">
        <v>480</v>
      </c>
      <c r="U144" s="53" t="s">
        <v>480</v>
      </c>
      <c r="V144" s="53" t="s">
        <v>480</v>
      </c>
      <c r="W144" s="53" t="s">
        <v>480</v>
      </c>
      <c r="X144" s="53" t="s">
        <v>480</v>
      </c>
      <c r="Y144" s="53" t="s">
        <v>480</v>
      </c>
      <c r="Z144" s="53" t="s">
        <v>480</v>
      </c>
      <c r="AA144" s="53" t="s">
        <v>480</v>
      </c>
      <c r="AB144" s="53" t="s">
        <v>480</v>
      </c>
      <c r="AC144" s="53" t="s">
        <v>480</v>
      </c>
      <c r="AD144" s="53" t="s">
        <v>480</v>
      </c>
      <c r="AE144" s="53" t="s">
        <v>480</v>
      </c>
      <c r="AF144" s="53" t="s">
        <v>480</v>
      </c>
      <c r="AG144" s="53" t="s">
        <v>480</v>
      </c>
      <c r="AH144" s="53" t="s">
        <v>480</v>
      </c>
      <c r="AI144" s="53" t="s">
        <v>480</v>
      </c>
      <c r="AJ144" s="53" t="s">
        <v>480</v>
      </c>
      <c r="AK144" s="53" t="s">
        <v>480</v>
      </c>
      <c r="AL144" s="53" t="s">
        <v>480</v>
      </c>
      <c r="AM144" s="53" t="s">
        <v>480</v>
      </c>
      <c r="AQ144">
        <f t="shared" si="5"/>
        <v>1</v>
      </c>
      <c r="AR144" t="s">
        <v>250</v>
      </c>
    </row>
    <row r="145" spans="1:44" x14ac:dyDescent="0.25">
      <c r="A145" s="1">
        <f>COUNTIF('Value Matchup'!$D$356:$D$423,PASE!B145)</f>
        <v>0</v>
      </c>
      <c r="B145" t="s">
        <v>472</v>
      </c>
      <c r="C145" s="64">
        <f t="shared" si="4"/>
        <v>0</v>
      </c>
      <c r="E145" s="91" t="s">
        <v>480</v>
      </c>
      <c r="F145" s="53" t="s">
        <v>480</v>
      </c>
      <c r="G145" s="53" t="s">
        <v>480</v>
      </c>
      <c r="H145" s="53" t="s">
        <v>480</v>
      </c>
      <c r="I145" s="53" t="s">
        <v>480</v>
      </c>
      <c r="J145" s="53" t="s">
        <v>480</v>
      </c>
      <c r="K145" s="53" t="s">
        <v>480</v>
      </c>
      <c r="L145" s="53" t="s">
        <v>480</v>
      </c>
      <c r="M145" s="53" t="s">
        <v>480</v>
      </c>
      <c r="N145" s="53" t="s">
        <v>480</v>
      </c>
      <c r="O145" s="53" t="s">
        <v>480</v>
      </c>
      <c r="P145" s="53" t="s">
        <v>480</v>
      </c>
      <c r="Q145" s="53" t="s">
        <v>480</v>
      </c>
      <c r="R145" s="53" t="s">
        <v>480</v>
      </c>
      <c r="S145" s="53" t="s">
        <v>480</v>
      </c>
      <c r="T145" s="53" t="s">
        <v>480</v>
      </c>
      <c r="U145" s="53" t="s">
        <v>480</v>
      </c>
      <c r="V145" s="53" t="s">
        <v>480</v>
      </c>
      <c r="W145" s="53" t="s">
        <v>480</v>
      </c>
      <c r="X145" s="53" t="s">
        <v>480</v>
      </c>
      <c r="Y145" s="53" t="s">
        <v>480</v>
      </c>
      <c r="Z145" s="53" t="s">
        <v>480</v>
      </c>
      <c r="AA145" s="53" t="s">
        <v>480</v>
      </c>
      <c r="AB145" s="53" t="s">
        <v>480</v>
      </c>
      <c r="AC145" s="53" t="s">
        <v>480</v>
      </c>
      <c r="AD145" s="53" t="s">
        <v>480</v>
      </c>
      <c r="AE145" s="53" t="s">
        <v>480</v>
      </c>
      <c r="AF145" s="53" t="s">
        <v>480</v>
      </c>
      <c r="AG145" s="53" t="s">
        <v>480</v>
      </c>
      <c r="AH145" s="53" t="s">
        <v>480</v>
      </c>
      <c r="AI145" s="53" t="s">
        <v>480</v>
      </c>
      <c r="AJ145" s="53" t="s">
        <v>480</v>
      </c>
      <c r="AK145" s="53" t="s">
        <v>480</v>
      </c>
      <c r="AL145" s="53" t="s">
        <v>480</v>
      </c>
      <c r="AM145" s="53" t="s">
        <v>480</v>
      </c>
      <c r="AQ145">
        <f t="shared" si="5"/>
        <v>1</v>
      </c>
      <c r="AR145" t="s">
        <v>472</v>
      </c>
    </row>
    <row r="146" spans="1:44" x14ac:dyDescent="0.25">
      <c r="A146" s="1">
        <f>COUNTIF('Value Matchup'!$D$356:$D$423,PASE!B146)</f>
        <v>0</v>
      </c>
      <c r="B146" t="s">
        <v>251</v>
      </c>
      <c r="C146" s="64">
        <f t="shared" si="4"/>
        <v>-6.7647058823529421E-2</v>
      </c>
      <c r="E146" s="91" t="s">
        <v>480</v>
      </c>
      <c r="F146" s="53">
        <v>-7.3529411764705881E-3</v>
      </c>
      <c r="G146" s="53" t="s">
        <v>480</v>
      </c>
      <c r="H146" s="53" t="s">
        <v>480</v>
      </c>
      <c r="I146" s="53" t="s">
        <v>480</v>
      </c>
      <c r="J146" s="53" t="s">
        <v>480</v>
      </c>
      <c r="K146" s="53">
        <v>-7.3529411764705881E-3</v>
      </c>
      <c r="L146" s="53">
        <v>-7.3529411764705881E-3</v>
      </c>
      <c r="M146" s="53">
        <v>-6.6176470588235295E-2</v>
      </c>
      <c r="N146" s="53" t="s">
        <v>480</v>
      </c>
      <c r="O146" s="53" t="s">
        <v>480</v>
      </c>
      <c r="P146" s="53" t="s">
        <v>480</v>
      </c>
      <c r="Q146" s="53" t="s">
        <v>480</v>
      </c>
      <c r="R146" s="53" t="s">
        <v>480</v>
      </c>
      <c r="S146" s="53" t="s">
        <v>480</v>
      </c>
      <c r="T146" s="53" t="s">
        <v>480</v>
      </c>
      <c r="U146" s="53" t="s">
        <v>480</v>
      </c>
      <c r="V146" s="53" t="s">
        <v>480</v>
      </c>
      <c r="W146" s="53" t="s">
        <v>480</v>
      </c>
      <c r="X146" s="53" t="s">
        <v>480</v>
      </c>
      <c r="Y146" s="53" t="s">
        <v>480</v>
      </c>
      <c r="Z146" s="53" t="s">
        <v>480</v>
      </c>
      <c r="AA146" s="53">
        <v>-0.25</v>
      </c>
      <c r="AB146" s="53" t="s">
        <v>480</v>
      </c>
      <c r="AC146" s="53" t="s">
        <v>480</v>
      </c>
      <c r="AD146" s="53" t="s">
        <v>480</v>
      </c>
      <c r="AE146" s="53" t="s">
        <v>480</v>
      </c>
      <c r="AF146" s="53" t="s">
        <v>480</v>
      </c>
      <c r="AG146" s="53" t="s">
        <v>480</v>
      </c>
      <c r="AH146" s="53" t="s">
        <v>480</v>
      </c>
      <c r="AI146" s="53" t="s">
        <v>480</v>
      </c>
      <c r="AJ146" s="53" t="s">
        <v>480</v>
      </c>
      <c r="AK146" s="53" t="s">
        <v>480</v>
      </c>
      <c r="AL146" s="53" t="s">
        <v>480</v>
      </c>
      <c r="AM146" s="53" t="s">
        <v>480</v>
      </c>
      <c r="AQ146">
        <f t="shared" si="5"/>
        <v>1</v>
      </c>
      <c r="AR146" t="s">
        <v>251</v>
      </c>
    </row>
    <row r="147" spans="1:44" x14ac:dyDescent="0.25">
      <c r="A147" s="1">
        <f>COUNTIF('Value Matchup'!$D$356:$D$423,PASE!B147)</f>
        <v>0</v>
      </c>
      <c r="B147" t="s">
        <v>252</v>
      </c>
      <c r="C147" s="64">
        <f t="shared" si="4"/>
        <v>-0.46875</v>
      </c>
      <c r="E147" s="91" t="s">
        <v>480</v>
      </c>
      <c r="F147" s="53" t="s">
        <v>480</v>
      </c>
      <c r="G147" s="53" t="s">
        <v>480</v>
      </c>
      <c r="H147" s="53" t="s">
        <v>480</v>
      </c>
      <c r="I147" s="53" t="s">
        <v>480</v>
      </c>
      <c r="J147" s="53" t="s">
        <v>480</v>
      </c>
      <c r="K147" s="53" t="s">
        <v>480</v>
      </c>
      <c r="L147" s="53">
        <v>-0.5</v>
      </c>
      <c r="M147" s="53" t="s">
        <v>480</v>
      </c>
      <c r="N147" s="53" t="s">
        <v>480</v>
      </c>
      <c r="O147" s="53" t="s">
        <v>480</v>
      </c>
      <c r="P147" s="53" t="s">
        <v>480</v>
      </c>
      <c r="Q147" s="53">
        <v>-0.5</v>
      </c>
      <c r="R147" s="53" t="s">
        <v>480</v>
      </c>
      <c r="S147" s="53" t="s">
        <v>480</v>
      </c>
      <c r="T147" s="53" t="s">
        <v>480</v>
      </c>
      <c r="U147" s="53" t="s">
        <v>480</v>
      </c>
      <c r="V147" s="53" t="s">
        <v>480</v>
      </c>
      <c r="W147" s="53" t="s">
        <v>480</v>
      </c>
      <c r="X147" s="53" t="s">
        <v>480</v>
      </c>
      <c r="Y147" s="53" t="s">
        <v>480</v>
      </c>
      <c r="Z147" s="53" t="s">
        <v>480</v>
      </c>
      <c r="AA147" s="53" t="s">
        <v>480</v>
      </c>
      <c r="AB147" s="53" t="s">
        <v>480</v>
      </c>
      <c r="AC147" s="53">
        <v>-0.25</v>
      </c>
      <c r="AD147" s="53" t="s">
        <v>480</v>
      </c>
      <c r="AE147" s="53">
        <v>-0.625</v>
      </c>
      <c r="AF147" s="53" t="s">
        <v>480</v>
      </c>
      <c r="AG147" s="53" t="s">
        <v>480</v>
      </c>
      <c r="AH147" s="53" t="s">
        <v>480</v>
      </c>
      <c r="AI147" s="53" t="s">
        <v>480</v>
      </c>
      <c r="AJ147" s="53" t="s">
        <v>480</v>
      </c>
      <c r="AK147" s="53" t="s">
        <v>480</v>
      </c>
      <c r="AL147" s="53" t="s">
        <v>480</v>
      </c>
      <c r="AM147" s="53" t="s">
        <v>480</v>
      </c>
      <c r="AQ147">
        <f t="shared" si="5"/>
        <v>1</v>
      </c>
      <c r="AR147" t="s">
        <v>252</v>
      </c>
    </row>
    <row r="148" spans="1:44" x14ac:dyDescent="0.25">
      <c r="A148" s="1">
        <f>COUNTIF('Value Matchup'!$D$356:$D$423,PASE!B148)</f>
        <v>0</v>
      </c>
      <c r="B148" t="s">
        <v>253</v>
      </c>
      <c r="C148" s="64">
        <f t="shared" si="4"/>
        <v>0</v>
      </c>
      <c r="E148" s="91" t="s">
        <v>480</v>
      </c>
      <c r="F148" s="53" t="s">
        <v>480</v>
      </c>
      <c r="G148" s="53" t="s">
        <v>480</v>
      </c>
      <c r="H148" s="53" t="s">
        <v>480</v>
      </c>
      <c r="I148" s="53" t="s">
        <v>480</v>
      </c>
      <c r="J148" s="53" t="s">
        <v>480</v>
      </c>
      <c r="K148" s="53" t="s">
        <v>480</v>
      </c>
      <c r="L148" s="53" t="s">
        <v>480</v>
      </c>
      <c r="M148" s="53" t="s">
        <v>480</v>
      </c>
      <c r="N148" s="53" t="s">
        <v>480</v>
      </c>
      <c r="O148" s="53" t="s">
        <v>480</v>
      </c>
      <c r="P148" s="53" t="s">
        <v>480</v>
      </c>
      <c r="Q148" s="53" t="s">
        <v>480</v>
      </c>
      <c r="R148" s="53" t="s">
        <v>480</v>
      </c>
      <c r="S148" s="53" t="s">
        <v>480</v>
      </c>
      <c r="T148" s="53" t="s">
        <v>480</v>
      </c>
      <c r="U148" s="53" t="s">
        <v>480</v>
      </c>
      <c r="V148" s="53" t="s">
        <v>480</v>
      </c>
      <c r="W148" s="53" t="s">
        <v>480</v>
      </c>
      <c r="X148" s="53" t="s">
        <v>480</v>
      </c>
      <c r="Y148" s="53" t="s">
        <v>480</v>
      </c>
      <c r="Z148" s="53" t="s">
        <v>480</v>
      </c>
      <c r="AA148" s="53" t="s">
        <v>480</v>
      </c>
      <c r="AB148" s="53" t="s">
        <v>480</v>
      </c>
      <c r="AC148" s="53" t="s">
        <v>480</v>
      </c>
      <c r="AD148" s="53" t="s">
        <v>480</v>
      </c>
      <c r="AE148" s="53" t="s">
        <v>480</v>
      </c>
      <c r="AF148" s="53" t="s">
        <v>480</v>
      </c>
      <c r="AG148" s="53" t="s">
        <v>480</v>
      </c>
      <c r="AH148" s="53" t="s">
        <v>480</v>
      </c>
      <c r="AI148" s="53" t="s">
        <v>480</v>
      </c>
      <c r="AJ148" s="53" t="s">
        <v>480</v>
      </c>
      <c r="AK148" s="53" t="s">
        <v>480</v>
      </c>
      <c r="AL148" s="53" t="s">
        <v>480</v>
      </c>
      <c r="AM148" s="53" t="s">
        <v>480</v>
      </c>
      <c r="AQ148">
        <f t="shared" si="5"/>
        <v>1</v>
      </c>
      <c r="AR148" t="s">
        <v>253</v>
      </c>
    </row>
    <row r="149" spans="1:44" x14ac:dyDescent="0.25">
      <c r="A149" s="1">
        <f>COUNTIF('Value Matchup'!$D$356:$D$423,PASE!B149)</f>
        <v>0</v>
      </c>
      <c r="B149" t="s">
        <v>489</v>
      </c>
      <c r="C149" s="64">
        <f t="shared" si="4"/>
        <v>0</v>
      </c>
      <c r="E149" s="91" t="s">
        <v>480</v>
      </c>
      <c r="F149" s="53" t="s">
        <v>480</v>
      </c>
      <c r="G149" s="53" t="s">
        <v>480</v>
      </c>
      <c r="H149" s="53" t="s">
        <v>480</v>
      </c>
      <c r="I149" s="53" t="s">
        <v>480</v>
      </c>
      <c r="J149" s="53" t="s">
        <v>480</v>
      </c>
      <c r="K149" s="53" t="s">
        <v>480</v>
      </c>
      <c r="L149" s="53" t="s">
        <v>480</v>
      </c>
      <c r="M149" s="53" t="s">
        <v>480</v>
      </c>
      <c r="N149" s="53" t="s">
        <v>480</v>
      </c>
      <c r="O149" s="53" t="s">
        <v>480</v>
      </c>
      <c r="P149" s="53" t="s">
        <v>480</v>
      </c>
      <c r="Q149" s="53" t="s">
        <v>480</v>
      </c>
      <c r="R149" s="53" t="s">
        <v>480</v>
      </c>
      <c r="S149" s="53" t="s">
        <v>480</v>
      </c>
      <c r="T149" s="53" t="s">
        <v>480</v>
      </c>
      <c r="U149" s="53" t="s">
        <v>480</v>
      </c>
      <c r="V149" s="53" t="s">
        <v>480</v>
      </c>
      <c r="W149" s="53" t="s">
        <v>480</v>
      </c>
      <c r="X149" s="53" t="s">
        <v>480</v>
      </c>
      <c r="Y149" s="53" t="s">
        <v>480</v>
      </c>
      <c r="Z149" s="53" t="s">
        <v>480</v>
      </c>
      <c r="AA149" s="53" t="s">
        <v>480</v>
      </c>
      <c r="AB149" s="53" t="s">
        <v>480</v>
      </c>
      <c r="AC149" s="53" t="s">
        <v>480</v>
      </c>
      <c r="AD149" s="53" t="s">
        <v>480</v>
      </c>
      <c r="AE149" s="53" t="s">
        <v>480</v>
      </c>
      <c r="AF149" s="53" t="s">
        <v>480</v>
      </c>
      <c r="AG149" s="53" t="s">
        <v>480</v>
      </c>
      <c r="AH149" s="53" t="s">
        <v>480</v>
      </c>
      <c r="AI149" s="53" t="s">
        <v>480</v>
      </c>
      <c r="AJ149" s="53" t="s">
        <v>480</v>
      </c>
      <c r="AK149" s="53" t="s">
        <v>480</v>
      </c>
      <c r="AL149" s="53" t="s">
        <v>480</v>
      </c>
      <c r="AM149" s="53" t="s">
        <v>480</v>
      </c>
      <c r="AQ149">
        <f t="shared" si="5"/>
        <v>1</v>
      </c>
      <c r="AR149" t="s">
        <v>489</v>
      </c>
    </row>
    <row r="150" spans="1:44" x14ac:dyDescent="0.25">
      <c r="A150" s="1">
        <f>COUNTIF('Value Matchup'!$D$356:$D$423,PASE!B150)</f>
        <v>0</v>
      </c>
      <c r="B150" t="s">
        <v>255</v>
      </c>
      <c r="C150" s="64">
        <f t="shared" si="4"/>
        <v>-0.12745098039215685</v>
      </c>
      <c r="E150" s="91" t="s">
        <v>480</v>
      </c>
      <c r="F150" s="53" t="s">
        <v>480</v>
      </c>
      <c r="G150" s="53" t="s">
        <v>480</v>
      </c>
      <c r="H150" s="53" t="s">
        <v>480</v>
      </c>
      <c r="I150" s="53" t="s">
        <v>480</v>
      </c>
      <c r="J150" s="53" t="s">
        <v>480</v>
      </c>
      <c r="K150" s="53" t="s">
        <v>480</v>
      </c>
      <c r="L150" s="53" t="s">
        <v>480</v>
      </c>
      <c r="M150" s="53" t="s">
        <v>480</v>
      </c>
      <c r="N150" s="53" t="s">
        <v>480</v>
      </c>
      <c r="O150" s="53" t="s">
        <v>480</v>
      </c>
      <c r="P150" s="53" t="s">
        <v>480</v>
      </c>
      <c r="Q150" s="53" t="s">
        <v>480</v>
      </c>
      <c r="R150" s="53" t="s">
        <v>480</v>
      </c>
      <c r="S150" s="53" t="s">
        <v>480</v>
      </c>
      <c r="T150" s="53" t="s">
        <v>480</v>
      </c>
      <c r="U150" s="53" t="s">
        <v>480</v>
      </c>
      <c r="V150" s="53" t="s">
        <v>480</v>
      </c>
      <c r="W150" s="53" t="s">
        <v>480</v>
      </c>
      <c r="X150" s="53" t="s">
        <v>480</v>
      </c>
      <c r="Y150" s="53" t="s">
        <v>480</v>
      </c>
      <c r="Z150" s="53" t="s">
        <v>480</v>
      </c>
      <c r="AA150" s="53" t="s">
        <v>480</v>
      </c>
      <c r="AB150" s="53">
        <v>-6.6176470588235295E-2</v>
      </c>
      <c r="AC150" s="53" t="s">
        <v>480</v>
      </c>
      <c r="AD150" s="53" t="s">
        <v>480</v>
      </c>
      <c r="AE150" s="53">
        <v>-0.25</v>
      </c>
      <c r="AF150" s="53">
        <v>-6.6176470588235295E-2</v>
      </c>
      <c r="AG150" s="53">
        <v>-6.6176470588235295E-2</v>
      </c>
      <c r="AH150" s="53">
        <v>-6.6176470588235295E-2</v>
      </c>
      <c r="AI150" s="53" t="s">
        <v>480</v>
      </c>
      <c r="AJ150" s="53" t="s">
        <v>480</v>
      </c>
      <c r="AK150" s="53" t="s">
        <v>480</v>
      </c>
      <c r="AL150" s="53">
        <v>-0.25</v>
      </c>
      <c r="AM150" s="53" t="s">
        <v>480</v>
      </c>
      <c r="AQ150">
        <f t="shared" si="5"/>
        <v>1</v>
      </c>
      <c r="AR150" t="s">
        <v>255</v>
      </c>
    </row>
    <row r="151" spans="1:44" x14ac:dyDescent="0.25">
      <c r="A151" s="1">
        <f>COUNTIF('Value Matchup'!$D$356:$D$423,PASE!B151)</f>
        <v>0</v>
      </c>
      <c r="B151" t="s">
        <v>256</v>
      </c>
      <c r="C151" s="64">
        <f t="shared" si="4"/>
        <v>0.15625</v>
      </c>
      <c r="E151" s="91" t="s">
        <v>480</v>
      </c>
      <c r="F151" s="53" t="s">
        <v>480</v>
      </c>
      <c r="G151" s="53" t="s">
        <v>480</v>
      </c>
      <c r="H151" s="53" t="s">
        <v>480</v>
      </c>
      <c r="I151" s="53" t="s">
        <v>480</v>
      </c>
      <c r="J151" s="53" t="s">
        <v>480</v>
      </c>
      <c r="K151" s="53" t="s">
        <v>480</v>
      </c>
      <c r="L151" s="53" t="s">
        <v>480</v>
      </c>
      <c r="M151" s="53" t="s">
        <v>480</v>
      </c>
      <c r="N151" s="53" t="s">
        <v>480</v>
      </c>
      <c r="O151" s="53" t="s">
        <v>480</v>
      </c>
      <c r="P151" s="53" t="s">
        <v>480</v>
      </c>
      <c r="Q151" s="53" t="s">
        <v>480</v>
      </c>
      <c r="R151" s="53" t="s">
        <v>480</v>
      </c>
      <c r="S151" s="53" t="s">
        <v>480</v>
      </c>
      <c r="T151" s="53" t="s">
        <v>480</v>
      </c>
      <c r="U151" s="53" t="s">
        <v>480</v>
      </c>
      <c r="V151" s="53" t="s">
        <v>480</v>
      </c>
      <c r="W151" s="53" t="s">
        <v>480</v>
      </c>
      <c r="X151" s="53" t="s">
        <v>480</v>
      </c>
      <c r="Y151" s="53" t="s">
        <v>480</v>
      </c>
      <c r="Z151" s="53" t="s">
        <v>480</v>
      </c>
      <c r="AA151" s="53" t="s">
        <v>480</v>
      </c>
      <c r="AB151" s="53" t="s">
        <v>480</v>
      </c>
      <c r="AC151" s="53" t="s">
        <v>480</v>
      </c>
      <c r="AD151" s="53" t="s">
        <v>480</v>
      </c>
      <c r="AE151" s="53" t="s">
        <v>480</v>
      </c>
      <c r="AF151" s="53" t="s">
        <v>480</v>
      </c>
      <c r="AG151" s="53">
        <v>-0.5</v>
      </c>
      <c r="AH151" s="53" t="s">
        <v>480</v>
      </c>
      <c r="AI151" s="53">
        <v>0.41176470588235292</v>
      </c>
      <c r="AJ151" s="53" t="s">
        <v>480</v>
      </c>
      <c r="AK151" s="53">
        <v>-0.16911764705882354</v>
      </c>
      <c r="AL151" s="53" t="s">
        <v>480</v>
      </c>
      <c r="AM151" s="53">
        <v>0.88235294117647056</v>
      </c>
      <c r="AQ151">
        <f t="shared" si="5"/>
        <v>1</v>
      </c>
      <c r="AR151" t="s">
        <v>256</v>
      </c>
    </row>
    <row r="152" spans="1:44" x14ac:dyDescent="0.25">
      <c r="A152" s="1">
        <f>COUNTIF('Value Matchup'!$D$356:$D$423,PASE!B152)</f>
        <v>0</v>
      </c>
      <c r="B152" t="s">
        <v>54</v>
      </c>
      <c r="C152" s="64">
        <f t="shared" si="4"/>
        <v>0.16931022408963589</v>
      </c>
      <c r="E152" s="91">
        <v>-0.90714285714285714</v>
      </c>
      <c r="F152" s="53" t="s">
        <v>480</v>
      </c>
      <c r="G152" s="53">
        <v>-1.3602941176470589</v>
      </c>
      <c r="H152" s="53" t="s">
        <v>480</v>
      </c>
      <c r="I152" s="53">
        <v>1.4558823529411764</v>
      </c>
      <c r="J152" s="53">
        <v>0.45588235294117641</v>
      </c>
      <c r="K152" s="53" t="s">
        <v>480</v>
      </c>
      <c r="L152" s="53">
        <v>2.4558823529411766</v>
      </c>
      <c r="M152" s="53">
        <v>-1.5441176470588236</v>
      </c>
      <c r="N152" s="53">
        <v>-0.58823529411764708</v>
      </c>
      <c r="O152" s="53">
        <v>-0.34558823529411775</v>
      </c>
      <c r="P152" s="53">
        <v>1.1691176470588236</v>
      </c>
      <c r="Q152" s="53">
        <v>-8.0882352941176405E-2</v>
      </c>
      <c r="R152" s="53" t="s">
        <v>480</v>
      </c>
      <c r="S152" s="53">
        <v>2.4558823529411766</v>
      </c>
      <c r="T152" s="53">
        <v>-0.61764705882352944</v>
      </c>
      <c r="U152" s="53">
        <v>-0.54411764705882359</v>
      </c>
      <c r="V152" s="53" t="s">
        <v>480</v>
      </c>
      <c r="W152" s="53" t="s">
        <v>480</v>
      </c>
      <c r="X152" s="53">
        <v>-0.92647058823529416</v>
      </c>
      <c r="Y152" s="53">
        <v>-0.92647058823529416</v>
      </c>
      <c r="Z152" s="53" t="s">
        <v>480</v>
      </c>
      <c r="AA152" s="53">
        <v>1.9191176470588236</v>
      </c>
      <c r="AB152" s="53">
        <v>0.91911764705882359</v>
      </c>
      <c r="AC152" s="53">
        <v>-0.625</v>
      </c>
      <c r="AD152" s="53">
        <v>0.16911764705882359</v>
      </c>
      <c r="AE152" s="53">
        <v>0.45588235294117641</v>
      </c>
      <c r="AF152" s="53">
        <v>0.27941176470588236</v>
      </c>
      <c r="AG152" s="53" t="s">
        <v>480</v>
      </c>
      <c r="AH152" s="53">
        <v>-0.54411764705882359</v>
      </c>
      <c r="AI152" s="53">
        <v>0.45588235294117641</v>
      </c>
      <c r="AJ152" s="53">
        <v>0.88235294117647056</v>
      </c>
      <c r="AK152" s="53" t="s">
        <v>480</v>
      </c>
      <c r="AL152" s="53" t="s">
        <v>480</v>
      </c>
      <c r="AM152" s="53" t="s">
        <v>480</v>
      </c>
      <c r="AQ152">
        <f t="shared" si="5"/>
        <v>1</v>
      </c>
      <c r="AR152" t="s">
        <v>54</v>
      </c>
    </row>
    <row r="153" spans="1:44" x14ac:dyDescent="0.25">
      <c r="A153" s="1">
        <f>COUNTIF('Value Matchup'!$D$356:$D$423,PASE!B153)</f>
        <v>1</v>
      </c>
      <c r="B153" t="s">
        <v>257</v>
      </c>
      <c r="C153" s="64">
        <f t="shared" si="4"/>
        <v>1.9154411764705883</v>
      </c>
      <c r="E153" s="91" t="s">
        <v>480</v>
      </c>
      <c r="F153" s="53">
        <v>3.375</v>
      </c>
      <c r="G153" s="53" t="s">
        <v>480</v>
      </c>
      <c r="H153" s="53" t="s">
        <v>480</v>
      </c>
      <c r="I153" s="53" t="s">
        <v>480</v>
      </c>
      <c r="J153" s="53" t="s">
        <v>480</v>
      </c>
      <c r="K153" s="53" t="s">
        <v>480</v>
      </c>
      <c r="L153" s="53" t="s">
        <v>480</v>
      </c>
      <c r="M153" s="53" t="s">
        <v>480</v>
      </c>
      <c r="N153" s="53" t="s">
        <v>480</v>
      </c>
      <c r="O153" s="53" t="s">
        <v>480</v>
      </c>
      <c r="P153" s="53" t="s">
        <v>480</v>
      </c>
      <c r="Q153" s="53" t="s">
        <v>480</v>
      </c>
      <c r="R153" s="53" t="s">
        <v>480</v>
      </c>
      <c r="S153" s="53" t="s">
        <v>480</v>
      </c>
      <c r="T153" s="53" t="s">
        <v>480</v>
      </c>
      <c r="U153" s="53" t="s">
        <v>480</v>
      </c>
      <c r="V153" s="53" t="s">
        <v>480</v>
      </c>
      <c r="W153" s="53" t="s">
        <v>480</v>
      </c>
      <c r="X153" s="53" t="s">
        <v>480</v>
      </c>
      <c r="Y153" s="53" t="s">
        <v>480</v>
      </c>
      <c r="Z153" s="53" t="s">
        <v>480</v>
      </c>
      <c r="AA153" s="53" t="s">
        <v>480</v>
      </c>
      <c r="AB153" s="53" t="s">
        <v>480</v>
      </c>
      <c r="AC153" s="53" t="s">
        <v>480</v>
      </c>
      <c r="AD153" s="53" t="s">
        <v>480</v>
      </c>
      <c r="AE153" s="53" t="s">
        <v>480</v>
      </c>
      <c r="AF153" s="53" t="s">
        <v>480</v>
      </c>
      <c r="AG153" s="53" t="s">
        <v>480</v>
      </c>
      <c r="AH153" s="53" t="s">
        <v>480</v>
      </c>
      <c r="AI153" s="53" t="s">
        <v>480</v>
      </c>
      <c r="AJ153" s="53" t="s">
        <v>480</v>
      </c>
      <c r="AK153" s="53" t="s">
        <v>480</v>
      </c>
      <c r="AL153" s="53" t="s">
        <v>480</v>
      </c>
      <c r="AM153" s="53">
        <v>0.45588235294117641</v>
      </c>
      <c r="AQ153">
        <f t="shared" si="5"/>
        <v>1</v>
      </c>
      <c r="AR153" t="s">
        <v>257</v>
      </c>
    </row>
    <row r="154" spans="1:44" x14ac:dyDescent="0.25">
      <c r="A154" s="1">
        <f>COUNTIF('Value Matchup'!$D$356:$D$423,PASE!B154)</f>
        <v>0</v>
      </c>
      <c r="B154" t="s">
        <v>258</v>
      </c>
      <c r="C154" s="64">
        <f t="shared" si="4"/>
        <v>0.75245098039215685</v>
      </c>
      <c r="E154" s="91" t="s">
        <v>480</v>
      </c>
      <c r="F154" s="53" t="s">
        <v>480</v>
      </c>
      <c r="G154" s="53" t="s">
        <v>480</v>
      </c>
      <c r="H154" s="53" t="s">
        <v>480</v>
      </c>
      <c r="I154" s="53" t="s">
        <v>480</v>
      </c>
      <c r="J154" s="53" t="s">
        <v>480</v>
      </c>
      <c r="K154" s="53" t="s">
        <v>480</v>
      </c>
      <c r="L154" s="53" t="s">
        <v>480</v>
      </c>
      <c r="M154" s="53" t="s">
        <v>480</v>
      </c>
      <c r="N154" s="53" t="s">
        <v>480</v>
      </c>
      <c r="O154" s="53" t="s">
        <v>480</v>
      </c>
      <c r="P154" s="53" t="s">
        <v>480</v>
      </c>
      <c r="Q154" s="53" t="s">
        <v>480</v>
      </c>
      <c r="R154" s="53" t="s">
        <v>480</v>
      </c>
      <c r="S154" s="53" t="s">
        <v>480</v>
      </c>
      <c r="T154" s="53" t="s">
        <v>480</v>
      </c>
      <c r="U154" s="53" t="s">
        <v>480</v>
      </c>
      <c r="V154" s="53" t="s">
        <v>480</v>
      </c>
      <c r="W154" s="53" t="s">
        <v>480</v>
      </c>
      <c r="X154" s="53" t="s">
        <v>480</v>
      </c>
      <c r="Y154" s="53" t="s">
        <v>480</v>
      </c>
      <c r="Z154" s="53" t="s">
        <v>480</v>
      </c>
      <c r="AA154" s="53" t="s">
        <v>480</v>
      </c>
      <c r="AB154" s="53" t="s">
        <v>480</v>
      </c>
      <c r="AC154" s="53" t="s">
        <v>480</v>
      </c>
      <c r="AD154" s="53" t="s">
        <v>480</v>
      </c>
      <c r="AE154" s="53" t="s">
        <v>480</v>
      </c>
      <c r="AF154" s="53" t="s">
        <v>480</v>
      </c>
      <c r="AG154" s="53" t="s">
        <v>480</v>
      </c>
      <c r="AH154" s="53">
        <v>2.375</v>
      </c>
      <c r="AI154" s="53">
        <v>-0.5</v>
      </c>
      <c r="AJ154" s="53">
        <v>0.38235294117647056</v>
      </c>
      <c r="AK154" s="53" t="s">
        <v>480</v>
      </c>
      <c r="AL154" s="53" t="s">
        <v>480</v>
      </c>
      <c r="AM154" s="53" t="s">
        <v>480</v>
      </c>
      <c r="AQ154">
        <f t="shared" si="5"/>
        <v>1</v>
      </c>
      <c r="AR154" t="s">
        <v>258</v>
      </c>
    </row>
    <row r="155" spans="1:44" x14ac:dyDescent="0.25">
      <c r="A155" s="1">
        <f>COUNTIF('Value Matchup'!$D$356:$D$423,PASE!B155)</f>
        <v>0</v>
      </c>
      <c r="B155" t="s">
        <v>259</v>
      </c>
      <c r="C155" s="64">
        <f t="shared" si="4"/>
        <v>-6.6176470588235295E-2</v>
      </c>
      <c r="E155" s="91" t="s">
        <v>480</v>
      </c>
      <c r="F155" s="53" t="s">
        <v>480</v>
      </c>
      <c r="G155" s="53" t="s">
        <v>480</v>
      </c>
      <c r="H155" s="53" t="s">
        <v>480</v>
      </c>
      <c r="I155" s="53" t="s">
        <v>480</v>
      </c>
      <c r="J155" s="53" t="s">
        <v>480</v>
      </c>
      <c r="K155" s="53" t="s">
        <v>480</v>
      </c>
      <c r="L155" s="53">
        <v>-6.6176470588235295E-2</v>
      </c>
      <c r="M155" s="53" t="s">
        <v>480</v>
      </c>
      <c r="N155" s="53" t="s">
        <v>480</v>
      </c>
      <c r="O155" s="53" t="s">
        <v>480</v>
      </c>
      <c r="P155" s="53" t="s">
        <v>480</v>
      </c>
      <c r="Q155" s="53" t="s">
        <v>480</v>
      </c>
      <c r="R155" s="53" t="s">
        <v>480</v>
      </c>
      <c r="S155" s="53" t="s">
        <v>480</v>
      </c>
      <c r="T155" s="53" t="s">
        <v>480</v>
      </c>
      <c r="U155" s="53" t="s">
        <v>480</v>
      </c>
      <c r="V155" s="53" t="s">
        <v>480</v>
      </c>
      <c r="W155" s="53" t="s">
        <v>480</v>
      </c>
      <c r="X155" s="53" t="s">
        <v>480</v>
      </c>
      <c r="Y155" s="53" t="s">
        <v>480</v>
      </c>
      <c r="Z155" s="53" t="s">
        <v>480</v>
      </c>
      <c r="AA155" s="53" t="s">
        <v>480</v>
      </c>
      <c r="AB155" s="53" t="s">
        <v>480</v>
      </c>
      <c r="AC155" s="53" t="s">
        <v>480</v>
      </c>
      <c r="AD155" s="53">
        <v>-6.6176470588235295E-2</v>
      </c>
      <c r="AE155" s="53" t="s">
        <v>480</v>
      </c>
      <c r="AF155" s="53" t="s">
        <v>480</v>
      </c>
      <c r="AG155" s="53" t="s">
        <v>480</v>
      </c>
      <c r="AH155" s="53" t="s">
        <v>480</v>
      </c>
      <c r="AI155" s="53" t="s">
        <v>480</v>
      </c>
      <c r="AJ155" s="53" t="s">
        <v>480</v>
      </c>
      <c r="AK155" s="53" t="s">
        <v>480</v>
      </c>
      <c r="AL155" s="53" t="s">
        <v>480</v>
      </c>
      <c r="AM155" s="53" t="s">
        <v>480</v>
      </c>
      <c r="AQ155">
        <f t="shared" si="5"/>
        <v>1</v>
      </c>
      <c r="AR155" t="s">
        <v>259</v>
      </c>
    </row>
    <row r="156" spans="1:44" x14ac:dyDescent="0.25">
      <c r="A156" s="1">
        <f>COUNTIF('Value Matchup'!$D$356:$D$423,PASE!B156)</f>
        <v>1</v>
      </c>
      <c r="B156" t="s">
        <v>52</v>
      </c>
      <c r="C156" s="64">
        <f t="shared" si="4"/>
        <v>0.13715861344537811</v>
      </c>
      <c r="E156" s="91">
        <v>0.13571428571428568</v>
      </c>
      <c r="F156" s="53" t="s">
        <v>480</v>
      </c>
      <c r="G156" s="53" t="s">
        <v>480</v>
      </c>
      <c r="H156" s="53" t="s">
        <v>480</v>
      </c>
      <c r="I156" s="53">
        <v>-0.58823529411764708</v>
      </c>
      <c r="J156" s="53" t="s">
        <v>480</v>
      </c>
      <c r="K156" s="53" t="s">
        <v>480</v>
      </c>
      <c r="L156" s="53" t="s">
        <v>480</v>
      </c>
      <c r="M156" s="53" t="s">
        <v>480</v>
      </c>
      <c r="N156" s="53" t="s">
        <v>480</v>
      </c>
      <c r="O156" s="53">
        <v>0.27941176470588236</v>
      </c>
      <c r="P156" s="53" t="s">
        <v>480</v>
      </c>
      <c r="Q156" s="53" t="s">
        <v>480</v>
      </c>
      <c r="R156" s="53">
        <v>2.4558823529411766</v>
      </c>
      <c r="S156" s="53">
        <v>-1.0808823529411764</v>
      </c>
      <c r="T156" s="53" t="s">
        <v>480</v>
      </c>
      <c r="U156" s="53">
        <v>-0.72058823529411764</v>
      </c>
      <c r="V156" s="53" t="s">
        <v>480</v>
      </c>
      <c r="W156" s="53" t="s">
        <v>480</v>
      </c>
      <c r="X156" s="53">
        <v>0.45588235294117641</v>
      </c>
      <c r="Y156" s="53" t="s">
        <v>480</v>
      </c>
      <c r="Z156" s="53" t="s">
        <v>480</v>
      </c>
      <c r="AA156" s="53" t="s">
        <v>480</v>
      </c>
      <c r="AB156" s="53" t="s">
        <v>480</v>
      </c>
      <c r="AC156" s="53" t="s">
        <v>480</v>
      </c>
      <c r="AD156" s="53" t="s">
        <v>480</v>
      </c>
      <c r="AE156" s="53">
        <v>-0.625</v>
      </c>
      <c r="AF156" s="53">
        <v>7.3529411764705843E-2</v>
      </c>
      <c r="AG156" s="53">
        <v>-1.0808823529411764</v>
      </c>
      <c r="AH156" s="53">
        <v>-0.11764705882352944</v>
      </c>
      <c r="AI156" s="53">
        <v>-0.61764705882352944</v>
      </c>
      <c r="AJ156" s="53">
        <v>-0.58823529411764708</v>
      </c>
      <c r="AK156" s="53">
        <v>2.3823529411764706</v>
      </c>
      <c r="AL156" s="53">
        <v>3.375</v>
      </c>
      <c r="AM156" s="53">
        <v>-1.5441176470588236</v>
      </c>
      <c r="AQ156">
        <f t="shared" si="5"/>
        <v>1</v>
      </c>
      <c r="AR156" t="s">
        <v>52</v>
      </c>
    </row>
    <row r="157" spans="1:44" x14ac:dyDescent="0.25">
      <c r="A157" s="1">
        <f>COUNTIF('Value Matchup'!$D$356:$D$423,PASE!B157)</f>
        <v>0</v>
      </c>
      <c r="B157" t="s">
        <v>260</v>
      </c>
      <c r="C157" s="64">
        <f t="shared" si="4"/>
        <v>0</v>
      </c>
      <c r="E157" s="91" t="s">
        <v>480</v>
      </c>
      <c r="F157" s="53" t="s">
        <v>480</v>
      </c>
      <c r="G157" s="53" t="s">
        <v>480</v>
      </c>
      <c r="H157" s="53" t="s">
        <v>480</v>
      </c>
      <c r="I157" s="53" t="s">
        <v>480</v>
      </c>
      <c r="J157" s="53" t="s">
        <v>480</v>
      </c>
      <c r="K157" s="53" t="s">
        <v>480</v>
      </c>
      <c r="L157" s="53" t="s">
        <v>480</v>
      </c>
      <c r="M157" s="53" t="s">
        <v>480</v>
      </c>
      <c r="N157" s="53" t="s">
        <v>480</v>
      </c>
      <c r="O157" s="53" t="s">
        <v>480</v>
      </c>
      <c r="P157" s="53" t="s">
        <v>480</v>
      </c>
      <c r="Q157" s="53" t="s">
        <v>480</v>
      </c>
      <c r="R157" s="53" t="s">
        <v>480</v>
      </c>
      <c r="S157" s="53" t="s">
        <v>480</v>
      </c>
      <c r="T157" s="53" t="s">
        <v>480</v>
      </c>
      <c r="U157" s="53" t="s">
        <v>480</v>
      </c>
      <c r="V157" s="53" t="s">
        <v>480</v>
      </c>
      <c r="W157" s="53" t="s">
        <v>480</v>
      </c>
      <c r="X157" s="53" t="s">
        <v>480</v>
      </c>
      <c r="Y157" s="53" t="s">
        <v>480</v>
      </c>
      <c r="Z157" s="53" t="s">
        <v>480</v>
      </c>
      <c r="AA157" s="53" t="s">
        <v>480</v>
      </c>
      <c r="AB157" s="53" t="s">
        <v>480</v>
      </c>
      <c r="AC157" s="53" t="s">
        <v>480</v>
      </c>
      <c r="AD157" s="53" t="s">
        <v>480</v>
      </c>
      <c r="AE157" s="53" t="s">
        <v>480</v>
      </c>
      <c r="AF157" s="53" t="s">
        <v>480</v>
      </c>
      <c r="AG157" s="53" t="s">
        <v>480</v>
      </c>
      <c r="AH157" s="53" t="s">
        <v>480</v>
      </c>
      <c r="AI157" s="53" t="s">
        <v>480</v>
      </c>
      <c r="AJ157" s="53" t="s">
        <v>480</v>
      </c>
      <c r="AK157" s="53" t="s">
        <v>480</v>
      </c>
      <c r="AL157" s="53" t="s">
        <v>480</v>
      </c>
      <c r="AM157" s="53" t="s">
        <v>480</v>
      </c>
      <c r="AQ157">
        <f t="shared" si="5"/>
        <v>1</v>
      </c>
      <c r="AR157" t="s">
        <v>260</v>
      </c>
    </row>
    <row r="158" spans="1:44" x14ac:dyDescent="0.25">
      <c r="A158" s="1">
        <f>COUNTIF('Value Matchup'!$D$356:$D$423,PASE!B158)</f>
        <v>0</v>
      </c>
      <c r="B158" t="s">
        <v>73</v>
      </c>
      <c r="C158" s="64">
        <f t="shared" si="4"/>
        <v>3.3088235294117641E-2</v>
      </c>
      <c r="E158" s="91" t="s">
        <v>480</v>
      </c>
      <c r="F158" s="53" t="s">
        <v>480</v>
      </c>
      <c r="G158" s="53" t="s">
        <v>480</v>
      </c>
      <c r="H158" s="53" t="s">
        <v>480</v>
      </c>
      <c r="I158" s="53">
        <v>-7.3529411764705881E-3</v>
      </c>
      <c r="J158" s="53">
        <v>-0.25</v>
      </c>
      <c r="K158" s="53" t="s">
        <v>480</v>
      </c>
      <c r="L158" s="53" t="s">
        <v>480</v>
      </c>
      <c r="M158" s="53" t="s">
        <v>480</v>
      </c>
      <c r="N158" s="53" t="s">
        <v>480</v>
      </c>
      <c r="O158" s="53" t="s">
        <v>480</v>
      </c>
      <c r="P158" s="53" t="s">
        <v>480</v>
      </c>
      <c r="Q158" s="53" t="s">
        <v>480</v>
      </c>
      <c r="R158" s="53" t="s">
        <v>480</v>
      </c>
      <c r="S158" s="53" t="s">
        <v>480</v>
      </c>
      <c r="T158" s="53">
        <v>0.5</v>
      </c>
      <c r="U158" s="53">
        <v>-0.16911764705882354</v>
      </c>
      <c r="V158" s="53" t="s">
        <v>480</v>
      </c>
      <c r="W158" s="53" t="s">
        <v>480</v>
      </c>
      <c r="X158" s="53" t="s">
        <v>480</v>
      </c>
      <c r="Y158" s="53" t="s">
        <v>480</v>
      </c>
      <c r="Z158" s="53" t="s">
        <v>480</v>
      </c>
      <c r="AA158" s="53" t="s">
        <v>480</v>
      </c>
      <c r="AB158" s="53" t="s">
        <v>480</v>
      </c>
      <c r="AC158" s="53">
        <v>0.75</v>
      </c>
      <c r="AD158" s="53" t="s">
        <v>480</v>
      </c>
      <c r="AE158" s="53">
        <v>-0.625</v>
      </c>
      <c r="AF158" s="53" t="s">
        <v>480</v>
      </c>
      <c r="AG158" s="53" t="s">
        <v>480</v>
      </c>
      <c r="AH158" s="53" t="s">
        <v>480</v>
      </c>
      <c r="AI158" s="53" t="s">
        <v>480</v>
      </c>
      <c r="AJ158" s="53" t="s">
        <v>480</v>
      </c>
      <c r="AK158" s="53" t="s">
        <v>480</v>
      </c>
      <c r="AL158" s="53" t="s">
        <v>480</v>
      </c>
      <c r="AM158" s="53" t="s">
        <v>480</v>
      </c>
      <c r="AQ158">
        <f t="shared" si="5"/>
        <v>1</v>
      </c>
      <c r="AR158" t="s">
        <v>73</v>
      </c>
    </row>
    <row r="159" spans="1:44" x14ac:dyDescent="0.25">
      <c r="A159" s="1">
        <f>COUNTIF('Value Matchup'!$D$356:$D$423,PASE!B159)</f>
        <v>0</v>
      </c>
      <c r="B159" t="s">
        <v>261</v>
      </c>
      <c r="C159" s="64">
        <f t="shared" si="4"/>
        <v>-0.11764705882352941</v>
      </c>
      <c r="E159" s="91" t="s">
        <v>480</v>
      </c>
      <c r="F159" s="53" t="s">
        <v>480</v>
      </c>
      <c r="G159" s="53" t="s">
        <v>480</v>
      </c>
      <c r="H159" s="53" t="s">
        <v>480</v>
      </c>
      <c r="I159" s="53" t="s">
        <v>480</v>
      </c>
      <c r="J159" s="53" t="s">
        <v>480</v>
      </c>
      <c r="K159" s="53" t="s">
        <v>480</v>
      </c>
      <c r="L159" s="53" t="s">
        <v>480</v>
      </c>
      <c r="M159" s="53" t="s">
        <v>480</v>
      </c>
      <c r="N159" s="53" t="s">
        <v>480</v>
      </c>
      <c r="O159" s="53" t="s">
        <v>480</v>
      </c>
      <c r="P159" s="53" t="s">
        <v>480</v>
      </c>
      <c r="Q159" s="53" t="s">
        <v>480</v>
      </c>
      <c r="R159" s="53" t="s">
        <v>480</v>
      </c>
      <c r="S159" s="53" t="s">
        <v>480</v>
      </c>
      <c r="T159" s="53" t="s">
        <v>480</v>
      </c>
      <c r="U159" s="53" t="s">
        <v>480</v>
      </c>
      <c r="V159" s="53" t="s">
        <v>480</v>
      </c>
      <c r="W159" s="53" t="s">
        <v>480</v>
      </c>
      <c r="X159" s="53" t="s">
        <v>480</v>
      </c>
      <c r="Y159" s="53" t="s">
        <v>480</v>
      </c>
      <c r="Z159" s="53" t="s">
        <v>480</v>
      </c>
      <c r="AA159" s="53" t="s">
        <v>480</v>
      </c>
      <c r="AB159" s="53" t="s">
        <v>480</v>
      </c>
      <c r="AC159" s="53" t="s">
        <v>480</v>
      </c>
      <c r="AD159" s="53" t="s">
        <v>480</v>
      </c>
      <c r="AE159" s="53" t="s">
        <v>480</v>
      </c>
      <c r="AF159" s="53" t="s">
        <v>480</v>
      </c>
      <c r="AG159" s="53" t="s">
        <v>480</v>
      </c>
      <c r="AH159" s="53" t="s">
        <v>480</v>
      </c>
      <c r="AI159" s="53" t="s">
        <v>480</v>
      </c>
      <c r="AJ159" s="53" t="s">
        <v>480</v>
      </c>
      <c r="AK159" s="53">
        <v>-0.16911764705882354</v>
      </c>
      <c r="AL159" s="53">
        <v>-6.6176470588235295E-2</v>
      </c>
      <c r="AM159" s="53" t="s">
        <v>480</v>
      </c>
      <c r="AQ159">
        <f t="shared" si="5"/>
        <v>1</v>
      </c>
      <c r="AR159" t="s">
        <v>261</v>
      </c>
    </row>
    <row r="160" spans="1:44" x14ac:dyDescent="0.25">
      <c r="A160" s="1">
        <f>COUNTIF('Value Matchup'!$D$356:$D$423,PASE!B160)</f>
        <v>0</v>
      </c>
      <c r="B160" t="s">
        <v>262</v>
      </c>
      <c r="C160" s="64">
        <f t="shared" si="4"/>
        <v>-0.11927521008403362</v>
      </c>
      <c r="E160" s="91">
        <v>-1.1142857142857143</v>
      </c>
      <c r="F160" s="53" t="s">
        <v>480</v>
      </c>
      <c r="G160" s="53">
        <v>-0.61764705882352944</v>
      </c>
      <c r="H160" s="53" t="s">
        <v>480</v>
      </c>
      <c r="I160" s="53" t="s">
        <v>480</v>
      </c>
      <c r="J160" s="53" t="s">
        <v>480</v>
      </c>
      <c r="K160" s="53">
        <v>1.1691176470588236</v>
      </c>
      <c r="L160" s="53">
        <v>0.16911764705882359</v>
      </c>
      <c r="M160" s="53">
        <v>1.375</v>
      </c>
      <c r="N160" s="53">
        <v>-1.0808823529411764</v>
      </c>
      <c r="O160" s="53">
        <v>-8.0882352941176405E-2</v>
      </c>
      <c r="P160" s="53">
        <v>-8.0882352941176405E-2</v>
      </c>
      <c r="Q160" s="53">
        <v>-0.72058823529411764</v>
      </c>
      <c r="R160" s="53">
        <v>-0.92647058823529416</v>
      </c>
      <c r="S160" s="53" t="s">
        <v>480</v>
      </c>
      <c r="T160" s="53" t="s">
        <v>480</v>
      </c>
      <c r="U160" s="53">
        <v>2.1691176470588234</v>
      </c>
      <c r="V160" s="53">
        <v>-1.1176470588235294</v>
      </c>
      <c r="W160" s="53" t="s">
        <v>480</v>
      </c>
      <c r="X160" s="53" t="s">
        <v>480</v>
      </c>
      <c r="Y160" s="53" t="s">
        <v>480</v>
      </c>
      <c r="Z160" s="53" t="s">
        <v>480</v>
      </c>
      <c r="AA160" s="53">
        <v>-0.92647058823529416</v>
      </c>
      <c r="AB160" s="53">
        <v>-0.54411764705882359</v>
      </c>
      <c r="AC160" s="53" t="s">
        <v>480</v>
      </c>
      <c r="AD160" s="53">
        <v>0.91911764705882359</v>
      </c>
      <c r="AE160" s="53">
        <v>-0.5</v>
      </c>
      <c r="AF160" s="53" t="s">
        <v>480</v>
      </c>
      <c r="AG160" s="53" t="s">
        <v>480</v>
      </c>
      <c r="AH160" s="53" t="s">
        <v>480</v>
      </c>
      <c r="AI160" s="53" t="s">
        <v>480</v>
      </c>
      <c r="AJ160" s="53" t="s">
        <v>480</v>
      </c>
      <c r="AK160" s="53" t="s">
        <v>480</v>
      </c>
      <c r="AL160" s="53" t="s">
        <v>480</v>
      </c>
      <c r="AM160" s="53" t="s">
        <v>480</v>
      </c>
      <c r="AQ160">
        <f t="shared" si="5"/>
        <v>1</v>
      </c>
      <c r="AR160" t="s">
        <v>262</v>
      </c>
    </row>
    <row r="161" spans="1:44" x14ac:dyDescent="0.25">
      <c r="A161" s="1">
        <f>COUNTIF('Value Matchup'!$D$356:$D$423,PASE!B161)</f>
        <v>0</v>
      </c>
      <c r="B161" t="s">
        <v>263</v>
      </c>
      <c r="C161" s="64">
        <f t="shared" si="4"/>
        <v>0.14460784313725492</v>
      </c>
      <c r="E161" s="91" t="s">
        <v>480</v>
      </c>
      <c r="F161" s="53">
        <v>0.75</v>
      </c>
      <c r="G161" s="53" t="s">
        <v>480</v>
      </c>
      <c r="H161" s="53" t="s">
        <v>480</v>
      </c>
      <c r="I161" s="53" t="s">
        <v>480</v>
      </c>
      <c r="J161" s="53" t="s">
        <v>480</v>
      </c>
      <c r="K161" s="53" t="s">
        <v>480</v>
      </c>
      <c r="L161" s="53" t="s">
        <v>480</v>
      </c>
      <c r="M161" s="53" t="s">
        <v>480</v>
      </c>
      <c r="N161" s="53" t="s">
        <v>480</v>
      </c>
      <c r="O161" s="53" t="s">
        <v>480</v>
      </c>
      <c r="P161" s="53" t="s">
        <v>480</v>
      </c>
      <c r="Q161" s="53" t="s">
        <v>480</v>
      </c>
      <c r="R161" s="53" t="s">
        <v>480</v>
      </c>
      <c r="S161" s="53" t="s">
        <v>480</v>
      </c>
      <c r="T161" s="53" t="s">
        <v>480</v>
      </c>
      <c r="U161" s="53" t="s">
        <v>480</v>
      </c>
      <c r="V161" s="53" t="s">
        <v>480</v>
      </c>
      <c r="W161" s="53" t="s">
        <v>480</v>
      </c>
      <c r="X161" s="53" t="s">
        <v>480</v>
      </c>
      <c r="Y161" s="53" t="s">
        <v>480</v>
      </c>
      <c r="Z161" s="53" t="s">
        <v>480</v>
      </c>
      <c r="AA161" s="53" t="s">
        <v>480</v>
      </c>
      <c r="AB161" s="53" t="s">
        <v>480</v>
      </c>
      <c r="AC161" s="53" t="s">
        <v>480</v>
      </c>
      <c r="AD161" s="53" t="s">
        <v>480</v>
      </c>
      <c r="AE161" s="53" t="s">
        <v>480</v>
      </c>
      <c r="AF161" s="53" t="s">
        <v>480</v>
      </c>
      <c r="AG161" s="53" t="s">
        <v>480</v>
      </c>
      <c r="AH161" s="53" t="s">
        <v>480</v>
      </c>
      <c r="AI161" s="53" t="s">
        <v>480</v>
      </c>
      <c r="AJ161" s="53" t="s">
        <v>480</v>
      </c>
      <c r="AK161" s="53">
        <v>-0.25</v>
      </c>
      <c r="AL161" s="53" t="s">
        <v>480</v>
      </c>
      <c r="AM161" s="53">
        <v>-6.6176470588235295E-2</v>
      </c>
      <c r="AQ161">
        <f t="shared" si="5"/>
        <v>1</v>
      </c>
      <c r="AR161" t="s">
        <v>263</v>
      </c>
    </row>
    <row r="162" spans="1:44" x14ac:dyDescent="0.25">
      <c r="A162" s="1">
        <f>COUNTIF('Value Matchup'!$D$356:$D$423,PASE!B162)</f>
        <v>1</v>
      </c>
      <c r="B162" t="s">
        <v>31</v>
      </c>
      <c r="C162" s="64">
        <f t="shared" si="4"/>
        <v>3.172268907563023E-2</v>
      </c>
      <c r="E162" s="91">
        <v>-7.1428571428571397E-2</v>
      </c>
      <c r="F162" s="53" t="s">
        <v>480</v>
      </c>
      <c r="G162" s="53">
        <v>-1.0808823529411764</v>
      </c>
      <c r="H162" s="53">
        <v>0.88235294117647056</v>
      </c>
      <c r="I162" s="53">
        <v>-0.54411764705882359</v>
      </c>
      <c r="J162" s="53" t="s">
        <v>480</v>
      </c>
      <c r="K162" s="53" t="s">
        <v>480</v>
      </c>
      <c r="L162" s="53" t="s">
        <v>480</v>
      </c>
      <c r="M162" s="53" t="s">
        <v>480</v>
      </c>
      <c r="N162" s="53">
        <v>-0.54411764705882359</v>
      </c>
      <c r="O162" s="53">
        <v>0.38235294117647056</v>
      </c>
      <c r="P162" s="53" t="s">
        <v>480</v>
      </c>
      <c r="Q162" s="53">
        <v>-0.54411764705882359</v>
      </c>
      <c r="R162" s="53" t="s">
        <v>480</v>
      </c>
      <c r="S162" s="53" t="s">
        <v>480</v>
      </c>
      <c r="T162" s="53">
        <v>-0.54411764705882359</v>
      </c>
      <c r="U162" s="53">
        <v>0.91911764705882359</v>
      </c>
      <c r="V162" s="53" t="s">
        <v>480</v>
      </c>
      <c r="W162" s="53">
        <v>2.1691176470588234</v>
      </c>
      <c r="X162" s="53">
        <v>-0.83088235294117641</v>
      </c>
      <c r="Y162" s="53">
        <v>-0.36029411764705888</v>
      </c>
      <c r="Z162" s="53">
        <v>0.45588235294117641</v>
      </c>
      <c r="AA162" s="53">
        <v>-1.1176470588235294</v>
      </c>
      <c r="AB162" s="53">
        <v>-0.92647058823529416</v>
      </c>
      <c r="AC162" s="53">
        <v>0.16911764705882359</v>
      </c>
      <c r="AD162" s="53">
        <v>1.3823529411764706</v>
      </c>
      <c r="AE162" s="53" t="s">
        <v>480</v>
      </c>
      <c r="AF162" s="53" t="s">
        <v>480</v>
      </c>
      <c r="AG162" s="53" t="s">
        <v>480</v>
      </c>
      <c r="AH162" s="53" t="s">
        <v>480</v>
      </c>
      <c r="AI162" s="53" t="s">
        <v>480</v>
      </c>
      <c r="AJ162" s="53">
        <v>7.3529411764705843E-2</v>
      </c>
      <c r="AK162" s="53" t="s">
        <v>480</v>
      </c>
      <c r="AL162" s="53">
        <v>-0.11764705882352944</v>
      </c>
      <c r="AM162" s="53">
        <v>0.88235294117647056</v>
      </c>
      <c r="AQ162">
        <f t="shared" si="5"/>
        <v>1</v>
      </c>
      <c r="AR162" t="s">
        <v>31</v>
      </c>
    </row>
    <row r="163" spans="1:44" x14ac:dyDescent="0.25">
      <c r="A163" s="1">
        <f>COUNTIF('Value Matchup'!$D$356:$D$423,PASE!B163)</f>
        <v>0</v>
      </c>
      <c r="B163" t="s">
        <v>264</v>
      </c>
      <c r="C163" s="64">
        <f t="shared" si="4"/>
        <v>0</v>
      </c>
      <c r="E163" s="91" t="s">
        <v>480</v>
      </c>
      <c r="F163" s="53" t="s">
        <v>480</v>
      </c>
      <c r="G163" s="53" t="s">
        <v>480</v>
      </c>
      <c r="H163" s="53" t="s">
        <v>480</v>
      </c>
      <c r="I163" s="53" t="s">
        <v>480</v>
      </c>
      <c r="J163" s="53" t="s">
        <v>480</v>
      </c>
      <c r="K163" s="53" t="s">
        <v>480</v>
      </c>
      <c r="L163" s="53" t="s">
        <v>480</v>
      </c>
      <c r="M163" s="53" t="s">
        <v>480</v>
      </c>
      <c r="N163" s="53" t="s">
        <v>480</v>
      </c>
      <c r="O163" s="53" t="s">
        <v>480</v>
      </c>
      <c r="P163" s="53" t="s">
        <v>480</v>
      </c>
      <c r="Q163" s="53" t="s">
        <v>480</v>
      </c>
      <c r="R163" s="53" t="s">
        <v>480</v>
      </c>
      <c r="S163" s="53" t="s">
        <v>480</v>
      </c>
      <c r="T163" s="53" t="s">
        <v>480</v>
      </c>
      <c r="U163" s="53" t="s">
        <v>480</v>
      </c>
      <c r="V163" s="53" t="s">
        <v>480</v>
      </c>
      <c r="W163" s="53" t="s">
        <v>480</v>
      </c>
      <c r="X163" s="53" t="s">
        <v>480</v>
      </c>
      <c r="Y163" s="53" t="s">
        <v>480</v>
      </c>
      <c r="Z163" s="53" t="s">
        <v>480</v>
      </c>
      <c r="AA163" s="53" t="s">
        <v>480</v>
      </c>
      <c r="AB163" s="53" t="s">
        <v>480</v>
      </c>
      <c r="AC163" s="53" t="s">
        <v>480</v>
      </c>
      <c r="AD163" s="53" t="s">
        <v>480</v>
      </c>
      <c r="AE163" s="53" t="s">
        <v>480</v>
      </c>
      <c r="AF163" s="53" t="s">
        <v>480</v>
      </c>
      <c r="AG163" s="53" t="s">
        <v>480</v>
      </c>
      <c r="AH163" s="53" t="s">
        <v>480</v>
      </c>
      <c r="AI163" s="53" t="s">
        <v>480</v>
      </c>
      <c r="AJ163" s="53" t="s">
        <v>480</v>
      </c>
      <c r="AK163" s="53" t="s">
        <v>480</v>
      </c>
      <c r="AL163" s="53" t="s">
        <v>480</v>
      </c>
      <c r="AM163" s="53" t="s">
        <v>480</v>
      </c>
      <c r="AQ163">
        <f t="shared" si="5"/>
        <v>1</v>
      </c>
      <c r="AR163" t="s">
        <v>264</v>
      </c>
    </row>
    <row r="164" spans="1:44" x14ac:dyDescent="0.25">
      <c r="A164" s="1">
        <f>COUNTIF('Value Matchup'!$D$356:$D$423,PASE!B164)</f>
        <v>0</v>
      </c>
      <c r="B164" t="s">
        <v>265</v>
      </c>
      <c r="C164" s="64">
        <f t="shared" si="4"/>
        <v>-0.42003676470588236</v>
      </c>
      <c r="E164" s="91" t="s">
        <v>480</v>
      </c>
      <c r="F164" s="53" t="s">
        <v>480</v>
      </c>
      <c r="G164" s="53" t="s">
        <v>480</v>
      </c>
      <c r="H164" s="53" t="s">
        <v>480</v>
      </c>
      <c r="I164" s="53" t="s">
        <v>480</v>
      </c>
      <c r="J164" s="53">
        <v>-1.0808823529411764</v>
      </c>
      <c r="K164" s="53" t="s">
        <v>480</v>
      </c>
      <c r="L164" s="53" t="s">
        <v>480</v>
      </c>
      <c r="M164" s="53" t="s">
        <v>480</v>
      </c>
      <c r="N164" s="53" t="s">
        <v>480</v>
      </c>
      <c r="O164" s="53" t="s">
        <v>480</v>
      </c>
      <c r="P164" s="53" t="s">
        <v>480</v>
      </c>
      <c r="Q164" s="53" t="s">
        <v>480</v>
      </c>
      <c r="R164" s="53" t="s">
        <v>480</v>
      </c>
      <c r="S164" s="53" t="s">
        <v>480</v>
      </c>
      <c r="T164" s="53" t="s">
        <v>480</v>
      </c>
      <c r="U164" s="53" t="s">
        <v>480</v>
      </c>
      <c r="V164" s="53" t="s">
        <v>480</v>
      </c>
      <c r="W164" s="53" t="s">
        <v>480</v>
      </c>
      <c r="X164" s="53" t="s">
        <v>480</v>
      </c>
      <c r="Y164" s="53" t="s">
        <v>480</v>
      </c>
      <c r="Z164" s="53">
        <v>-0.92647058823529416</v>
      </c>
      <c r="AA164" s="53">
        <v>-0.625</v>
      </c>
      <c r="AB164" s="53">
        <v>0.65441176470588225</v>
      </c>
      <c r="AC164" s="53">
        <v>0.63970588235294112</v>
      </c>
      <c r="AD164" s="53">
        <v>-1.3602941176470589</v>
      </c>
      <c r="AE164" s="53">
        <v>-0.83088235294117641</v>
      </c>
      <c r="AF164" s="53">
        <v>0.16911764705882359</v>
      </c>
      <c r="AG164" s="53" t="s">
        <v>480</v>
      </c>
      <c r="AH164" s="53" t="s">
        <v>480</v>
      </c>
      <c r="AI164" s="53" t="s">
        <v>480</v>
      </c>
      <c r="AJ164" s="53" t="s">
        <v>480</v>
      </c>
      <c r="AK164" s="53" t="s">
        <v>480</v>
      </c>
      <c r="AL164" s="53" t="s">
        <v>480</v>
      </c>
      <c r="AM164" s="53" t="s">
        <v>480</v>
      </c>
      <c r="AQ164">
        <f t="shared" si="5"/>
        <v>1</v>
      </c>
      <c r="AR164" t="s">
        <v>265</v>
      </c>
    </row>
    <row r="165" spans="1:44" x14ac:dyDescent="0.25">
      <c r="A165" s="1">
        <f>COUNTIF('Value Matchup'!$D$356:$D$423,PASE!B165)</f>
        <v>0</v>
      </c>
      <c r="B165" t="s">
        <v>266</v>
      </c>
      <c r="C165" s="64">
        <f t="shared" si="4"/>
        <v>-8.8235294117647065E-2</v>
      </c>
      <c r="E165" s="91" t="s">
        <v>480</v>
      </c>
      <c r="F165" s="53" t="s">
        <v>480</v>
      </c>
      <c r="G165" s="53" t="s">
        <v>480</v>
      </c>
      <c r="H165" s="53" t="s">
        <v>480</v>
      </c>
      <c r="I165" s="53" t="s">
        <v>480</v>
      </c>
      <c r="J165" s="53" t="s">
        <v>480</v>
      </c>
      <c r="K165" s="53" t="s">
        <v>480</v>
      </c>
      <c r="L165" s="53" t="s">
        <v>480</v>
      </c>
      <c r="M165" s="53" t="s">
        <v>480</v>
      </c>
      <c r="N165" s="53" t="s">
        <v>480</v>
      </c>
      <c r="O165" s="53" t="s">
        <v>480</v>
      </c>
      <c r="P165" s="53" t="s">
        <v>480</v>
      </c>
      <c r="Q165" s="53" t="s">
        <v>480</v>
      </c>
      <c r="R165" s="53" t="s">
        <v>480</v>
      </c>
      <c r="S165" s="53" t="s">
        <v>480</v>
      </c>
      <c r="T165" s="53" t="s">
        <v>480</v>
      </c>
      <c r="U165" s="53" t="s">
        <v>480</v>
      </c>
      <c r="V165" s="53">
        <v>-0.16911764705882354</v>
      </c>
      <c r="W165" s="53" t="s">
        <v>480</v>
      </c>
      <c r="X165" s="53" t="s">
        <v>480</v>
      </c>
      <c r="Y165" s="53" t="s">
        <v>480</v>
      </c>
      <c r="Z165" s="53" t="s">
        <v>480</v>
      </c>
      <c r="AA165" s="53" t="s">
        <v>480</v>
      </c>
      <c r="AB165" s="53" t="s">
        <v>480</v>
      </c>
      <c r="AC165" s="53" t="s">
        <v>480</v>
      </c>
      <c r="AD165" s="53" t="s">
        <v>480</v>
      </c>
      <c r="AE165" s="53" t="s">
        <v>480</v>
      </c>
      <c r="AF165" s="53" t="s">
        <v>480</v>
      </c>
      <c r="AG165" s="53" t="s">
        <v>480</v>
      </c>
      <c r="AH165" s="53" t="s">
        <v>480</v>
      </c>
      <c r="AI165" s="53">
        <v>-7.3529411764705881E-3</v>
      </c>
      <c r="AJ165" s="53" t="s">
        <v>480</v>
      </c>
      <c r="AK165" s="53" t="s">
        <v>480</v>
      </c>
      <c r="AL165" s="53" t="s">
        <v>480</v>
      </c>
      <c r="AM165" s="53" t="s">
        <v>480</v>
      </c>
      <c r="AQ165">
        <f t="shared" si="5"/>
        <v>1</v>
      </c>
      <c r="AR165" t="s">
        <v>266</v>
      </c>
    </row>
    <row r="166" spans="1:44" x14ac:dyDescent="0.25">
      <c r="A166" s="1">
        <f>COUNTIF('Value Matchup'!$D$356:$D$423,PASE!B166)</f>
        <v>0</v>
      </c>
      <c r="B166" t="s">
        <v>267</v>
      </c>
      <c r="C166" s="64">
        <f t="shared" si="4"/>
        <v>5.1062091503267959E-2</v>
      </c>
      <c r="E166" s="91" t="s">
        <v>480</v>
      </c>
      <c r="F166" s="53" t="s">
        <v>480</v>
      </c>
      <c r="G166" s="53" t="s">
        <v>480</v>
      </c>
      <c r="H166" s="53" t="s">
        <v>480</v>
      </c>
      <c r="I166" s="53" t="s">
        <v>480</v>
      </c>
      <c r="J166" s="53">
        <v>0.27941176470588236</v>
      </c>
      <c r="K166" s="53">
        <v>-8.0882352941176405E-2</v>
      </c>
      <c r="L166" s="53">
        <v>-0.72058823529411764</v>
      </c>
      <c r="M166" s="53">
        <v>-0.5</v>
      </c>
      <c r="N166" s="53" t="s">
        <v>480</v>
      </c>
      <c r="O166" s="53">
        <v>-0.36029411764705888</v>
      </c>
      <c r="P166" s="53">
        <v>1.6544117647058822</v>
      </c>
      <c r="Q166" s="53">
        <v>0.63970588235294112</v>
      </c>
      <c r="R166" s="53">
        <v>-0.34558823529411775</v>
      </c>
      <c r="S166" s="53" t="s">
        <v>480</v>
      </c>
      <c r="T166" s="53">
        <v>7.3529411764705843E-2</v>
      </c>
      <c r="U166" s="53">
        <v>-0.92647058823529416</v>
      </c>
      <c r="V166" s="53" t="s">
        <v>480</v>
      </c>
      <c r="W166" s="53" t="s">
        <v>480</v>
      </c>
      <c r="X166" s="53" t="s">
        <v>480</v>
      </c>
      <c r="Y166" s="53" t="s">
        <v>480</v>
      </c>
      <c r="Z166" s="53" t="s">
        <v>480</v>
      </c>
      <c r="AA166" s="53" t="s">
        <v>480</v>
      </c>
      <c r="AB166" s="53">
        <v>-1.1176470588235294</v>
      </c>
      <c r="AC166" s="53">
        <v>0.91911764705882359</v>
      </c>
      <c r="AD166" s="53" t="s">
        <v>480</v>
      </c>
      <c r="AE166" s="53">
        <v>-0.61764705882352944</v>
      </c>
      <c r="AF166" s="53">
        <v>1.9191176470588236</v>
      </c>
      <c r="AG166" s="53" t="s">
        <v>480</v>
      </c>
      <c r="AH166" s="53" t="s">
        <v>480</v>
      </c>
      <c r="AI166" s="53">
        <v>-1.1176470588235294</v>
      </c>
      <c r="AJ166" s="53">
        <v>0.41176470588235292</v>
      </c>
      <c r="AK166" s="53" t="s">
        <v>480</v>
      </c>
      <c r="AL166" s="53">
        <v>-0.83088235294117641</v>
      </c>
      <c r="AM166" s="53">
        <v>1.6397058823529411</v>
      </c>
      <c r="AQ166">
        <f t="shared" si="5"/>
        <v>1</v>
      </c>
      <c r="AR166" t="s">
        <v>267</v>
      </c>
    </row>
    <row r="167" spans="1:44" x14ac:dyDescent="0.25">
      <c r="A167" s="1">
        <f>COUNTIF('Value Matchup'!$D$356:$D$423,PASE!B167)</f>
        <v>0</v>
      </c>
      <c r="B167" t="s">
        <v>268</v>
      </c>
      <c r="C167" s="64">
        <f t="shared" si="4"/>
        <v>0.38235294117647056</v>
      </c>
      <c r="E167" s="91" t="s">
        <v>480</v>
      </c>
      <c r="F167" s="53" t="s">
        <v>480</v>
      </c>
      <c r="G167" s="53" t="s">
        <v>480</v>
      </c>
      <c r="H167" s="53" t="s">
        <v>480</v>
      </c>
      <c r="I167" s="53" t="s">
        <v>480</v>
      </c>
      <c r="J167" s="53">
        <v>0.83088235294117641</v>
      </c>
      <c r="K167" s="53" t="s">
        <v>480</v>
      </c>
      <c r="L167" s="53" t="s">
        <v>480</v>
      </c>
      <c r="M167" s="53" t="s">
        <v>480</v>
      </c>
      <c r="N167" s="53" t="s">
        <v>480</v>
      </c>
      <c r="O167" s="53" t="s">
        <v>480</v>
      </c>
      <c r="P167" s="53" t="s">
        <v>480</v>
      </c>
      <c r="Q167" s="53" t="s">
        <v>480</v>
      </c>
      <c r="R167" s="53" t="s">
        <v>480</v>
      </c>
      <c r="S167" s="53" t="s">
        <v>480</v>
      </c>
      <c r="T167" s="53" t="s">
        <v>480</v>
      </c>
      <c r="U167" s="53" t="s">
        <v>480</v>
      </c>
      <c r="V167" s="53" t="s">
        <v>480</v>
      </c>
      <c r="W167" s="53" t="s">
        <v>480</v>
      </c>
      <c r="X167" s="53" t="s">
        <v>480</v>
      </c>
      <c r="Y167" s="53" t="s">
        <v>480</v>
      </c>
      <c r="Z167" s="53" t="s">
        <v>480</v>
      </c>
      <c r="AA167" s="53" t="s">
        <v>480</v>
      </c>
      <c r="AB167" s="53" t="s">
        <v>480</v>
      </c>
      <c r="AC167" s="53" t="s">
        <v>480</v>
      </c>
      <c r="AD167" s="53" t="s">
        <v>480</v>
      </c>
      <c r="AE167" s="53" t="s">
        <v>480</v>
      </c>
      <c r="AF167" s="53" t="s">
        <v>480</v>
      </c>
      <c r="AG167" s="53" t="s">
        <v>480</v>
      </c>
      <c r="AH167" s="53" t="s">
        <v>480</v>
      </c>
      <c r="AI167" s="53" t="s">
        <v>480</v>
      </c>
      <c r="AJ167" s="53" t="s">
        <v>480</v>
      </c>
      <c r="AK167" s="53" t="s">
        <v>480</v>
      </c>
      <c r="AL167" s="53" t="s">
        <v>480</v>
      </c>
      <c r="AM167" s="53">
        <v>-6.6176470588235295E-2</v>
      </c>
      <c r="AQ167">
        <f t="shared" si="5"/>
        <v>1</v>
      </c>
      <c r="AR167" t="s">
        <v>268</v>
      </c>
    </row>
    <row r="168" spans="1:44" x14ac:dyDescent="0.25">
      <c r="A168" s="1">
        <f>COUNTIF('Value Matchup'!$D$356:$D$423,PASE!B168)</f>
        <v>0</v>
      </c>
      <c r="B168" t="s">
        <v>269</v>
      </c>
      <c r="C168" s="64">
        <f t="shared" si="4"/>
        <v>-0.45588235294117641</v>
      </c>
      <c r="E168" s="91" t="s">
        <v>480</v>
      </c>
      <c r="F168" s="53">
        <v>-1.0808823529411764</v>
      </c>
      <c r="G168" s="53">
        <v>-0.72058823529411764</v>
      </c>
      <c r="H168" s="53">
        <v>0.16911764705882359</v>
      </c>
      <c r="I168" s="53" t="s">
        <v>480</v>
      </c>
      <c r="J168" s="53" t="s">
        <v>480</v>
      </c>
      <c r="K168" s="53">
        <v>-0.36029411764705888</v>
      </c>
      <c r="L168" s="53" t="s">
        <v>480</v>
      </c>
      <c r="M168" s="53" t="s">
        <v>480</v>
      </c>
      <c r="N168" s="53" t="s">
        <v>480</v>
      </c>
      <c r="O168" s="53" t="s">
        <v>480</v>
      </c>
      <c r="P168" s="53">
        <v>7.3529411764705843E-2</v>
      </c>
      <c r="Q168" s="53" t="s">
        <v>480</v>
      </c>
      <c r="R168" s="53" t="s">
        <v>480</v>
      </c>
      <c r="S168" s="53" t="s">
        <v>480</v>
      </c>
      <c r="T168" s="53" t="s">
        <v>480</v>
      </c>
      <c r="U168" s="53" t="s">
        <v>480</v>
      </c>
      <c r="V168" s="53">
        <v>-1.1176470588235294</v>
      </c>
      <c r="W168" s="53" t="s">
        <v>480</v>
      </c>
      <c r="X168" s="53">
        <v>0.91911764705882359</v>
      </c>
      <c r="Y168" s="53">
        <v>-1.3602941176470589</v>
      </c>
      <c r="Z168" s="53">
        <v>-0.625</v>
      </c>
      <c r="AA168" s="53" t="s">
        <v>480</v>
      </c>
      <c r="AB168" s="53" t="s">
        <v>480</v>
      </c>
      <c r="AC168" s="53" t="s">
        <v>480</v>
      </c>
      <c r="AD168" s="53" t="s">
        <v>480</v>
      </c>
      <c r="AE168" s="53" t="s">
        <v>480</v>
      </c>
      <c r="AF168" s="53" t="s">
        <v>480</v>
      </c>
      <c r="AG168" s="53" t="s">
        <v>480</v>
      </c>
      <c r="AH168" s="53" t="s">
        <v>480</v>
      </c>
      <c r="AI168" s="53" t="s">
        <v>480</v>
      </c>
      <c r="AJ168" s="53" t="s">
        <v>480</v>
      </c>
      <c r="AK168" s="53" t="s">
        <v>480</v>
      </c>
      <c r="AL168" s="53" t="s">
        <v>480</v>
      </c>
      <c r="AM168" s="53" t="s">
        <v>480</v>
      </c>
      <c r="AQ168">
        <f t="shared" si="5"/>
        <v>1</v>
      </c>
      <c r="AR168" t="s">
        <v>269</v>
      </c>
    </row>
    <row r="169" spans="1:44" x14ac:dyDescent="0.25">
      <c r="A169" s="1">
        <f>COUNTIF('Value Matchup'!$D$356:$D$423,PASE!B169)</f>
        <v>0</v>
      </c>
      <c r="B169" t="s">
        <v>270</v>
      </c>
      <c r="C169" s="64">
        <f t="shared" si="4"/>
        <v>1.3655462184873932E-2</v>
      </c>
      <c r="E169" s="91" t="s">
        <v>480</v>
      </c>
      <c r="F169" s="53" t="s">
        <v>480</v>
      </c>
      <c r="G169" s="53" t="s">
        <v>480</v>
      </c>
      <c r="H169" s="53" t="s">
        <v>480</v>
      </c>
      <c r="I169" s="53" t="s">
        <v>480</v>
      </c>
      <c r="J169" s="53" t="s">
        <v>480</v>
      </c>
      <c r="K169" s="53" t="s">
        <v>480</v>
      </c>
      <c r="L169" s="53" t="s">
        <v>480</v>
      </c>
      <c r="M169" s="53" t="s">
        <v>480</v>
      </c>
      <c r="N169" s="53" t="s">
        <v>480</v>
      </c>
      <c r="O169" s="53" t="s">
        <v>480</v>
      </c>
      <c r="P169" s="53" t="s">
        <v>480</v>
      </c>
      <c r="Q169" s="53">
        <v>-0.16911764705882354</v>
      </c>
      <c r="R169" s="53" t="s">
        <v>480</v>
      </c>
      <c r="S169" s="53" t="s">
        <v>480</v>
      </c>
      <c r="T169" s="53" t="s">
        <v>480</v>
      </c>
      <c r="U169" s="53" t="s">
        <v>480</v>
      </c>
      <c r="V169" s="53" t="s">
        <v>480</v>
      </c>
      <c r="W169" s="53" t="s">
        <v>480</v>
      </c>
      <c r="X169" s="53" t="s">
        <v>480</v>
      </c>
      <c r="Y169" s="53">
        <v>1.3823529411764706</v>
      </c>
      <c r="Z169" s="53" t="s">
        <v>480</v>
      </c>
      <c r="AA169" s="53">
        <v>-0.25</v>
      </c>
      <c r="AB169" s="53" t="s">
        <v>480</v>
      </c>
      <c r="AC169" s="53">
        <v>0.5</v>
      </c>
      <c r="AD169" s="53" t="s">
        <v>480</v>
      </c>
      <c r="AE169" s="53" t="s">
        <v>480</v>
      </c>
      <c r="AF169" s="53">
        <v>-0.25</v>
      </c>
      <c r="AG169" s="53" t="s">
        <v>480</v>
      </c>
      <c r="AH169" s="53" t="s">
        <v>480</v>
      </c>
      <c r="AI169" s="53" t="s">
        <v>480</v>
      </c>
      <c r="AJ169" s="53" t="s">
        <v>480</v>
      </c>
      <c r="AK169" s="53" t="s">
        <v>480</v>
      </c>
      <c r="AL169" s="53">
        <v>-0.61764705882352944</v>
      </c>
      <c r="AM169" s="53">
        <v>-0.5</v>
      </c>
      <c r="AQ169">
        <f t="shared" si="5"/>
        <v>1</v>
      </c>
      <c r="AR169" t="s">
        <v>270</v>
      </c>
    </row>
    <row r="170" spans="1:44" x14ac:dyDescent="0.25">
      <c r="A170" s="1">
        <f>COUNTIF('Value Matchup'!$D$356:$D$423,PASE!B170)</f>
        <v>1</v>
      </c>
      <c r="B170" t="s">
        <v>82</v>
      </c>
      <c r="C170" s="64">
        <f t="shared" si="4"/>
        <v>0.34503151260504206</v>
      </c>
      <c r="E170" s="91">
        <v>-0.37142857142857144</v>
      </c>
      <c r="F170" s="53">
        <v>3.1691176470588234</v>
      </c>
      <c r="G170" s="53">
        <v>1.0735294117647058</v>
      </c>
      <c r="H170" s="53">
        <v>-0.625</v>
      </c>
      <c r="I170" s="53" t="s">
        <v>480</v>
      </c>
      <c r="J170" s="53">
        <v>0.63970588235294112</v>
      </c>
      <c r="K170" s="53">
        <v>3.4558823529411766</v>
      </c>
      <c r="L170" s="53">
        <v>-1.5441176470588236</v>
      </c>
      <c r="M170" s="53">
        <v>0.27941176470588236</v>
      </c>
      <c r="N170" s="53" t="s">
        <v>480</v>
      </c>
      <c r="O170" s="53">
        <v>0.38235294117647056</v>
      </c>
      <c r="P170" s="53" t="s">
        <v>480</v>
      </c>
      <c r="Q170" s="53" t="s">
        <v>480</v>
      </c>
      <c r="R170" s="53" t="s">
        <v>480</v>
      </c>
      <c r="S170" s="53" t="s">
        <v>480</v>
      </c>
      <c r="T170" s="53" t="s">
        <v>480</v>
      </c>
      <c r="U170" s="53" t="s">
        <v>480</v>
      </c>
      <c r="V170" s="53" t="s">
        <v>480</v>
      </c>
      <c r="W170" s="53" t="s">
        <v>480</v>
      </c>
      <c r="X170" s="53" t="s">
        <v>480</v>
      </c>
      <c r="Y170" s="53" t="s">
        <v>480</v>
      </c>
      <c r="Z170" s="53">
        <v>-0.83088235294117641</v>
      </c>
      <c r="AA170" s="53" t="s">
        <v>480</v>
      </c>
      <c r="AB170" s="53">
        <v>-0.92647058823529416</v>
      </c>
      <c r="AC170" s="53">
        <v>-0.58823529411764708</v>
      </c>
      <c r="AD170" s="53">
        <v>1.1691176470588236</v>
      </c>
      <c r="AE170" s="53">
        <v>1.6544117647058822</v>
      </c>
      <c r="AF170" s="53">
        <v>3.9191176470588234</v>
      </c>
      <c r="AG170" s="53" t="s">
        <v>480</v>
      </c>
      <c r="AH170" s="53">
        <v>-0.83088235294117641</v>
      </c>
      <c r="AI170" s="53" t="s">
        <v>480</v>
      </c>
      <c r="AJ170" s="53">
        <v>0.16911764705882359</v>
      </c>
      <c r="AK170" s="53">
        <v>0.41176470588235292</v>
      </c>
      <c r="AL170" s="53">
        <v>-1.3602941176470589</v>
      </c>
      <c r="AM170" s="53">
        <v>-2.3455882352941178</v>
      </c>
      <c r="AQ170">
        <f t="shared" si="5"/>
        <v>1</v>
      </c>
      <c r="AR170" t="s">
        <v>82</v>
      </c>
    </row>
    <row r="171" spans="1:44" x14ac:dyDescent="0.25">
      <c r="A171" s="1">
        <f>COUNTIF('Value Matchup'!$D$356:$D$423,PASE!B171)</f>
        <v>1</v>
      </c>
      <c r="B171" t="s">
        <v>271</v>
      </c>
      <c r="C171" s="64">
        <f t="shared" si="4"/>
        <v>0.33652460984393767</v>
      </c>
      <c r="E171" s="91">
        <v>1.6285714285714286</v>
      </c>
      <c r="F171" s="53">
        <v>-0.83088235294117641</v>
      </c>
      <c r="G171" s="53">
        <v>0.41176470588235292</v>
      </c>
      <c r="H171" s="53">
        <v>-2.3602941176470589</v>
      </c>
      <c r="I171" s="53">
        <v>3.0735294117647056</v>
      </c>
      <c r="J171" s="53">
        <v>1.4558823529411764</v>
      </c>
      <c r="K171" s="53">
        <v>0.16911764705882359</v>
      </c>
      <c r="L171" s="53">
        <v>-1.3455882352941178</v>
      </c>
      <c r="M171" s="53">
        <v>-0.61764705882352944</v>
      </c>
      <c r="N171" s="53">
        <v>2.8823529411764706</v>
      </c>
      <c r="O171" s="53">
        <v>2.6397058823529411</v>
      </c>
      <c r="P171" s="53">
        <v>0.88235294117647056</v>
      </c>
      <c r="Q171" s="53">
        <v>0.41176470588235292</v>
      </c>
      <c r="R171" s="53">
        <v>-1.0808823529411764</v>
      </c>
      <c r="S171" s="53">
        <v>2.8823529411764706</v>
      </c>
      <c r="T171" s="53">
        <v>-0.92647058823529416</v>
      </c>
      <c r="U171" s="53">
        <v>2.0735294117647056</v>
      </c>
      <c r="V171" s="53">
        <v>-0.61764705882352944</v>
      </c>
      <c r="W171" s="53">
        <v>0.65441176470588225</v>
      </c>
      <c r="X171" s="53" t="s">
        <v>480</v>
      </c>
      <c r="Y171" s="53">
        <v>0.65441176470588225</v>
      </c>
      <c r="Z171" s="53">
        <v>0.45588235294117641</v>
      </c>
      <c r="AA171" s="53" t="s">
        <v>480</v>
      </c>
      <c r="AB171" s="53" t="s">
        <v>480</v>
      </c>
      <c r="AC171" s="53">
        <v>-1.8308823529411764</v>
      </c>
      <c r="AD171" s="53">
        <v>7.3529411764705843E-2</v>
      </c>
      <c r="AE171" s="53" t="s">
        <v>480</v>
      </c>
      <c r="AF171" s="53">
        <v>-0.11764705882352944</v>
      </c>
      <c r="AG171" s="53">
        <v>-0.11764705882352944</v>
      </c>
      <c r="AH171" s="53">
        <v>-1.3455882352941178</v>
      </c>
      <c r="AI171" s="53" t="s">
        <v>480</v>
      </c>
      <c r="AJ171" s="53" t="s">
        <v>480</v>
      </c>
      <c r="AK171" s="53" t="s">
        <v>480</v>
      </c>
      <c r="AL171" s="53">
        <v>0.88235294117647056</v>
      </c>
      <c r="AM171" s="53">
        <v>-0.61764705882352944</v>
      </c>
      <c r="AQ171">
        <f t="shared" si="5"/>
        <v>1</v>
      </c>
      <c r="AR171" t="s">
        <v>271</v>
      </c>
    </row>
    <row r="172" spans="1:44" x14ac:dyDescent="0.25">
      <c r="A172" s="1">
        <f>COUNTIF('Value Matchup'!$D$356:$D$423,PASE!B172)</f>
        <v>0</v>
      </c>
      <c r="B172" t="s">
        <v>272</v>
      </c>
      <c r="C172" s="64">
        <f t="shared" si="4"/>
        <v>0.16544117647058823</v>
      </c>
      <c r="E172" s="91" t="s">
        <v>480</v>
      </c>
      <c r="F172" s="53" t="s">
        <v>480</v>
      </c>
      <c r="G172" s="53">
        <v>0.5</v>
      </c>
      <c r="H172" s="53">
        <v>0.93382352941176472</v>
      </c>
      <c r="I172" s="53" t="s">
        <v>480</v>
      </c>
      <c r="J172" s="53" t="s">
        <v>480</v>
      </c>
      <c r="K172" s="53">
        <v>-0.625</v>
      </c>
      <c r="L172" s="53" t="s">
        <v>480</v>
      </c>
      <c r="M172" s="53" t="s">
        <v>480</v>
      </c>
      <c r="N172" s="53" t="s">
        <v>480</v>
      </c>
      <c r="O172" s="53" t="s">
        <v>480</v>
      </c>
      <c r="P172" s="53" t="s">
        <v>480</v>
      </c>
      <c r="Q172" s="53" t="s">
        <v>480</v>
      </c>
      <c r="R172" s="53" t="s">
        <v>480</v>
      </c>
      <c r="S172" s="53" t="s">
        <v>480</v>
      </c>
      <c r="T172" s="53" t="s">
        <v>480</v>
      </c>
      <c r="U172" s="53" t="s">
        <v>480</v>
      </c>
      <c r="V172" s="53" t="s">
        <v>480</v>
      </c>
      <c r="W172" s="53" t="s">
        <v>480</v>
      </c>
      <c r="X172" s="53" t="s">
        <v>480</v>
      </c>
      <c r="Y172" s="53" t="s">
        <v>480</v>
      </c>
      <c r="Z172" s="53" t="s">
        <v>480</v>
      </c>
      <c r="AA172" s="53" t="s">
        <v>480</v>
      </c>
      <c r="AB172" s="53" t="s">
        <v>480</v>
      </c>
      <c r="AC172" s="53" t="s">
        <v>480</v>
      </c>
      <c r="AD172" s="53" t="s">
        <v>480</v>
      </c>
      <c r="AE172" s="53" t="s">
        <v>480</v>
      </c>
      <c r="AF172" s="53" t="s">
        <v>480</v>
      </c>
      <c r="AG172" s="53" t="s">
        <v>480</v>
      </c>
      <c r="AH172" s="53" t="s">
        <v>480</v>
      </c>
      <c r="AI172" s="53">
        <v>0.75</v>
      </c>
      <c r="AJ172" s="53" t="s">
        <v>480</v>
      </c>
      <c r="AK172" s="53">
        <v>-0.5</v>
      </c>
      <c r="AL172" s="53" t="s">
        <v>480</v>
      </c>
      <c r="AM172" s="53">
        <v>-6.6176470588235295E-2</v>
      </c>
      <c r="AQ172">
        <f t="shared" si="5"/>
        <v>1</v>
      </c>
      <c r="AR172" t="s">
        <v>272</v>
      </c>
    </row>
    <row r="173" spans="1:44" x14ac:dyDescent="0.25">
      <c r="A173" s="1">
        <f>COUNTIF('Value Matchup'!$D$356:$D$423,PASE!B173)</f>
        <v>0</v>
      </c>
      <c r="B173" t="s">
        <v>273</v>
      </c>
      <c r="C173" s="64">
        <f t="shared" si="4"/>
        <v>0.32720588235294118</v>
      </c>
      <c r="E173" s="91" t="s">
        <v>480</v>
      </c>
      <c r="F173" s="53" t="s">
        <v>480</v>
      </c>
      <c r="G173" s="53" t="s">
        <v>480</v>
      </c>
      <c r="H173" s="53" t="s">
        <v>480</v>
      </c>
      <c r="I173" s="53" t="s">
        <v>480</v>
      </c>
      <c r="J173" s="53">
        <v>-6.6176470588235295E-2</v>
      </c>
      <c r="K173" s="53" t="s">
        <v>480</v>
      </c>
      <c r="L173" s="53" t="s">
        <v>480</v>
      </c>
      <c r="M173" s="53" t="s">
        <v>480</v>
      </c>
      <c r="N173" s="53" t="s">
        <v>480</v>
      </c>
      <c r="O173" s="53" t="s">
        <v>480</v>
      </c>
      <c r="P173" s="53" t="s">
        <v>480</v>
      </c>
      <c r="Q173" s="53" t="s">
        <v>480</v>
      </c>
      <c r="R173" s="53">
        <v>0.375</v>
      </c>
      <c r="S173" s="53">
        <v>1.5</v>
      </c>
      <c r="T173" s="53" t="s">
        <v>480</v>
      </c>
      <c r="U173" s="53">
        <v>-0.5</v>
      </c>
      <c r="V173" s="53" t="s">
        <v>480</v>
      </c>
      <c r="W173" s="53" t="s">
        <v>480</v>
      </c>
      <c r="X173" s="53" t="s">
        <v>480</v>
      </c>
      <c r="Y173" s="53" t="s">
        <v>480</v>
      </c>
      <c r="Z173" s="53" t="s">
        <v>480</v>
      </c>
      <c r="AA173" s="53" t="s">
        <v>480</v>
      </c>
      <c r="AB173" s="53" t="s">
        <v>480</v>
      </c>
      <c r="AC173" s="53" t="s">
        <v>480</v>
      </c>
      <c r="AD173" s="53" t="s">
        <v>480</v>
      </c>
      <c r="AE173" s="53" t="s">
        <v>480</v>
      </c>
      <c r="AF173" s="53" t="s">
        <v>480</v>
      </c>
      <c r="AG173" s="53" t="s">
        <v>480</v>
      </c>
      <c r="AH173" s="53" t="s">
        <v>480</v>
      </c>
      <c r="AI173" s="53" t="s">
        <v>480</v>
      </c>
      <c r="AJ173" s="53" t="s">
        <v>480</v>
      </c>
      <c r="AK173" s="53" t="s">
        <v>480</v>
      </c>
      <c r="AL173" s="53" t="s">
        <v>480</v>
      </c>
      <c r="AM173" s="53" t="s">
        <v>480</v>
      </c>
      <c r="AQ173">
        <f t="shared" si="5"/>
        <v>1</v>
      </c>
      <c r="AR173" t="s">
        <v>273</v>
      </c>
    </row>
    <row r="174" spans="1:44" x14ac:dyDescent="0.25">
      <c r="A174" s="1">
        <f>COUNTIF('Value Matchup'!$D$356:$D$423,PASE!B174)</f>
        <v>0</v>
      </c>
      <c r="B174" t="s">
        <v>274</v>
      </c>
      <c r="C174" s="64">
        <f t="shared" si="4"/>
        <v>-8.8935574229692116E-3</v>
      </c>
      <c r="E174" s="91">
        <v>0.37857142857142856</v>
      </c>
      <c r="F174" s="53" t="s">
        <v>480</v>
      </c>
      <c r="G174" s="53">
        <v>-1.1176470588235294</v>
      </c>
      <c r="H174" s="53" t="s">
        <v>480</v>
      </c>
      <c r="I174" s="53" t="s">
        <v>480</v>
      </c>
      <c r="J174" s="53" t="s">
        <v>480</v>
      </c>
      <c r="K174" s="53">
        <v>0.375</v>
      </c>
      <c r="L174" s="53" t="s">
        <v>480</v>
      </c>
      <c r="M174" s="53" t="s">
        <v>480</v>
      </c>
      <c r="N174" s="53">
        <v>-0.625</v>
      </c>
      <c r="O174" s="53">
        <v>-0.61764705882352944</v>
      </c>
      <c r="P174" s="53" t="s">
        <v>480</v>
      </c>
      <c r="Q174" s="53" t="s">
        <v>480</v>
      </c>
      <c r="R174" s="53" t="s">
        <v>480</v>
      </c>
      <c r="S174" s="53">
        <v>-0.72058823529411764</v>
      </c>
      <c r="T174" s="53" t="s">
        <v>480</v>
      </c>
      <c r="U174" s="53" t="s">
        <v>480</v>
      </c>
      <c r="V174" s="53" t="s">
        <v>480</v>
      </c>
      <c r="W174" s="53" t="s">
        <v>480</v>
      </c>
      <c r="X174" s="53" t="s">
        <v>480</v>
      </c>
      <c r="Y174" s="53">
        <v>-0.92647058823529416</v>
      </c>
      <c r="Z174" s="53" t="s">
        <v>480</v>
      </c>
      <c r="AA174" s="53">
        <v>0.65441176470588225</v>
      </c>
      <c r="AB174" s="53" t="s">
        <v>480</v>
      </c>
      <c r="AC174" s="53">
        <v>-0.72058823529411764</v>
      </c>
      <c r="AD174" s="53">
        <v>-8.0882352941176405E-2</v>
      </c>
      <c r="AE174" s="53" t="s">
        <v>480</v>
      </c>
      <c r="AF174" s="53" t="s">
        <v>480</v>
      </c>
      <c r="AG174" s="53" t="s">
        <v>480</v>
      </c>
      <c r="AH174" s="53">
        <v>1.9191176470588236</v>
      </c>
      <c r="AI174" s="53">
        <v>1.375</v>
      </c>
      <c r="AJ174" s="53" t="s">
        <v>480</v>
      </c>
      <c r="AK174" s="53" t="s">
        <v>480</v>
      </c>
      <c r="AL174" s="53" t="s">
        <v>480</v>
      </c>
      <c r="AM174" s="53" t="s">
        <v>480</v>
      </c>
      <c r="AQ174">
        <f t="shared" si="5"/>
        <v>1</v>
      </c>
      <c r="AR174" t="s">
        <v>274</v>
      </c>
    </row>
    <row r="175" spans="1:44" x14ac:dyDescent="0.25">
      <c r="A175" s="1">
        <f>COUNTIF('Value Matchup'!$D$356:$D$423,PASE!B175)</f>
        <v>0</v>
      </c>
      <c r="B175" t="s">
        <v>45</v>
      </c>
      <c r="C175" s="64">
        <f t="shared" si="4"/>
        <v>-0.38713235294117648</v>
      </c>
      <c r="E175" s="91">
        <v>-0.7</v>
      </c>
      <c r="F175" s="53" t="s">
        <v>480</v>
      </c>
      <c r="G175" s="53" t="s">
        <v>480</v>
      </c>
      <c r="H175" s="53" t="s">
        <v>480</v>
      </c>
      <c r="I175" s="53">
        <v>-0.625</v>
      </c>
      <c r="J175" s="53" t="s">
        <v>480</v>
      </c>
      <c r="K175" s="53">
        <v>0.5</v>
      </c>
      <c r="L175" s="53" t="s">
        <v>480</v>
      </c>
      <c r="M175" s="53" t="s">
        <v>480</v>
      </c>
      <c r="N175" s="53" t="s">
        <v>480</v>
      </c>
      <c r="O175" s="53" t="s">
        <v>480</v>
      </c>
      <c r="P175" s="53" t="s">
        <v>480</v>
      </c>
      <c r="Q175" s="53" t="s">
        <v>480</v>
      </c>
      <c r="R175" s="53" t="s">
        <v>480</v>
      </c>
      <c r="S175" s="53" t="s">
        <v>480</v>
      </c>
      <c r="T175" s="53" t="s">
        <v>480</v>
      </c>
      <c r="U175" s="53" t="s">
        <v>480</v>
      </c>
      <c r="V175" s="53">
        <v>-0.58823529411764708</v>
      </c>
      <c r="W175" s="53">
        <v>0.16911764705882359</v>
      </c>
      <c r="X175" s="53" t="s">
        <v>480</v>
      </c>
      <c r="Y175" s="53">
        <v>0.41176470588235292</v>
      </c>
      <c r="Z175" s="53">
        <v>-1.5441176470588236</v>
      </c>
      <c r="AA175" s="53">
        <v>-0.72058823529411764</v>
      </c>
      <c r="AB175" s="53" t="s">
        <v>480</v>
      </c>
      <c r="AC175" s="53" t="s">
        <v>480</v>
      </c>
      <c r="AD175" s="53" t="s">
        <v>480</v>
      </c>
      <c r="AE175" s="53" t="s">
        <v>480</v>
      </c>
      <c r="AF175" s="53" t="s">
        <v>480</v>
      </c>
      <c r="AG175" s="53" t="s">
        <v>480</v>
      </c>
      <c r="AH175" s="53" t="s">
        <v>480</v>
      </c>
      <c r="AI175" s="53" t="s">
        <v>480</v>
      </c>
      <c r="AJ175" s="53" t="s">
        <v>480</v>
      </c>
      <c r="AK175" s="53" t="s">
        <v>480</v>
      </c>
      <c r="AL175" s="53" t="s">
        <v>480</v>
      </c>
      <c r="AM175" s="53" t="s">
        <v>480</v>
      </c>
      <c r="AQ175">
        <f t="shared" si="5"/>
        <v>1</v>
      </c>
      <c r="AR175" t="s">
        <v>45</v>
      </c>
    </row>
    <row r="176" spans="1:44" x14ac:dyDescent="0.25">
      <c r="A176" s="1">
        <f>COUNTIF('Value Matchup'!$D$356:$D$423,PASE!B176)</f>
        <v>0</v>
      </c>
      <c r="B176" t="s">
        <v>275</v>
      </c>
      <c r="C176" s="64">
        <f t="shared" si="4"/>
        <v>-0.1334873949579832</v>
      </c>
      <c r="E176" s="91">
        <v>-1.1142857142857143</v>
      </c>
      <c r="F176" s="53" t="s">
        <v>480</v>
      </c>
      <c r="G176" s="53" t="s">
        <v>480</v>
      </c>
      <c r="H176" s="53" t="s">
        <v>480</v>
      </c>
      <c r="I176" s="53" t="s">
        <v>480</v>
      </c>
      <c r="J176" s="53" t="s">
        <v>480</v>
      </c>
      <c r="K176" s="53" t="s">
        <v>480</v>
      </c>
      <c r="L176" s="53" t="s">
        <v>480</v>
      </c>
      <c r="M176" s="53" t="s">
        <v>480</v>
      </c>
      <c r="N176" s="53" t="s">
        <v>480</v>
      </c>
      <c r="O176" s="53">
        <v>-0.25</v>
      </c>
      <c r="P176" s="53">
        <v>0.27941176470588236</v>
      </c>
      <c r="Q176" s="53" t="s">
        <v>480</v>
      </c>
      <c r="R176" s="53" t="s">
        <v>480</v>
      </c>
      <c r="S176" s="53">
        <v>0.41176470588235292</v>
      </c>
      <c r="T176" s="53">
        <v>-1.3602941176470589</v>
      </c>
      <c r="U176" s="53">
        <v>-1.1176470588235294</v>
      </c>
      <c r="V176" s="53">
        <v>-0.83088235294117641</v>
      </c>
      <c r="W176" s="53" t="s">
        <v>480</v>
      </c>
      <c r="X176" s="53" t="s">
        <v>480</v>
      </c>
      <c r="Y176" s="53" t="s">
        <v>480</v>
      </c>
      <c r="Z176" s="53" t="s">
        <v>480</v>
      </c>
      <c r="AA176" s="53" t="s">
        <v>480</v>
      </c>
      <c r="AB176" s="53">
        <v>2.8823529411764706</v>
      </c>
      <c r="AC176" s="53">
        <v>0.88235294117647056</v>
      </c>
      <c r="AD176" s="53" t="s">
        <v>480</v>
      </c>
      <c r="AE176" s="53" t="s">
        <v>480</v>
      </c>
      <c r="AF176" s="53" t="s">
        <v>480</v>
      </c>
      <c r="AG176" s="53">
        <v>-1.1176470588235294</v>
      </c>
      <c r="AH176" s="53" t="s">
        <v>480</v>
      </c>
      <c r="AI176" s="53" t="s">
        <v>480</v>
      </c>
      <c r="AJ176" s="53" t="s">
        <v>480</v>
      </c>
      <c r="AK176" s="53" t="s">
        <v>480</v>
      </c>
      <c r="AL176" s="53" t="s">
        <v>480</v>
      </c>
      <c r="AM176" s="53" t="s">
        <v>480</v>
      </c>
      <c r="AQ176">
        <f t="shared" si="5"/>
        <v>1</v>
      </c>
      <c r="AR176" t="s">
        <v>275</v>
      </c>
    </row>
    <row r="177" spans="1:44" x14ac:dyDescent="0.25">
      <c r="A177" s="1">
        <f>COUNTIF('Value Matchup'!$D$356:$D$423,PASE!B177)</f>
        <v>0</v>
      </c>
      <c r="B177" t="s">
        <v>276</v>
      </c>
      <c r="C177" s="64">
        <f t="shared" si="4"/>
        <v>-1.9117647058823531E-2</v>
      </c>
      <c r="E177" s="91" t="s">
        <v>480</v>
      </c>
      <c r="F177" s="53" t="s">
        <v>480</v>
      </c>
      <c r="G177" s="53" t="s">
        <v>480</v>
      </c>
      <c r="H177" s="53" t="s">
        <v>480</v>
      </c>
      <c r="I177" s="53" t="s">
        <v>480</v>
      </c>
      <c r="J177" s="53" t="s">
        <v>480</v>
      </c>
      <c r="K177" s="53" t="s">
        <v>480</v>
      </c>
      <c r="L177" s="53">
        <v>-7.3529411764705881E-3</v>
      </c>
      <c r="M177" s="53" t="s">
        <v>480</v>
      </c>
      <c r="N177" s="53" t="s">
        <v>480</v>
      </c>
      <c r="O177" s="53" t="s">
        <v>480</v>
      </c>
      <c r="P177" s="53">
        <v>-7.3529411764705881E-3</v>
      </c>
      <c r="Q177" s="53" t="s">
        <v>480</v>
      </c>
      <c r="R177" s="53" t="s">
        <v>480</v>
      </c>
      <c r="S177" s="53" t="s">
        <v>480</v>
      </c>
      <c r="T177" s="53" t="s">
        <v>480</v>
      </c>
      <c r="U177" s="53" t="s">
        <v>480</v>
      </c>
      <c r="V177" s="53" t="s">
        <v>480</v>
      </c>
      <c r="W177" s="53" t="s">
        <v>480</v>
      </c>
      <c r="X177" s="53" t="s">
        <v>480</v>
      </c>
      <c r="Y177" s="53" t="s">
        <v>480</v>
      </c>
      <c r="Z177" s="53" t="s">
        <v>480</v>
      </c>
      <c r="AA177" s="53" t="s">
        <v>480</v>
      </c>
      <c r="AB177" s="53">
        <v>-6.6176470588235295E-2</v>
      </c>
      <c r="AC177" s="53" t="s">
        <v>480</v>
      </c>
      <c r="AD177" s="53" t="s">
        <v>480</v>
      </c>
      <c r="AE177" s="53" t="s">
        <v>480</v>
      </c>
      <c r="AF177" s="53">
        <v>-7.3529411764705881E-3</v>
      </c>
      <c r="AG177" s="53" t="s">
        <v>480</v>
      </c>
      <c r="AH177" s="53" t="s">
        <v>480</v>
      </c>
      <c r="AI177" s="53" t="s">
        <v>480</v>
      </c>
      <c r="AJ177" s="53" t="s">
        <v>480</v>
      </c>
      <c r="AK177" s="53" t="s">
        <v>480</v>
      </c>
      <c r="AL177" s="53">
        <v>-7.3529411764705881E-3</v>
      </c>
      <c r="AM177" s="53" t="s">
        <v>480</v>
      </c>
      <c r="AQ177">
        <f t="shared" si="5"/>
        <v>1</v>
      </c>
      <c r="AR177" t="s">
        <v>276</v>
      </c>
    </row>
    <row r="178" spans="1:44" x14ac:dyDescent="0.25">
      <c r="A178" s="1">
        <f>COUNTIF('Value Matchup'!$D$356:$D$423,PASE!B178)</f>
        <v>1</v>
      </c>
      <c r="B178" t="s">
        <v>277</v>
      </c>
      <c r="C178" s="64">
        <f t="shared" si="4"/>
        <v>-0.34669117647058822</v>
      </c>
      <c r="E178" s="91" t="s">
        <v>480</v>
      </c>
      <c r="F178" s="53">
        <v>-0.72058823529411764</v>
      </c>
      <c r="G178" s="53" t="s">
        <v>480</v>
      </c>
      <c r="H178" s="53" t="s">
        <v>480</v>
      </c>
      <c r="I178" s="53" t="s">
        <v>480</v>
      </c>
      <c r="J178" s="53" t="s">
        <v>480</v>
      </c>
      <c r="K178" s="53">
        <v>-0.58823529411764708</v>
      </c>
      <c r="L178" s="53">
        <v>-2.3602941176470589</v>
      </c>
      <c r="M178" s="53">
        <v>-0.625</v>
      </c>
      <c r="N178" s="53">
        <v>0.38235294117647056</v>
      </c>
      <c r="O178" s="53">
        <v>1.1691176470588236</v>
      </c>
      <c r="P178" s="53" t="s">
        <v>480</v>
      </c>
      <c r="Q178" s="53" t="s">
        <v>480</v>
      </c>
      <c r="R178" s="53" t="s">
        <v>480</v>
      </c>
      <c r="S178" s="53" t="s">
        <v>480</v>
      </c>
      <c r="T178" s="53" t="s">
        <v>480</v>
      </c>
      <c r="U178" s="53">
        <v>-8.0882352941176405E-2</v>
      </c>
      <c r="V178" s="53">
        <v>2.5</v>
      </c>
      <c r="W178" s="53">
        <v>0.41176470588235292</v>
      </c>
      <c r="X178" s="53">
        <v>-0.58823529411764708</v>
      </c>
      <c r="Y178" s="53">
        <v>-0.72058823529411764</v>
      </c>
      <c r="Z178" s="53" t="s">
        <v>480</v>
      </c>
      <c r="AA178" s="53" t="s">
        <v>480</v>
      </c>
      <c r="AB178" s="53" t="s">
        <v>480</v>
      </c>
      <c r="AC178" s="53">
        <v>0.27941176470588236</v>
      </c>
      <c r="AD178" s="53">
        <v>-0.34558823529411775</v>
      </c>
      <c r="AE178" s="53">
        <v>-0.61764705882352944</v>
      </c>
      <c r="AF178" s="53">
        <v>-0.11764705882352944</v>
      </c>
      <c r="AG178" s="53" t="s">
        <v>480</v>
      </c>
      <c r="AH178" s="53">
        <v>-1.8308823529411764</v>
      </c>
      <c r="AI178" s="53">
        <v>0.16911764705882359</v>
      </c>
      <c r="AJ178" s="53">
        <v>-1.0808823529411764</v>
      </c>
      <c r="AK178" s="53">
        <v>-1.5441176470588236</v>
      </c>
      <c r="AL178" s="53">
        <v>-0.625</v>
      </c>
      <c r="AM178" s="53" t="s">
        <v>480</v>
      </c>
      <c r="AQ178">
        <f t="shared" si="5"/>
        <v>1</v>
      </c>
      <c r="AR178" t="s">
        <v>277</v>
      </c>
    </row>
    <row r="179" spans="1:44" x14ac:dyDescent="0.25">
      <c r="A179" s="1">
        <f>COUNTIF('Value Matchup'!$D$356:$D$423,PASE!B179)</f>
        <v>0</v>
      </c>
      <c r="B179" t="s">
        <v>278</v>
      </c>
      <c r="C179" s="64">
        <f t="shared" si="4"/>
        <v>0.12377450980392157</v>
      </c>
      <c r="E179" s="91" t="s">
        <v>480</v>
      </c>
      <c r="F179" s="53" t="s">
        <v>480</v>
      </c>
      <c r="G179" s="53" t="s">
        <v>480</v>
      </c>
      <c r="H179" s="53" t="s">
        <v>480</v>
      </c>
      <c r="I179" s="53" t="s">
        <v>480</v>
      </c>
      <c r="J179" s="53" t="s">
        <v>480</v>
      </c>
      <c r="K179" s="53" t="s">
        <v>480</v>
      </c>
      <c r="L179" s="53" t="s">
        <v>480</v>
      </c>
      <c r="M179" s="53" t="s">
        <v>480</v>
      </c>
      <c r="N179" s="53" t="s">
        <v>480</v>
      </c>
      <c r="O179" s="53" t="s">
        <v>480</v>
      </c>
      <c r="P179" s="53" t="s">
        <v>480</v>
      </c>
      <c r="Q179" s="53" t="s">
        <v>480</v>
      </c>
      <c r="R179" s="53" t="s">
        <v>480</v>
      </c>
      <c r="S179" s="53" t="s">
        <v>480</v>
      </c>
      <c r="T179" s="53" t="s">
        <v>480</v>
      </c>
      <c r="U179" s="53" t="s">
        <v>480</v>
      </c>
      <c r="V179" s="53" t="s">
        <v>480</v>
      </c>
      <c r="W179" s="53" t="s">
        <v>480</v>
      </c>
      <c r="X179" s="53" t="s">
        <v>480</v>
      </c>
      <c r="Y179" s="53">
        <v>1.5</v>
      </c>
      <c r="Z179" s="53" t="s">
        <v>480</v>
      </c>
      <c r="AA179" s="53" t="s">
        <v>480</v>
      </c>
      <c r="AB179" s="53" t="s">
        <v>480</v>
      </c>
      <c r="AC179" s="53" t="s">
        <v>480</v>
      </c>
      <c r="AD179" s="53" t="s">
        <v>480</v>
      </c>
      <c r="AE179" s="53" t="s">
        <v>480</v>
      </c>
      <c r="AF179" s="53">
        <v>-0.5</v>
      </c>
      <c r="AG179" s="53" t="s">
        <v>480</v>
      </c>
      <c r="AH179" s="53">
        <v>-0.58823529411764708</v>
      </c>
      <c r="AI179" s="53">
        <v>-0.16911764705882354</v>
      </c>
      <c r="AJ179" s="53">
        <v>-0.25</v>
      </c>
      <c r="AK179" s="53">
        <v>0.75</v>
      </c>
      <c r="AL179" s="53" t="s">
        <v>480</v>
      </c>
      <c r="AM179" s="53" t="s">
        <v>480</v>
      </c>
      <c r="AQ179">
        <f t="shared" si="5"/>
        <v>1</v>
      </c>
      <c r="AR179" t="s">
        <v>278</v>
      </c>
    </row>
    <row r="180" spans="1:44" x14ac:dyDescent="0.25">
      <c r="A180" s="1">
        <f>COUNTIF('Value Matchup'!$D$356:$D$423,PASE!B180)</f>
        <v>0</v>
      </c>
      <c r="B180" t="s">
        <v>279</v>
      </c>
      <c r="C180" s="64">
        <f t="shared" si="4"/>
        <v>-8.2720588235294115E-2</v>
      </c>
      <c r="E180" s="91" t="s">
        <v>480</v>
      </c>
      <c r="F180" s="53" t="s">
        <v>480</v>
      </c>
      <c r="G180" s="53" t="s">
        <v>480</v>
      </c>
      <c r="H180" s="53" t="s">
        <v>480</v>
      </c>
      <c r="I180" s="53" t="s">
        <v>480</v>
      </c>
      <c r="J180" s="53" t="s">
        <v>480</v>
      </c>
      <c r="K180" s="53" t="s">
        <v>480</v>
      </c>
      <c r="L180" s="53" t="s">
        <v>480</v>
      </c>
      <c r="M180" s="53" t="s">
        <v>480</v>
      </c>
      <c r="N180" s="53" t="s">
        <v>480</v>
      </c>
      <c r="O180" s="53" t="s">
        <v>480</v>
      </c>
      <c r="P180" s="53" t="s">
        <v>480</v>
      </c>
      <c r="Q180" s="53" t="s">
        <v>480</v>
      </c>
      <c r="R180" s="53">
        <v>-7.3529411764705881E-3</v>
      </c>
      <c r="S180" s="53" t="s">
        <v>480</v>
      </c>
      <c r="T180" s="53">
        <v>-6.6176470588235295E-2</v>
      </c>
      <c r="U180" s="53" t="s">
        <v>480</v>
      </c>
      <c r="V180" s="53" t="s">
        <v>480</v>
      </c>
      <c r="W180" s="53">
        <v>-7.3529411764705881E-3</v>
      </c>
      <c r="X180" s="53" t="s">
        <v>480</v>
      </c>
      <c r="Y180" s="53" t="s">
        <v>480</v>
      </c>
      <c r="Z180" s="53" t="s">
        <v>480</v>
      </c>
      <c r="AA180" s="53" t="s">
        <v>480</v>
      </c>
      <c r="AB180" s="53">
        <v>-0.25</v>
      </c>
      <c r="AC180" s="53" t="s">
        <v>480</v>
      </c>
      <c r="AD180" s="53" t="s">
        <v>480</v>
      </c>
      <c r="AE180" s="53" t="s">
        <v>480</v>
      </c>
      <c r="AF180" s="53" t="s">
        <v>480</v>
      </c>
      <c r="AG180" s="53" t="s">
        <v>480</v>
      </c>
      <c r="AH180" s="53" t="s">
        <v>480</v>
      </c>
      <c r="AI180" s="53" t="s">
        <v>480</v>
      </c>
      <c r="AJ180" s="53" t="s">
        <v>480</v>
      </c>
      <c r="AK180" s="53" t="s">
        <v>480</v>
      </c>
      <c r="AL180" s="53" t="s">
        <v>480</v>
      </c>
      <c r="AM180" s="53" t="s">
        <v>480</v>
      </c>
      <c r="AQ180">
        <f t="shared" si="5"/>
        <v>1</v>
      </c>
      <c r="AR180" t="s">
        <v>279</v>
      </c>
    </row>
    <row r="181" spans="1:44" x14ac:dyDescent="0.25">
      <c r="A181" s="1">
        <f>COUNTIF('Value Matchup'!$D$356:$D$423,PASE!B181)</f>
        <v>0</v>
      </c>
      <c r="B181" t="s">
        <v>280</v>
      </c>
      <c r="C181" s="64">
        <f t="shared" si="4"/>
        <v>-5.9988540870893822E-2</v>
      </c>
      <c r="E181" s="91">
        <v>-6.4285714285714279E-2</v>
      </c>
      <c r="F181" s="53">
        <v>-0.16911764705882354</v>
      </c>
      <c r="G181" s="53" t="s">
        <v>480</v>
      </c>
      <c r="H181" s="53" t="s">
        <v>480</v>
      </c>
      <c r="I181" s="53" t="s">
        <v>480</v>
      </c>
      <c r="J181" s="53" t="s">
        <v>480</v>
      </c>
      <c r="K181" s="53">
        <v>-0.25</v>
      </c>
      <c r="L181" s="53">
        <v>-0.25</v>
      </c>
      <c r="M181" s="53" t="s">
        <v>480</v>
      </c>
      <c r="N181" s="53">
        <v>-0.16911764705882354</v>
      </c>
      <c r="O181" s="53" t="s">
        <v>480</v>
      </c>
      <c r="P181" s="53" t="s">
        <v>480</v>
      </c>
      <c r="Q181" s="53" t="s">
        <v>480</v>
      </c>
      <c r="R181" s="53">
        <v>0.5</v>
      </c>
      <c r="S181" s="53">
        <v>-7.3529411764705881E-3</v>
      </c>
      <c r="T181" s="53" t="s">
        <v>480</v>
      </c>
      <c r="U181" s="53" t="s">
        <v>480</v>
      </c>
      <c r="V181" s="53">
        <v>-6.6176470588235295E-2</v>
      </c>
      <c r="W181" s="53" t="s">
        <v>480</v>
      </c>
      <c r="X181" s="53" t="s">
        <v>480</v>
      </c>
      <c r="Y181" s="53" t="s">
        <v>480</v>
      </c>
      <c r="Z181" s="53" t="s">
        <v>480</v>
      </c>
      <c r="AA181" s="53">
        <v>-7.3529411764705881E-3</v>
      </c>
      <c r="AB181" s="53" t="s">
        <v>480</v>
      </c>
      <c r="AC181" s="53" t="s">
        <v>480</v>
      </c>
      <c r="AD181" s="53" t="s">
        <v>480</v>
      </c>
      <c r="AE181" s="53" t="s">
        <v>480</v>
      </c>
      <c r="AF181" s="53">
        <v>-0.16911764705882354</v>
      </c>
      <c r="AG181" s="53">
        <v>-7.3529411764705881E-3</v>
      </c>
      <c r="AH181" s="53" t="s">
        <v>480</v>
      </c>
      <c r="AI181" s="53" t="s">
        <v>480</v>
      </c>
      <c r="AJ181" s="53" t="s">
        <v>480</v>
      </c>
      <c r="AK181" s="53" t="s">
        <v>480</v>
      </c>
      <c r="AL181" s="53" t="s">
        <v>480</v>
      </c>
      <c r="AM181" s="53" t="s">
        <v>480</v>
      </c>
      <c r="AQ181">
        <f t="shared" si="5"/>
        <v>1</v>
      </c>
      <c r="AR181" t="s">
        <v>280</v>
      </c>
    </row>
    <row r="182" spans="1:44" x14ac:dyDescent="0.25">
      <c r="A182" s="1">
        <f>COUNTIF('Value Matchup'!$D$356:$D$423,PASE!B182)</f>
        <v>0</v>
      </c>
      <c r="B182" t="s">
        <v>281</v>
      </c>
      <c r="C182" s="64">
        <f t="shared" si="4"/>
        <v>-0.12867647058823528</v>
      </c>
      <c r="E182" s="91" t="s">
        <v>480</v>
      </c>
      <c r="F182" s="53" t="s">
        <v>480</v>
      </c>
      <c r="G182" s="53" t="s">
        <v>480</v>
      </c>
      <c r="H182" s="53" t="s">
        <v>480</v>
      </c>
      <c r="I182" s="53" t="s">
        <v>480</v>
      </c>
      <c r="J182" s="53" t="s">
        <v>480</v>
      </c>
      <c r="K182" s="53" t="s">
        <v>480</v>
      </c>
      <c r="L182" s="53" t="s">
        <v>480</v>
      </c>
      <c r="M182" s="53" t="s">
        <v>480</v>
      </c>
      <c r="N182" s="53" t="s">
        <v>480</v>
      </c>
      <c r="O182" s="53" t="s">
        <v>480</v>
      </c>
      <c r="P182" s="53" t="s">
        <v>480</v>
      </c>
      <c r="Q182" s="53" t="s">
        <v>480</v>
      </c>
      <c r="R182" s="53" t="s">
        <v>480</v>
      </c>
      <c r="S182" s="53" t="s">
        <v>480</v>
      </c>
      <c r="T182" s="53" t="s">
        <v>480</v>
      </c>
      <c r="U182" s="53" t="s">
        <v>480</v>
      </c>
      <c r="V182" s="53" t="s">
        <v>480</v>
      </c>
      <c r="W182" s="53" t="s">
        <v>480</v>
      </c>
      <c r="X182" s="53" t="s">
        <v>480</v>
      </c>
      <c r="Y182" s="53" t="s">
        <v>480</v>
      </c>
      <c r="Z182" s="53" t="s">
        <v>480</v>
      </c>
      <c r="AA182" s="53" t="s">
        <v>480</v>
      </c>
      <c r="AB182" s="53">
        <v>-0.25</v>
      </c>
      <c r="AC182" s="53" t="s">
        <v>480</v>
      </c>
      <c r="AD182" s="53" t="s">
        <v>480</v>
      </c>
      <c r="AE182" s="53" t="s">
        <v>480</v>
      </c>
      <c r="AF182" s="53" t="s">
        <v>480</v>
      </c>
      <c r="AG182" s="53" t="s">
        <v>480</v>
      </c>
      <c r="AH182" s="53" t="s">
        <v>480</v>
      </c>
      <c r="AI182" s="53" t="s">
        <v>480</v>
      </c>
      <c r="AJ182" s="53" t="s">
        <v>480</v>
      </c>
      <c r="AK182" s="53" t="s">
        <v>480</v>
      </c>
      <c r="AL182" s="53">
        <v>-7.3529411764705881E-3</v>
      </c>
      <c r="AM182" s="53" t="s">
        <v>480</v>
      </c>
      <c r="AQ182">
        <f t="shared" si="5"/>
        <v>1</v>
      </c>
      <c r="AR182" t="s">
        <v>281</v>
      </c>
    </row>
    <row r="183" spans="1:44" x14ac:dyDescent="0.25">
      <c r="A183" s="1">
        <f>COUNTIF('Value Matchup'!$D$356:$D$423,PASE!B183)</f>
        <v>1</v>
      </c>
      <c r="B183" t="s">
        <v>282</v>
      </c>
      <c r="C183" s="64">
        <f t="shared" si="4"/>
        <v>0.37132352941176472</v>
      </c>
      <c r="E183" s="91" t="s">
        <v>480</v>
      </c>
      <c r="F183" s="53" t="s">
        <v>480</v>
      </c>
      <c r="G183" s="53" t="s">
        <v>480</v>
      </c>
      <c r="H183" s="53" t="s">
        <v>480</v>
      </c>
      <c r="I183" s="53" t="s">
        <v>480</v>
      </c>
      <c r="J183" s="53" t="s">
        <v>480</v>
      </c>
      <c r="K183" s="53" t="s">
        <v>480</v>
      </c>
      <c r="L183" s="53" t="s">
        <v>480</v>
      </c>
      <c r="M183" s="53">
        <v>0.75</v>
      </c>
      <c r="N183" s="53" t="s">
        <v>480</v>
      </c>
      <c r="O183" s="53">
        <v>-7.3529411764705881E-3</v>
      </c>
      <c r="P183" s="53" t="s">
        <v>480</v>
      </c>
      <c r="Q183" s="53" t="s">
        <v>480</v>
      </c>
      <c r="R183" s="53" t="s">
        <v>480</v>
      </c>
      <c r="S183" s="53" t="s">
        <v>480</v>
      </c>
      <c r="T183" s="53" t="s">
        <v>480</v>
      </c>
      <c r="U183" s="53" t="s">
        <v>480</v>
      </c>
      <c r="V183" s="53" t="s">
        <v>480</v>
      </c>
      <c r="W183" s="53" t="s">
        <v>480</v>
      </c>
      <c r="X183" s="53" t="s">
        <v>480</v>
      </c>
      <c r="Y183" s="53" t="s">
        <v>480</v>
      </c>
      <c r="Z183" s="53" t="s">
        <v>480</v>
      </c>
      <c r="AA183" s="53" t="s">
        <v>480</v>
      </c>
      <c r="AB183" s="53" t="s">
        <v>480</v>
      </c>
      <c r="AC183" s="53" t="s">
        <v>480</v>
      </c>
      <c r="AD183" s="53" t="s">
        <v>480</v>
      </c>
      <c r="AE183" s="53" t="s">
        <v>480</v>
      </c>
      <c r="AF183" s="53" t="s">
        <v>480</v>
      </c>
      <c r="AG183" s="53" t="s">
        <v>480</v>
      </c>
      <c r="AH183" s="53" t="s">
        <v>480</v>
      </c>
      <c r="AI183" s="53" t="s">
        <v>480</v>
      </c>
      <c r="AJ183" s="53" t="s">
        <v>480</v>
      </c>
      <c r="AK183" s="53" t="s">
        <v>480</v>
      </c>
      <c r="AL183" s="53" t="s">
        <v>480</v>
      </c>
      <c r="AM183" s="53" t="s">
        <v>480</v>
      </c>
      <c r="AQ183">
        <f t="shared" si="5"/>
        <v>1</v>
      </c>
      <c r="AR183" t="s">
        <v>282</v>
      </c>
    </row>
    <row r="184" spans="1:44" x14ac:dyDescent="0.25">
      <c r="A184" s="1">
        <f>COUNTIF('Value Matchup'!$D$356:$D$423,PASE!B184)</f>
        <v>0</v>
      </c>
      <c r="B184" t="s">
        <v>283</v>
      </c>
      <c r="C184" s="64">
        <f t="shared" si="4"/>
        <v>-6.6176470588235295E-2</v>
      </c>
      <c r="E184" s="91" t="s">
        <v>480</v>
      </c>
      <c r="F184" s="53" t="s">
        <v>480</v>
      </c>
      <c r="G184" s="53" t="s">
        <v>480</v>
      </c>
      <c r="H184" s="53" t="s">
        <v>480</v>
      </c>
      <c r="I184" s="53" t="s">
        <v>480</v>
      </c>
      <c r="J184" s="53" t="s">
        <v>480</v>
      </c>
      <c r="K184" s="53" t="s">
        <v>480</v>
      </c>
      <c r="L184" s="53" t="s">
        <v>480</v>
      </c>
      <c r="M184" s="53" t="s">
        <v>480</v>
      </c>
      <c r="N184" s="53">
        <v>-6.6176470588235295E-2</v>
      </c>
      <c r="O184" s="53">
        <v>-6.6176470588235295E-2</v>
      </c>
      <c r="P184" s="53" t="s">
        <v>480</v>
      </c>
      <c r="Q184" s="53" t="s">
        <v>480</v>
      </c>
      <c r="R184" s="53" t="s">
        <v>480</v>
      </c>
      <c r="S184" s="53" t="s">
        <v>480</v>
      </c>
      <c r="T184" s="53" t="s">
        <v>480</v>
      </c>
      <c r="U184" s="53" t="s">
        <v>480</v>
      </c>
      <c r="V184" s="53" t="s">
        <v>480</v>
      </c>
      <c r="W184" s="53" t="s">
        <v>480</v>
      </c>
      <c r="X184" s="53" t="s">
        <v>480</v>
      </c>
      <c r="Y184" s="53" t="s">
        <v>480</v>
      </c>
      <c r="Z184" s="53" t="s">
        <v>480</v>
      </c>
      <c r="AA184" s="53" t="s">
        <v>480</v>
      </c>
      <c r="AB184" s="53" t="s">
        <v>480</v>
      </c>
      <c r="AC184" s="53" t="s">
        <v>480</v>
      </c>
      <c r="AD184" s="53" t="s">
        <v>480</v>
      </c>
      <c r="AE184" s="53" t="s">
        <v>480</v>
      </c>
      <c r="AF184" s="53" t="s">
        <v>480</v>
      </c>
      <c r="AG184" s="53" t="s">
        <v>480</v>
      </c>
      <c r="AH184" s="53" t="s">
        <v>480</v>
      </c>
      <c r="AI184" s="53" t="s">
        <v>480</v>
      </c>
      <c r="AJ184" s="53" t="s">
        <v>480</v>
      </c>
      <c r="AK184" s="53" t="s">
        <v>480</v>
      </c>
      <c r="AL184" s="53" t="s">
        <v>480</v>
      </c>
      <c r="AM184" s="53" t="s">
        <v>480</v>
      </c>
      <c r="AQ184">
        <f t="shared" si="5"/>
        <v>1</v>
      </c>
      <c r="AR184" t="s">
        <v>283</v>
      </c>
    </row>
    <row r="185" spans="1:44" x14ac:dyDescent="0.25">
      <c r="A185" s="1">
        <f>COUNTIF('Value Matchup'!$D$356:$D$423,PASE!B185)</f>
        <v>1</v>
      </c>
      <c r="B185" t="s">
        <v>284</v>
      </c>
      <c r="C185" s="64">
        <f t="shared" si="4"/>
        <v>-7.3529411764705881E-3</v>
      </c>
      <c r="E185" s="91" t="s">
        <v>480</v>
      </c>
      <c r="F185" s="53" t="s">
        <v>480</v>
      </c>
      <c r="G185" s="53">
        <v>-7.3529411764705881E-3</v>
      </c>
      <c r="H185" s="53" t="s">
        <v>480</v>
      </c>
      <c r="I185" s="53" t="s">
        <v>480</v>
      </c>
      <c r="J185" s="53">
        <v>-7.3529411764705881E-3</v>
      </c>
      <c r="K185" s="53" t="s">
        <v>480</v>
      </c>
      <c r="L185" s="53" t="s">
        <v>480</v>
      </c>
      <c r="M185" s="53" t="s">
        <v>480</v>
      </c>
      <c r="N185" s="53" t="s">
        <v>480</v>
      </c>
      <c r="O185" s="53" t="s">
        <v>480</v>
      </c>
      <c r="P185" s="53">
        <v>-7.3529411764705881E-3</v>
      </c>
      <c r="Q185" s="53" t="s">
        <v>480</v>
      </c>
      <c r="R185" s="53" t="s">
        <v>480</v>
      </c>
      <c r="S185" s="53" t="s">
        <v>480</v>
      </c>
      <c r="T185" s="53" t="s">
        <v>480</v>
      </c>
      <c r="U185" s="53" t="s">
        <v>480</v>
      </c>
      <c r="V185" s="53" t="s">
        <v>480</v>
      </c>
      <c r="W185" s="53" t="s">
        <v>480</v>
      </c>
      <c r="X185" s="53" t="s">
        <v>480</v>
      </c>
      <c r="Y185" s="53">
        <v>-7.3529411764705881E-3</v>
      </c>
      <c r="Z185" s="53" t="s">
        <v>480</v>
      </c>
      <c r="AA185" s="53" t="s">
        <v>480</v>
      </c>
      <c r="AB185" s="53" t="s">
        <v>480</v>
      </c>
      <c r="AC185" s="53">
        <v>-7.3529411764705881E-3</v>
      </c>
      <c r="AD185" s="53" t="s">
        <v>480</v>
      </c>
      <c r="AE185" s="53" t="s">
        <v>480</v>
      </c>
      <c r="AF185" s="53" t="s">
        <v>480</v>
      </c>
      <c r="AG185" s="53" t="s">
        <v>480</v>
      </c>
      <c r="AH185" s="53" t="s">
        <v>480</v>
      </c>
      <c r="AI185" s="53" t="s">
        <v>480</v>
      </c>
      <c r="AJ185" s="53" t="s">
        <v>480</v>
      </c>
      <c r="AK185" s="53" t="s">
        <v>480</v>
      </c>
      <c r="AL185" s="53" t="s">
        <v>480</v>
      </c>
      <c r="AM185" s="53" t="s">
        <v>480</v>
      </c>
      <c r="AQ185">
        <f t="shared" si="5"/>
        <v>1</v>
      </c>
      <c r="AR185" t="s">
        <v>284</v>
      </c>
    </row>
    <row r="186" spans="1:44" x14ac:dyDescent="0.25">
      <c r="A186" s="1">
        <f>COUNTIF('Value Matchup'!$D$356:$D$423,PASE!B186)</f>
        <v>0</v>
      </c>
      <c r="B186" t="s">
        <v>285</v>
      </c>
      <c r="C186" s="64">
        <f t="shared" si="4"/>
        <v>-4.9971988795518209E-2</v>
      </c>
      <c r="E186" s="91">
        <v>0.48571428571428577</v>
      </c>
      <c r="F186" s="53">
        <v>-0.5</v>
      </c>
      <c r="G186" s="53" t="s">
        <v>480</v>
      </c>
      <c r="H186" s="53" t="s">
        <v>480</v>
      </c>
      <c r="I186" s="53" t="s">
        <v>480</v>
      </c>
      <c r="J186" s="53" t="s">
        <v>480</v>
      </c>
      <c r="K186" s="53" t="s">
        <v>480</v>
      </c>
      <c r="L186" s="53">
        <v>-8.0882352941176405E-2</v>
      </c>
      <c r="M186" s="53" t="s">
        <v>480</v>
      </c>
      <c r="N186" s="53">
        <v>0.75</v>
      </c>
      <c r="O186" s="53" t="s">
        <v>480</v>
      </c>
      <c r="P186" s="53" t="s">
        <v>480</v>
      </c>
      <c r="Q186" s="53" t="s">
        <v>480</v>
      </c>
      <c r="R186" s="53">
        <v>-0.16911764705882354</v>
      </c>
      <c r="S186" s="53" t="s">
        <v>480</v>
      </c>
      <c r="T186" s="53">
        <v>-0.5</v>
      </c>
      <c r="U186" s="53" t="s">
        <v>480</v>
      </c>
      <c r="V186" s="53">
        <v>-0.16911764705882354</v>
      </c>
      <c r="W186" s="53" t="s">
        <v>480</v>
      </c>
      <c r="X186" s="53" t="s">
        <v>480</v>
      </c>
      <c r="Y186" s="53">
        <v>-0.25</v>
      </c>
      <c r="Z186" s="53">
        <v>-0.58823529411764708</v>
      </c>
      <c r="AA186" s="53">
        <v>-6.6176470588235295E-2</v>
      </c>
      <c r="AB186" s="53" t="s">
        <v>480</v>
      </c>
      <c r="AC186" s="53">
        <v>-6.6176470588235295E-2</v>
      </c>
      <c r="AD186" s="53" t="s">
        <v>480</v>
      </c>
      <c r="AE186" s="53" t="s">
        <v>480</v>
      </c>
      <c r="AF186" s="53">
        <v>-0.16911764705882354</v>
      </c>
      <c r="AG186" s="53">
        <v>-0.25</v>
      </c>
      <c r="AH186" s="53">
        <v>-7.3529411764705881E-3</v>
      </c>
      <c r="AI186" s="53" t="s">
        <v>480</v>
      </c>
      <c r="AJ186" s="53">
        <v>0.83088235294117641</v>
      </c>
      <c r="AK186" s="53" t="s">
        <v>480</v>
      </c>
      <c r="AL186" s="53" t="s">
        <v>480</v>
      </c>
      <c r="AM186" s="53" t="s">
        <v>480</v>
      </c>
      <c r="AQ186">
        <f t="shared" si="5"/>
        <v>1</v>
      </c>
      <c r="AR186" t="s">
        <v>285</v>
      </c>
    </row>
    <row r="187" spans="1:44" x14ac:dyDescent="0.25">
      <c r="A187" s="1">
        <f>COUNTIF('Value Matchup'!$D$356:$D$423,PASE!B187)</f>
        <v>0</v>
      </c>
      <c r="B187" t="s">
        <v>286</v>
      </c>
      <c r="C187" s="64">
        <f t="shared" si="4"/>
        <v>0.33700980392156854</v>
      </c>
      <c r="E187" s="91" t="s">
        <v>480</v>
      </c>
      <c r="F187" s="53" t="s">
        <v>480</v>
      </c>
      <c r="G187" s="53" t="s">
        <v>480</v>
      </c>
      <c r="H187" s="53" t="s">
        <v>480</v>
      </c>
      <c r="I187" s="53" t="s">
        <v>480</v>
      </c>
      <c r="J187" s="53" t="s">
        <v>480</v>
      </c>
      <c r="K187" s="53" t="s">
        <v>480</v>
      </c>
      <c r="L187" s="53" t="s">
        <v>480</v>
      </c>
      <c r="M187" s="53" t="s">
        <v>480</v>
      </c>
      <c r="N187" s="53" t="s">
        <v>480</v>
      </c>
      <c r="O187" s="53" t="s">
        <v>480</v>
      </c>
      <c r="P187" s="53" t="s">
        <v>480</v>
      </c>
      <c r="Q187" s="53" t="s">
        <v>480</v>
      </c>
      <c r="R187" s="53" t="s">
        <v>480</v>
      </c>
      <c r="S187" s="53" t="s">
        <v>480</v>
      </c>
      <c r="T187" s="53" t="s">
        <v>480</v>
      </c>
      <c r="U187" s="53" t="s">
        <v>480</v>
      </c>
      <c r="V187" s="53" t="s">
        <v>480</v>
      </c>
      <c r="W187" s="53" t="s">
        <v>480</v>
      </c>
      <c r="X187" s="53" t="s">
        <v>480</v>
      </c>
      <c r="Y187" s="53" t="s">
        <v>480</v>
      </c>
      <c r="Z187" s="53">
        <v>-7.3529411764705881E-3</v>
      </c>
      <c r="AA187" s="53">
        <v>-6.6176470588235295E-2</v>
      </c>
      <c r="AB187" s="53" t="s">
        <v>480</v>
      </c>
      <c r="AC187" s="53" t="s">
        <v>480</v>
      </c>
      <c r="AD187" s="53">
        <v>-7.3529411764705881E-3</v>
      </c>
      <c r="AE187" s="53" t="s">
        <v>480</v>
      </c>
      <c r="AF187" s="53" t="s">
        <v>480</v>
      </c>
      <c r="AG187" s="53" t="s">
        <v>480</v>
      </c>
      <c r="AH187" s="53" t="s">
        <v>480</v>
      </c>
      <c r="AI187" s="53" t="s">
        <v>480</v>
      </c>
      <c r="AJ187" s="53" t="s">
        <v>480</v>
      </c>
      <c r="AK187" s="53">
        <v>-0.72058823529411764</v>
      </c>
      <c r="AL187" s="53">
        <v>2.0735294117647056</v>
      </c>
      <c r="AM187" s="53">
        <v>0.75</v>
      </c>
      <c r="AQ187">
        <f t="shared" si="5"/>
        <v>1</v>
      </c>
      <c r="AR187" t="s">
        <v>286</v>
      </c>
    </row>
    <row r="188" spans="1:44" x14ac:dyDescent="0.25">
      <c r="A188" s="1">
        <f>COUNTIF('Value Matchup'!$D$356:$D$423,PASE!B188)</f>
        <v>0</v>
      </c>
      <c r="B188" t="s">
        <v>287</v>
      </c>
      <c r="C188" s="64">
        <f t="shared" si="4"/>
        <v>-0.86974789915966377</v>
      </c>
      <c r="E188" s="91" t="s">
        <v>480</v>
      </c>
      <c r="F188" s="53" t="s">
        <v>480</v>
      </c>
      <c r="G188" s="53" t="s">
        <v>480</v>
      </c>
      <c r="H188" s="53" t="s">
        <v>480</v>
      </c>
      <c r="I188" s="53" t="s">
        <v>480</v>
      </c>
      <c r="J188" s="53">
        <v>-0.625</v>
      </c>
      <c r="K188" s="53" t="s">
        <v>480</v>
      </c>
      <c r="L188" s="53" t="s">
        <v>480</v>
      </c>
      <c r="M188" s="53" t="s">
        <v>480</v>
      </c>
      <c r="N188" s="53" t="s">
        <v>480</v>
      </c>
      <c r="O188" s="53" t="s">
        <v>480</v>
      </c>
      <c r="P188" s="53" t="s">
        <v>480</v>
      </c>
      <c r="Q188" s="53" t="s">
        <v>480</v>
      </c>
      <c r="R188" s="53" t="s">
        <v>480</v>
      </c>
      <c r="S188" s="53" t="s">
        <v>480</v>
      </c>
      <c r="T188" s="53" t="s">
        <v>480</v>
      </c>
      <c r="U188" s="53" t="s">
        <v>480</v>
      </c>
      <c r="V188" s="53" t="s">
        <v>480</v>
      </c>
      <c r="W188" s="53" t="s">
        <v>480</v>
      </c>
      <c r="X188" s="53" t="s">
        <v>480</v>
      </c>
      <c r="Y188" s="53" t="s">
        <v>480</v>
      </c>
      <c r="Z188" s="53">
        <v>-0.625</v>
      </c>
      <c r="AA188" s="53" t="s">
        <v>480</v>
      </c>
      <c r="AB188" s="53" t="s">
        <v>480</v>
      </c>
      <c r="AC188" s="53" t="s">
        <v>480</v>
      </c>
      <c r="AD188" s="53">
        <v>-1.0808823529411764</v>
      </c>
      <c r="AE188" s="53">
        <v>-0.61764705882352944</v>
      </c>
      <c r="AF188" s="53">
        <v>-0.72058823529411764</v>
      </c>
      <c r="AG188" s="53">
        <v>-1.8308823529411764</v>
      </c>
      <c r="AH188" s="53" t="s">
        <v>480</v>
      </c>
      <c r="AI188" s="53" t="s">
        <v>480</v>
      </c>
      <c r="AJ188" s="53" t="s">
        <v>480</v>
      </c>
      <c r="AK188" s="53" t="s">
        <v>480</v>
      </c>
      <c r="AL188" s="53">
        <v>-0.58823529411764708</v>
      </c>
      <c r="AM188" s="53" t="s">
        <v>480</v>
      </c>
      <c r="AQ188">
        <f t="shared" si="5"/>
        <v>1</v>
      </c>
      <c r="AR188" t="s">
        <v>287</v>
      </c>
    </row>
    <row r="189" spans="1:44" x14ac:dyDescent="0.25">
      <c r="A189" s="1">
        <f>COUNTIF('Value Matchup'!$D$356:$D$423,PASE!B189)</f>
        <v>0</v>
      </c>
      <c r="B189" t="s">
        <v>288</v>
      </c>
      <c r="C189" s="64">
        <f t="shared" si="4"/>
        <v>0</v>
      </c>
      <c r="E189" s="91" t="s">
        <v>480</v>
      </c>
      <c r="F189" s="53" t="s">
        <v>480</v>
      </c>
      <c r="G189" s="53" t="s">
        <v>480</v>
      </c>
      <c r="H189" s="53" t="s">
        <v>480</v>
      </c>
      <c r="I189" s="53" t="s">
        <v>480</v>
      </c>
      <c r="J189" s="53" t="s">
        <v>480</v>
      </c>
      <c r="K189" s="53" t="s">
        <v>480</v>
      </c>
      <c r="L189" s="53" t="s">
        <v>480</v>
      </c>
      <c r="M189" s="53" t="s">
        <v>480</v>
      </c>
      <c r="N189" s="53" t="s">
        <v>480</v>
      </c>
      <c r="O189" s="53" t="s">
        <v>480</v>
      </c>
      <c r="P189" s="53" t="s">
        <v>480</v>
      </c>
      <c r="Q189" s="53" t="s">
        <v>480</v>
      </c>
      <c r="R189" s="53" t="s">
        <v>480</v>
      </c>
      <c r="S189" s="53" t="s">
        <v>480</v>
      </c>
      <c r="T189" s="53" t="s">
        <v>480</v>
      </c>
      <c r="U189" s="53" t="s">
        <v>480</v>
      </c>
      <c r="V189" s="53" t="s">
        <v>480</v>
      </c>
      <c r="W189" s="53" t="s">
        <v>480</v>
      </c>
      <c r="X189" s="53" t="s">
        <v>480</v>
      </c>
      <c r="Y189" s="53" t="s">
        <v>480</v>
      </c>
      <c r="Z189" s="53" t="s">
        <v>480</v>
      </c>
      <c r="AA189" s="53" t="s">
        <v>480</v>
      </c>
      <c r="AB189" s="53" t="s">
        <v>480</v>
      </c>
      <c r="AC189" s="53" t="s">
        <v>480</v>
      </c>
      <c r="AD189" s="53" t="s">
        <v>480</v>
      </c>
      <c r="AE189" s="53" t="s">
        <v>480</v>
      </c>
      <c r="AF189" s="53" t="s">
        <v>480</v>
      </c>
      <c r="AG189" s="53" t="s">
        <v>480</v>
      </c>
      <c r="AH189" s="53" t="s">
        <v>480</v>
      </c>
      <c r="AI189" s="53" t="s">
        <v>480</v>
      </c>
      <c r="AJ189" s="53" t="s">
        <v>480</v>
      </c>
      <c r="AK189" s="53" t="s">
        <v>480</v>
      </c>
      <c r="AL189" s="53" t="s">
        <v>480</v>
      </c>
      <c r="AM189" s="53" t="s">
        <v>480</v>
      </c>
      <c r="AQ189">
        <f t="shared" si="5"/>
        <v>1</v>
      </c>
      <c r="AR189" t="s">
        <v>288</v>
      </c>
    </row>
    <row r="190" spans="1:44" x14ac:dyDescent="0.25">
      <c r="A190" s="1">
        <f>COUNTIF('Value Matchup'!$D$356:$D$423,PASE!B190)</f>
        <v>0</v>
      </c>
      <c r="B190" t="s">
        <v>289</v>
      </c>
      <c r="C190" s="64">
        <f t="shared" si="4"/>
        <v>3.0908613445378146E-2</v>
      </c>
      <c r="E190" s="91">
        <v>-0.90714285714285714</v>
      </c>
      <c r="F190" s="53">
        <v>1.0735294117647058</v>
      </c>
      <c r="G190" s="53">
        <v>-0.5</v>
      </c>
      <c r="H190" s="53" t="s">
        <v>480</v>
      </c>
      <c r="I190" s="53" t="s">
        <v>480</v>
      </c>
      <c r="J190" s="53" t="s">
        <v>480</v>
      </c>
      <c r="K190" s="53" t="s">
        <v>480</v>
      </c>
      <c r="L190" s="53" t="s">
        <v>480</v>
      </c>
      <c r="M190" s="53" t="s">
        <v>480</v>
      </c>
      <c r="N190" s="53" t="s">
        <v>480</v>
      </c>
      <c r="O190" s="53" t="s">
        <v>480</v>
      </c>
      <c r="P190" s="53" t="s">
        <v>480</v>
      </c>
      <c r="Q190" s="53">
        <v>7.3529411764705843E-2</v>
      </c>
      <c r="R190" s="53">
        <v>-1.1176470588235294</v>
      </c>
      <c r="S190" s="53">
        <v>0.41176470588235292</v>
      </c>
      <c r="T190" s="53">
        <v>1.3823529411764706</v>
      </c>
      <c r="U190" s="53" t="s">
        <v>480</v>
      </c>
      <c r="V190" s="53" t="s">
        <v>480</v>
      </c>
      <c r="W190" s="53" t="s">
        <v>480</v>
      </c>
      <c r="X190" s="53" t="s">
        <v>480</v>
      </c>
      <c r="Y190" s="53" t="s">
        <v>480</v>
      </c>
      <c r="Z190" s="53" t="s">
        <v>480</v>
      </c>
      <c r="AA190" s="53" t="s">
        <v>480</v>
      </c>
      <c r="AB190" s="53" t="s">
        <v>480</v>
      </c>
      <c r="AC190" s="53" t="s">
        <v>480</v>
      </c>
      <c r="AD190" s="53" t="s">
        <v>480</v>
      </c>
      <c r="AE190" s="53" t="s">
        <v>480</v>
      </c>
      <c r="AF190" s="53" t="s">
        <v>480</v>
      </c>
      <c r="AG190" s="53" t="s">
        <v>480</v>
      </c>
      <c r="AH190" s="53" t="s">
        <v>480</v>
      </c>
      <c r="AI190" s="53" t="s">
        <v>480</v>
      </c>
      <c r="AJ190" s="53" t="s">
        <v>480</v>
      </c>
      <c r="AK190" s="53" t="s">
        <v>480</v>
      </c>
      <c r="AL190" s="53" t="s">
        <v>480</v>
      </c>
      <c r="AM190" s="53">
        <v>-0.16911764705882354</v>
      </c>
      <c r="AQ190">
        <f t="shared" si="5"/>
        <v>1</v>
      </c>
      <c r="AR190" t="s">
        <v>289</v>
      </c>
    </row>
    <row r="191" spans="1:44" x14ac:dyDescent="0.25">
      <c r="A191" s="1">
        <f>COUNTIF('Value Matchup'!$D$356:$D$423,PASE!B191)</f>
        <v>0</v>
      </c>
      <c r="B191" t="s">
        <v>290</v>
      </c>
      <c r="C191" s="64">
        <f t="shared" si="4"/>
        <v>0</v>
      </c>
      <c r="E191" s="91" t="s">
        <v>480</v>
      </c>
      <c r="F191" s="53" t="s">
        <v>480</v>
      </c>
      <c r="G191" s="53" t="s">
        <v>480</v>
      </c>
      <c r="H191" s="53" t="s">
        <v>480</v>
      </c>
      <c r="I191" s="53" t="s">
        <v>480</v>
      </c>
      <c r="J191" s="53" t="s">
        <v>480</v>
      </c>
      <c r="K191" s="53" t="s">
        <v>480</v>
      </c>
      <c r="L191" s="53" t="s">
        <v>480</v>
      </c>
      <c r="M191" s="53" t="s">
        <v>480</v>
      </c>
      <c r="N191" s="53" t="s">
        <v>480</v>
      </c>
      <c r="O191" s="53" t="s">
        <v>480</v>
      </c>
      <c r="P191" s="53" t="s">
        <v>480</v>
      </c>
      <c r="Q191" s="53" t="s">
        <v>480</v>
      </c>
      <c r="R191" s="53" t="s">
        <v>480</v>
      </c>
      <c r="S191" s="53" t="s">
        <v>480</v>
      </c>
      <c r="T191" s="53" t="s">
        <v>480</v>
      </c>
      <c r="U191" s="53" t="s">
        <v>480</v>
      </c>
      <c r="V191" s="53" t="s">
        <v>480</v>
      </c>
      <c r="W191" s="53" t="s">
        <v>480</v>
      </c>
      <c r="X191" s="53" t="s">
        <v>480</v>
      </c>
      <c r="Y191" s="53" t="s">
        <v>480</v>
      </c>
      <c r="Z191" s="53" t="s">
        <v>480</v>
      </c>
      <c r="AA191" s="53" t="s">
        <v>480</v>
      </c>
      <c r="AB191" s="53" t="s">
        <v>480</v>
      </c>
      <c r="AC191" s="53" t="s">
        <v>480</v>
      </c>
      <c r="AD191" s="53" t="s">
        <v>480</v>
      </c>
      <c r="AE191" s="53" t="s">
        <v>480</v>
      </c>
      <c r="AF191" s="53" t="s">
        <v>480</v>
      </c>
      <c r="AG191" s="53" t="s">
        <v>480</v>
      </c>
      <c r="AH191" s="53" t="s">
        <v>480</v>
      </c>
      <c r="AI191" s="53" t="s">
        <v>480</v>
      </c>
      <c r="AJ191" s="53" t="s">
        <v>480</v>
      </c>
      <c r="AK191" s="53" t="s">
        <v>480</v>
      </c>
      <c r="AL191" s="53" t="s">
        <v>480</v>
      </c>
      <c r="AM191" s="53" t="s">
        <v>480</v>
      </c>
      <c r="AQ191">
        <f t="shared" si="5"/>
        <v>1</v>
      </c>
      <c r="AR191" t="s">
        <v>290</v>
      </c>
    </row>
    <row r="192" spans="1:44" x14ac:dyDescent="0.25">
      <c r="A192" s="1">
        <f>COUNTIF('Value Matchup'!$D$356:$D$423,PASE!B192)</f>
        <v>0</v>
      </c>
      <c r="B192" t="s">
        <v>291</v>
      </c>
      <c r="C192" s="64">
        <f t="shared" si="4"/>
        <v>-0.58333333333333337</v>
      </c>
      <c r="E192" s="91" t="s">
        <v>480</v>
      </c>
      <c r="F192" s="53" t="s">
        <v>480</v>
      </c>
      <c r="G192" s="53" t="s">
        <v>480</v>
      </c>
      <c r="H192" s="53" t="s">
        <v>480</v>
      </c>
      <c r="I192" s="53" t="s">
        <v>480</v>
      </c>
      <c r="J192" s="53">
        <v>-0.92647058823529416</v>
      </c>
      <c r="K192" s="53">
        <v>-1.8308823529411764</v>
      </c>
      <c r="L192" s="53">
        <v>-0.11764705882352944</v>
      </c>
      <c r="M192" s="53" t="s">
        <v>480</v>
      </c>
      <c r="N192" s="53">
        <v>-0.83088235294117641</v>
      </c>
      <c r="O192" s="53" t="s">
        <v>480</v>
      </c>
      <c r="P192" s="53" t="s">
        <v>480</v>
      </c>
      <c r="Q192" s="53" t="s">
        <v>480</v>
      </c>
      <c r="R192" s="53" t="s">
        <v>480</v>
      </c>
      <c r="S192" s="53">
        <v>-0.5</v>
      </c>
      <c r="T192" s="53" t="s">
        <v>480</v>
      </c>
      <c r="U192" s="53" t="s">
        <v>480</v>
      </c>
      <c r="V192" s="53" t="s">
        <v>480</v>
      </c>
      <c r="W192" s="53" t="s">
        <v>480</v>
      </c>
      <c r="X192" s="53" t="s">
        <v>480</v>
      </c>
      <c r="Y192" s="53">
        <v>0.41176470588235292</v>
      </c>
      <c r="Z192" s="53">
        <v>-0.54411764705882359</v>
      </c>
      <c r="AA192" s="53">
        <v>-0.83088235294117641</v>
      </c>
      <c r="AB192" s="53">
        <v>7.3529411764705843E-2</v>
      </c>
      <c r="AC192" s="53" t="s">
        <v>480</v>
      </c>
      <c r="AD192" s="53">
        <v>-0.61764705882352944</v>
      </c>
      <c r="AE192" s="53">
        <v>-1.1176470588235294</v>
      </c>
      <c r="AF192" s="53" t="s">
        <v>480</v>
      </c>
      <c r="AG192" s="53">
        <v>-0.16911764705882354</v>
      </c>
      <c r="AH192" s="53" t="s">
        <v>480</v>
      </c>
      <c r="AI192" s="53" t="s">
        <v>480</v>
      </c>
      <c r="AJ192" s="53" t="s">
        <v>480</v>
      </c>
      <c r="AK192" s="53" t="s">
        <v>480</v>
      </c>
      <c r="AL192" s="53" t="s">
        <v>480</v>
      </c>
      <c r="AM192" s="53" t="s">
        <v>480</v>
      </c>
      <c r="AQ192">
        <f t="shared" si="5"/>
        <v>1</v>
      </c>
      <c r="AR192" t="s">
        <v>291</v>
      </c>
    </row>
    <row r="193" spans="1:44" x14ac:dyDescent="0.25">
      <c r="A193" s="1">
        <f>COUNTIF('Value Matchup'!$D$356:$D$423,PASE!B193)</f>
        <v>0</v>
      </c>
      <c r="B193" t="s">
        <v>292</v>
      </c>
      <c r="C193" s="64">
        <f t="shared" si="4"/>
        <v>-0.25046218487394961</v>
      </c>
      <c r="E193" s="91">
        <v>-0.51428571428571423</v>
      </c>
      <c r="F193" s="53">
        <v>-0.5</v>
      </c>
      <c r="G193" s="53">
        <v>-0.16911764705882354</v>
      </c>
      <c r="H193" s="53" t="s">
        <v>480</v>
      </c>
      <c r="I193" s="53">
        <v>-6.6176470588235295E-2</v>
      </c>
      <c r="J193" s="53">
        <v>-0.25</v>
      </c>
      <c r="K193" s="53">
        <v>-0.25</v>
      </c>
      <c r="L193" s="53">
        <v>-0.25</v>
      </c>
      <c r="M193" s="53" t="s">
        <v>480</v>
      </c>
      <c r="N193" s="53">
        <v>-0.5</v>
      </c>
      <c r="O193" s="53" t="s">
        <v>480</v>
      </c>
      <c r="P193" s="53" t="s">
        <v>480</v>
      </c>
      <c r="Q193" s="53">
        <v>-0.25</v>
      </c>
      <c r="R193" s="53" t="s">
        <v>480</v>
      </c>
      <c r="S193" s="53" t="s">
        <v>480</v>
      </c>
      <c r="T193" s="53" t="s">
        <v>480</v>
      </c>
      <c r="U193" s="53" t="s">
        <v>480</v>
      </c>
      <c r="V193" s="53" t="s">
        <v>480</v>
      </c>
      <c r="W193" s="53" t="s">
        <v>480</v>
      </c>
      <c r="X193" s="53" t="s">
        <v>480</v>
      </c>
      <c r="Y193" s="53">
        <v>-0.16911764705882354</v>
      </c>
      <c r="Z193" s="53" t="s">
        <v>480</v>
      </c>
      <c r="AA193" s="53" t="s">
        <v>480</v>
      </c>
      <c r="AB193" s="53" t="s">
        <v>480</v>
      </c>
      <c r="AC193" s="53" t="s">
        <v>480</v>
      </c>
      <c r="AD193" s="53">
        <v>-0.25</v>
      </c>
      <c r="AE193" s="53">
        <v>7.3529411764705843E-2</v>
      </c>
      <c r="AF193" s="53">
        <v>1.5</v>
      </c>
      <c r="AG193" s="53">
        <v>-1.0808823529411764</v>
      </c>
      <c r="AH193" s="53">
        <v>-1.0808823529411764</v>
      </c>
      <c r="AI193" s="53" t="s">
        <v>480</v>
      </c>
      <c r="AJ193" s="53" t="s">
        <v>480</v>
      </c>
      <c r="AK193" s="53" t="s">
        <v>480</v>
      </c>
      <c r="AL193" s="53" t="s">
        <v>480</v>
      </c>
      <c r="AM193" s="53" t="s">
        <v>480</v>
      </c>
      <c r="AQ193">
        <f t="shared" si="5"/>
        <v>1</v>
      </c>
      <c r="AR193" t="s">
        <v>292</v>
      </c>
    </row>
    <row r="194" spans="1:44" x14ac:dyDescent="0.25">
      <c r="A194" s="1">
        <f>COUNTIF('Value Matchup'!$D$356:$D$423,PASE!B194)</f>
        <v>0</v>
      </c>
      <c r="B194" t="s">
        <v>293</v>
      </c>
      <c r="C194" s="64">
        <f t="shared" si="4"/>
        <v>-0.2897058823529412</v>
      </c>
      <c r="E194" s="91" t="s">
        <v>480</v>
      </c>
      <c r="F194" s="53" t="s">
        <v>480</v>
      </c>
      <c r="G194" s="53">
        <v>-7.3529411764705881E-3</v>
      </c>
      <c r="H194" s="53" t="s">
        <v>480</v>
      </c>
      <c r="I194" s="53" t="s">
        <v>480</v>
      </c>
      <c r="J194" s="53" t="s">
        <v>480</v>
      </c>
      <c r="K194" s="53" t="s">
        <v>480</v>
      </c>
      <c r="L194" s="53" t="s">
        <v>480</v>
      </c>
      <c r="M194" s="53" t="s">
        <v>480</v>
      </c>
      <c r="N194" s="53" t="s">
        <v>480</v>
      </c>
      <c r="O194" s="53" t="s">
        <v>480</v>
      </c>
      <c r="P194" s="53" t="s">
        <v>480</v>
      </c>
      <c r="Q194" s="53" t="s">
        <v>480</v>
      </c>
      <c r="R194" s="53" t="s">
        <v>480</v>
      </c>
      <c r="S194" s="53" t="s">
        <v>480</v>
      </c>
      <c r="T194" s="53" t="s">
        <v>480</v>
      </c>
      <c r="U194" s="53" t="s">
        <v>480</v>
      </c>
      <c r="V194" s="53" t="s">
        <v>480</v>
      </c>
      <c r="W194" s="53" t="s">
        <v>480</v>
      </c>
      <c r="X194" s="53" t="s">
        <v>480</v>
      </c>
      <c r="Y194" s="53" t="s">
        <v>480</v>
      </c>
      <c r="Z194" s="53" t="s">
        <v>480</v>
      </c>
      <c r="AA194" s="53" t="s">
        <v>480</v>
      </c>
      <c r="AB194" s="53">
        <v>-0.625</v>
      </c>
      <c r="AC194" s="53" t="s">
        <v>480</v>
      </c>
      <c r="AD194" s="53" t="s">
        <v>480</v>
      </c>
      <c r="AE194" s="53">
        <v>-0.72058823529411764</v>
      </c>
      <c r="AF194" s="53" t="s">
        <v>480</v>
      </c>
      <c r="AG194" s="53">
        <v>-0.16911764705882354</v>
      </c>
      <c r="AH194" s="53" t="s">
        <v>480</v>
      </c>
      <c r="AI194" s="53" t="s">
        <v>480</v>
      </c>
      <c r="AJ194" s="53" t="s">
        <v>480</v>
      </c>
      <c r="AK194" s="53">
        <v>7.3529411764705843E-2</v>
      </c>
      <c r="AL194" s="53" t="s">
        <v>480</v>
      </c>
      <c r="AM194" s="53" t="s">
        <v>480</v>
      </c>
      <c r="AQ194">
        <f t="shared" si="5"/>
        <v>1</v>
      </c>
      <c r="AR194" t="s">
        <v>293</v>
      </c>
    </row>
    <row r="195" spans="1:44" x14ac:dyDescent="0.25">
      <c r="A195" s="1">
        <f>COUNTIF('Value Matchup'!$D$356:$D$423,PASE!B195)</f>
        <v>0</v>
      </c>
      <c r="B195" t="s">
        <v>294</v>
      </c>
      <c r="C195" s="64">
        <f t="shared" si="4"/>
        <v>-8.8235294117647065E-2</v>
      </c>
      <c r="E195" s="91" t="s">
        <v>480</v>
      </c>
      <c r="F195" s="53" t="s">
        <v>480</v>
      </c>
      <c r="G195" s="53" t="s">
        <v>480</v>
      </c>
      <c r="H195" s="53" t="s">
        <v>480</v>
      </c>
      <c r="I195" s="53" t="s">
        <v>480</v>
      </c>
      <c r="J195" s="53" t="s">
        <v>480</v>
      </c>
      <c r="K195" s="53" t="s">
        <v>480</v>
      </c>
      <c r="L195" s="53" t="s">
        <v>480</v>
      </c>
      <c r="M195" s="53" t="s">
        <v>480</v>
      </c>
      <c r="N195" s="53" t="s">
        <v>480</v>
      </c>
      <c r="O195" s="53" t="s">
        <v>480</v>
      </c>
      <c r="P195" s="53" t="s">
        <v>480</v>
      </c>
      <c r="Q195" s="53">
        <v>-7.3529411764705881E-3</v>
      </c>
      <c r="R195" s="53" t="s">
        <v>480</v>
      </c>
      <c r="S195" s="53">
        <v>-0.16911764705882354</v>
      </c>
      <c r="T195" s="53" t="s">
        <v>480</v>
      </c>
      <c r="U195" s="53" t="s">
        <v>480</v>
      </c>
      <c r="V195" s="53" t="s">
        <v>480</v>
      </c>
      <c r="W195" s="53" t="s">
        <v>480</v>
      </c>
      <c r="X195" s="53" t="s">
        <v>480</v>
      </c>
      <c r="Y195" s="53" t="s">
        <v>480</v>
      </c>
      <c r="Z195" s="53" t="s">
        <v>480</v>
      </c>
      <c r="AA195" s="53" t="s">
        <v>480</v>
      </c>
      <c r="AB195" s="53" t="s">
        <v>480</v>
      </c>
      <c r="AC195" s="53" t="s">
        <v>480</v>
      </c>
      <c r="AD195" s="53" t="s">
        <v>480</v>
      </c>
      <c r="AE195" s="53" t="s">
        <v>480</v>
      </c>
      <c r="AF195" s="53" t="s">
        <v>480</v>
      </c>
      <c r="AG195" s="53" t="s">
        <v>480</v>
      </c>
      <c r="AH195" s="53" t="s">
        <v>480</v>
      </c>
      <c r="AI195" s="53" t="s">
        <v>480</v>
      </c>
      <c r="AJ195" s="53" t="s">
        <v>480</v>
      </c>
      <c r="AK195" s="53" t="s">
        <v>480</v>
      </c>
      <c r="AL195" s="53" t="s">
        <v>480</v>
      </c>
      <c r="AM195" s="53" t="s">
        <v>480</v>
      </c>
      <c r="AQ195">
        <f t="shared" si="5"/>
        <v>1</v>
      </c>
      <c r="AR195" t="s">
        <v>294</v>
      </c>
    </row>
    <row r="196" spans="1:44" x14ac:dyDescent="0.25">
      <c r="A196" s="1">
        <f>COUNTIF('Value Matchup'!$D$356:$D$423,PASE!B196)</f>
        <v>0</v>
      </c>
      <c r="B196" t="s">
        <v>295</v>
      </c>
      <c r="C196" s="64">
        <f t="shared" ref="C196:C259" si="6">IFERROR(AVERAGE(E196:AM196),0)</f>
        <v>-0.12867647058823528</v>
      </c>
      <c r="E196" s="91" t="s">
        <v>480</v>
      </c>
      <c r="F196" s="53" t="s">
        <v>480</v>
      </c>
      <c r="G196" s="53" t="s">
        <v>480</v>
      </c>
      <c r="H196" s="53" t="s">
        <v>480</v>
      </c>
      <c r="I196" s="53" t="s">
        <v>480</v>
      </c>
      <c r="J196" s="53" t="s">
        <v>480</v>
      </c>
      <c r="K196" s="53" t="s">
        <v>480</v>
      </c>
      <c r="L196" s="53" t="s">
        <v>480</v>
      </c>
      <c r="M196" s="53" t="s">
        <v>480</v>
      </c>
      <c r="N196" s="53" t="s">
        <v>480</v>
      </c>
      <c r="O196" s="53" t="s">
        <v>480</v>
      </c>
      <c r="P196" s="53" t="s">
        <v>480</v>
      </c>
      <c r="Q196" s="53" t="s">
        <v>480</v>
      </c>
      <c r="R196" s="53" t="s">
        <v>480</v>
      </c>
      <c r="S196" s="53" t="s">
        <v>480</v>
      </c>
      <c r="T196" s="53" t="s">
        <v>480</v>
      </c>
      <c r="U196" s="53" t="s">
        <v>480</v>
      </c>
      <c r="V196" s="53" t="s">
        <v>480</v>
      </c>
      <c r="W196" s="53" t="s">
        <v>480</v>
      </c>
      <c r="X196" s="53" t="s">
        <v>480</v>
      </c>
      <c r="Y196" s="53" t="s">
        <v>480</v>
      </c>
      <c r="Z196" s="53">
        <v>-7.3529411764705881E-3</v>
      </c>
      <c r="AA196" s="53" t="s">
        <v>480</v>
      </c>
      <c r="AB196" s="53" t="s">
        <v>480</v>
      </c>
      <c r="AC196" s="53">
        <v>-0.25</v>
      </c>
      <c r="AD196" s="53" t="s">
        <v>480</v>
      </c>
      <c r="AE196" s="53" t="s">
        <v>480</v>
      </c>
      <c r="AF196" s="53" t="s">
        <v>480</v>
      </c>
      <c r="AG196" s="53" t="s">
        <v>480</v>
      </c>
      <c r="AH196" s="53" t="s">
        <v>480</v>
      </c>
      <c r="AI196" s="53" t="s">
        <v>480</v>
      </c>
      <c r="AJ196" s="53" t="s">
        <v>480</v>
      </c>
      <c r="AK196" s="53" t="s">
        <v>480</v>
      </c>
      <c r="AL196" s="53" t="s">
        <v>480</v>
      </c>
      <c r="AM196" s="53" t="s">
        <v>480</v>
      </c>
      <c r="AQ196">
        <f t="shared" ref="AQ196:AQ259" si="7">COUNTIF(B:B,AR196)</f>
        <v>1</v>
      </c>
      <c r="AR196" t="s">
        <v>295</v>
      </c>
    </row>
    <row r="197" spans="1:44" x14ac:dyDescent="0.25">
      <c r="A197" s="1">
        <f>COUNTIF('Value Matchup'!$D$356:$D$423,PASE!B197)</f>
        <v>0</v>
      </c>
      <c r="B197" t="s">
        <v>296</v>
      </c>
      <c r="C197" s="64">
        <f t="shared" si="6"/>
        <v>0</v>
      </c>
      <c r="E197" s="91" t="s">
        <v>480</v>
      </c>
      <c r="F197" s="53" t="s">
        <v>480</v>
      </c>
      <c r="G197" s="53" t="s">
        <v>480</v>
      </c>
      <c r="H197" s="53" t="s">
        <v>480</v>
      </c>
      <c r="I197" s="53" t="s">
        <v>480</v>
      </c>
      <c r="J197" s="53" t="s">
        <v>480</v>
      </c>
      <c r="K197" s="53" t="s">
        <v>480</v>
      </c>
      <c r="L197" s="53" t="s">
        <v>480</v>
      </c>
      <c r="M197" s="53" t="s">
        <v>480</v>
      </c>
      <c r="N197" s="53" t="s">
        <v>480</v>
      </c>
      <c r="O197" s="53" t="s">
        <v>480</v>
      </c>
      <c r="P197" s="53" t="s">
        <v>480</v>
      </c>
      <c r="Q197" s="53" t="s">
        <v>480</v>
      </c>
      <c r="R197" s="53" t="s">
        <v>480</v>
      </c>
      <c r="S197" s="53" t="s">
        <v>480</v>
      </c>
      <c r="T197" s="53" t="s">
        <v>480</v>
      </c>
      <c r="U197" s="53" t="s">
        <v>480</v>
      </c>
      <c r="V197" s="53" t="s">
        <v>480</v>
      </c>
      <c r="W197" s="53" t="s">
        <v>480</v>
      </c>
      <c r="X197" s="53" t="s">
        <v>480</v>
      </c>
      <c r="Y197" s="53" t="s">
        <v>480</v>
      </c>
      <c r="Z197" s="53" t="s">
        <v>480</v>
      </c>
      <c r="AA197" s="53" t="s">
        <v>480</v>
      </c>
      <c r="AB197" s="53" t="s">
        <v>480</v>
      </c>
      <c r="AC197" s="53" t="s">
        <v>480</v>
      </c>
      <c r="AD197" s="53" t="s">
        <v>480</v>
      </c>
      <c r="AE197" s="53" t="s">
        <v>480</v>
      </c>
      <c r="AF197" s="53" t="s">
        <v>480</v>
      </c>
      <c r="AG197" s="53" t="s">
        <v>480</v>
      </c>
      <c r="AH197" s="53" t="s">
        <v>480</v>
      </c>
      <c r="AI197" s="53" t="s">
        <v>480</v>
      </c>
      <c r="AJ197" s="53" t="s">
        <v>480</v>
      </c>
      <c r="AK197" s="53" t="s">
        <v>480</v>
      </c>
      <c r="AL197" s="53" t="s">
        <v>480</v>
      </c>
      <c r="AM197" s="53" t="s">
        <v>480</v>
      </c>
      <c r="AQ197">
        <f t="shared" si="7"/>
        <v>1</v>
      </c>
      <c r="AR197" t="s">
        <v>296</v>
      </c>
    </row>
    <row r="198" spans="1:44" x14ac:dyDescent="0.25">
      <c r="A198" s="1">
        <f>COUNTIF('Value Matchup'!$D$356:$D$423,PASE!B198)</f>
        <v>1</v>
      </c>
      <c r="B198" t="s">
        <v>297</v>
      </c>
      <c r="C198" s="64">
        <f t="shared" si="6"/>
        <v>0.93382352941176472</v>
      </c>
      <c r="E198" s="91" t="s">
        <v>480</v>
      </c>
      <c r="F198" s="53" t="s">
        <v>480</v>
      </c>
      <c r="G198" s="53" t="s">
        <v>480</v>
      </c>
      <c r="H198" s="53" t="s">
        <v>480</v>
      </c>
      <c r="I198" s="53" t="s">
        <v>480</v>
      </c>
      <c r="J198" s="53" t="s">
        <v>480</v>
      </c>
      <c r="K198" s="53" t="s">
        <v>480</v>
      </c>
      <c r="L198" s="53">
        <v>0.93382352941176472</v>
      </c>
      <c r="M198" s="53" t="s">
        <v>480</v>
      </c>
      <c r="N198" s="53" t="s">
        <v>480</v>
      </c>
      <c r="O198" s="53" t="s">
        <v>480</v>
      </c>
      <c r="P198" s="53" t="s">
        <v>480</v>
      </c>
      <c r="Q198" s="53" t="s">
        <v>480</v>
      </c>
      <c r="R198" s="53" t="s">
        <v>480</v>
      </c>
      <c r="S198" s="53" t="s">
        <v>480</v>
      </c>
      <c r="T198" s="53" t="s">
        <v>480</v>
      </c>
      <c r="U198" s="53" t="s">
        <v>480</v>
      </c>
      <c r="V198" s="53" t="s">
        <v>480</v>
      </c>
      <c r="W198" s="53" t="s">
        <v>480</v>
      </c>
      <c r="X198" s="53" t="s">
        <v>480</v>
      </c>
      <c r="Y198" s="53" t="s">
        <v>480</v>
      </c>
      <c r="Z198" s="53" t="s">
        <v>480</v>
      </c>
      <c r="AA198" s="53" t="s">
        <v>480</v>
      </c>
      <c r="AB198" s="53" t="s">
        <v>480</v>
      </c>
      <c r="AC198" s="53" t="s">
        <v>480</v>
      </c>
      <c r="AD198" s="53" t="s">
        <v>480</v>
      </c>
      <c r="AE198" s="53" t="s">
        <v>480</v>
      </c>
      <c r="AF198" s="53" t="s">
        <v>480</v>
      </c>
      <c r="AG198" s="53" t="s">
        <v>480</v>
      </c>
      <c r="AH198" s="53" t="s">
        <v>480</v>
      </c>
      <c r="AI198" s="53" t="s">
        <v>480</v>
      </c>
      <c r="AJ198" s="53" t="s">
        <v>480</v>
      </c>
      <c r="AK198" s="53" t="s">
        <v>480</v>
      </c>
      <c r="AL198" s="53" t="s">
        <v>480</v>
      </c>
      <c r="AM198" s="53" t="s">
        <v>480</v>
      </c>
      <c r="AQ198">
        <f t="shared" si="7"/>
        <v>1</v>
      </c>
      <c r="AR198" t="s">
        <v>297</v>
      </c>
    </row>
    <row r="199" spans="1:44" x14ac:dyDescent="0.25">
      <c r="A199" s="1">
        <f>COUNTIF('Value Matchup'!$D$356:$D$423,PASE!B199)</f>
        <v>0</v>
      </c>
      <c r="B199" t="s">
        <v>490</v>
      </c>
      <c r="C199" s="64">
        <f t="shared" si="6"/>
        <v>0</v>
      </c>
      <c r="E199" s="91" t="s">
        <v>480</v>
      </c>
      <c r="F199" s="53" t="s">
        <v>480</v>
      </c>
      <c r="G199" s="53" t="s">
        <v>480</v>
      </c>
      <c r="H199" s="53" t="s">
        <v>480</v>
      </c>
      <c r="I199" s="53" t="s">
        <v>480</v>
      </c>
      <c r="J199" s="53" t="s">
        <v>480</v>
      </c>
      <c r="K199" s="53" t="s">
        <v>480</v>
      </c>
      <c r="L199" s="53" t="s">
        <v>480</v>
      </c>
      <c r="M199" s="53" t="s">
        <v>480</v>
      </c>
      <c r="N199" s="53" t="s">
        <v>480</v>
      </c>
      <c r="O199" s="53" t="s">
        <v>480</v>
      </c>
      <c r="P199" s="53" t="s">
        <v>480</v>
      </c>
      <c r="Q199" s="53" t="s">
        <v>480</v>
      </c>
      <c r="R199" s="53" t="s">
        <v>480</v>
      </c>
      <c r="S199" s="53" t="s">
        <v>480</v>
      </c>
      <c r="T199" s="53" t="s">
        <v>480</v>
      </c>
      <c r="U199" s="53" t="s">
        <v>480</v>
      </c>
      <c r="V199" s="53" t="s">
        <v>480</v>
      </c>
      <c r="W199" s="53" t="s">
        <v>480</v>
      </c>
      <c r="X199" s="53" t="s">
        <v>480</v>
      </c>
      <c r="Y199" s="53" t="s">
        <v>480</v>
      </c>
      <c r="Z199" s="53" t="s">
        <v>480</v>
      </c>
      <c r="AA199" s="53" t="s">
        <v>480</v>
      </c>
      <c r="AB199" s="53" t="s">
        <v>480</v>
      </c>
      <c r="AC199" s="53" t="s">
        <v>480</v>
      </c>
      <c r="AD199" s="53" t="s">
        <v>480</v>
      </c>
      <c r="AE199" s="53" t="s">
        <v>480</v>
      </c>
      <c r="AF199" s="53" t="s">
        <v>480</v>
      </c>
      <c r="AG199" s="53" t="s">
        <v>480</v>
      </c>
      <c r="AH199" s="53" t="s">
        <v>480</v>
      </c>
      <c r="AI199" s="53" t="s">
        <v>480</v>
      </c>
      <c r="AJ199" s="53" t="s">
        <v>480</v>
      </c>
      <c r="AK199" s="53" t="s">
        <v>480</v>
      </c>
      <c r="AL199" s="53" t="s">
        <v>480</v>
      </c>
      <c r="AM199" s="53" t="s">
        <v>480</v>
      </c>
      <c r="AQ199">
        <f t="shared" si="7"/>
        <v>1</v>
      </c>
      <c r="AR199" t="s">
        <v>490</v>
      </c>
    </row>
    <row r="200" spans="1:44" x14ac:dyDescent="0.25">
      <c r="A200" s="1">
        <f>COUNTIF('Value Matchup'!$D$356:$D$423,PASE!B200)</f>
        <v>1</v>
      </c>
      <c r="B200" t="s">
        <v>298</v>
      </c>
      <c r="C200" s="64">
        <f t="shared" si="6"/>
        <v>0.10829831932773103</v>
      </c>
      <c r="E200" s="91">
        <v>-1.35</v>
      </c>
      <c r="F200" s="53">
        <v>-1.3602941176470589</v>
      </c>
      <c r="G200" s="53" t="s">
        <v>480</v>
      </c>
      <c r="H200" s="53">
        <v>1.6544117647058822</v>
      </c>
      <c r="I200" s="53">
        <v>0.45588235294117641</v>
      </c>
      <c r="J200" s="53">
        <v>-8.0882352941176405E-2</v>
      </c>
      <c r="K200" s="53">
        <v>0.27941176470588236</v>
      </c>
      <c r="L200" s="53">
        <v>-0.34558823529411775</v>
      </c>
      <c r="M200" s="53">
        <v>0.63970588235294112</v>
      </c>
      <c r="N200" s="53" t="s">
        <v>480</v>
      </c>
      <c r="O200" s="53" t="s">
        <v>480</v>
      </c>
      <c r="P200" s="53">
        <v>0.65441176470588225</v>
      </c>
      <c r="Q200" s="53">
        <v>-0.34558823529411775</v>
      </c>
      <c r="R200" s="53">
        <v>-0.83088235294117641</v>
      </c>
      <c r="S200" s="53" t="s">
        <v>480</v>
      </c>
      <c r="T200" s="53">
        <v>-8.0882352941176405E-2</v>
      </c>
      <c r="U200" s="53" t="s">
        <v>480</v>
      </c>
      <c r="V200" s="53" t="s">
        <v>480</v>
      </c>
      <c r="W200" s="53">
        <v>-1.3602941176470589</v>
      </c>
      <c r="X200" s="53">
        <v>3.2794117647058822</v>
      </c>
      <c r="Y200" s="53">
        <v>-1.8308823529411764</v>
      </c>
      <c r="Z200" s="53">
        <v>0.65441176470588225</v>
      </c>
      <c r="AA200" s="53">
        <v>0.65441176470588225</v>
      </c>
      <c r="AB200" s="53">
        <v>-8.0882352941176405E-2</v>
      </c>
      <c r="AC200" s="53">
        <v>1.6397058823529411</v>
      </c>
      <c r="AD200" s="53">
        <v>-2.3455882352941178</v>
      </c>
      <c r="AE200" s="53" t="s">
        <v>480</v>
      </c>
      <c r="AF200" s="53">
        <v>0.45588235294117641</v>
      </c>
      <c r="AG200" s="53">
        <v>0.65441176470588225</v>
      </c>
      <c r="AH200" s="53">
        <v>1.2794117647058822</v>
      </c>
      <c r="AI200" s="53">
        <v>-0.36029411764705888</v>
      </c>
      <c r="AJ200" s="53">
        <v>0.63970588235294112</v>
      </c>
      <c r="AK200" s="53">
        <v>-0.34558823529411775</v>
      </c>
      <c r="AL200" s="53">
        <v>0.16911764705882359</v>
      </c>
      <c r="AM200" s="53">
        <v>0.63970588235294112</v>
      </c>
      <c r="AQ200">
        <f t="shared" si="7"/>
        <v>1</v>
      </c>
      <c r="AR200" t="s">
        <v>298</v>
      </c>
    </row>
    <row r="201" spans="1:44" x14ac:dyDescent="0.25">
      <c r="A201" s="1">
        <f>COUNTIF('Value Matchup'!$D$356:$D$423,PASE!B201)</f>
        <v>0</v>
      </c>
      <c r="B201" t="s">
        <v>299</v>
      </c>
      <c r="C201" s="64">
        <f t="shared" si="6"/>
        <v>-3.8865546218487389E-2</v>
      </c>
      <c r="E201" s="91" t="s">
        <v>480</v>
      </c>
      <c r="F201" s="53" t="s">
        <v>480</v>
      </c>
      <c r="G201" s="53" t="s">
        <v>480</v>
      </c>
      <c r="H201" s="53" t="s">
        <v>480</v>
      </c>
      <c r="I201" s="53" t="s">
        <v>480</v>
      </c>
      <c r="J201" s="53" t="s">
        <v>480</v>
      </c>
      <c r="K201" s="53">
        <v>-7.3529411764705881E-3</v>
      </c>
      <c r="L201" s="53" t="s">
        <v>480</v>
      </c>
      <c r="M201" s="53" t="s">
        <v>480</v>
      </c>
      <c r="N201" s="53" t="s">
        <v>480</v>
      </c>
      <c r="O201" s="53" t="s">
        <v>480</v>
      </c>
      <c r="P201" s="53" t="s">
        <v>480</v>
      </c>
      <c r="Q201" s="53" t="s">
        <v>480</v>
      </c>
      <c r="R201" s="53" t="s">
        <v>480</v>
      </c>
      <c r="S201" s="53" t="s">
        <v>480</v>
      </c>
      <c r="T201" s="53" t="s">
        <v>480</v>
      </c>
      <c r="U201" s="53" t="s">
        <v>480</v>
      </c>
      <c r="V201" s="53" t="s">
        <v>480</v>
      </c>
      <c r="W201" s="53" t="s">
        <v>480</v>
      </c>
      <c r="X201" s="53" t="s">
        <v>480</v>
      </c>
      <c r="Y201" s="53" t="s">
        <v>480</v>
      </c>
      <c r="Z201" s="53" t="s">
        <v>480</v>
      </c>
      <c r="AA201" s="53" t="s">
        <v>480</v>
      </c>
      <c r="AB201" s="53" t="s">
        <v>480</v>
      </c>
      <c r="AC201" s="53">
        <v>-7.3529411764705881E-3</v>
      </c>
      <c r="AD201" s="53">
        <v>-7.3529411764705881E-3</v>
      </c>
      <c r="AE201" s="53" t="s">
        <v>480</v>
      </c>
      <c r="AF201" s="53" t="s">
        <v>480</v>
      </c>
      <c r="AG201" s="53" t="s">
        <v>480</v>
      </c>
      <c r="AH201" s="53" t="s">
        <v>480</v>
      </c>
      <c r="AI201" s="53" t="s">
        <v>480</v>
      </c>
      <c r="AJ201" s="53">
        <v>-0.16911764705882354</v>
      </c>
      <c r="AK201" s="53">
        <v>-6.6176470588235295E-2</v>
      </c>
      <c r="AL201" s="53">
        <v>-7.3529411764705881E-3</v>
      </c>
      <c r="AM201" s="53">
        <v>-7.3529411764705881E-3</v>
      </c>
      <c r="AQ201">
        <f t="shared" si="7"/>
        <v>1</v>
      </c>
      <c r="AR201" t="s">
        <v>299</v>
      </c>
    </row>
    <row r="202" spans="1:44" x14ac:dyDescent="0.25">
      <c r="A202" s="1">
        <f>COUNTIF('Value Matchup'!$D$356:$D$423,PASE!B202)</f>
        <v>0</v>
      </c>
      <c r="B202" t="s">
        <v>300</v>
      </c>
      <c r="C202" s="64">
        <f t="shared" si="6"/>
        <v>-6.1274509803921573E-2</v>
      </c>
      <c r="E202" s="91" t="s">
        <v>480</v>
      </c>
      <c r="F202" s="53">
        <v>-7.3529411764705881E-3</v>
      </c>
      <c r="G202" s="53">
        <v>-7.3529411764705881E-3</v>
      </c>
      <c r="H202" s="53" t="s">
        <v>480</v>
      </c>
      <c r="I202" s="53" t="s">
        <v>480</v>
      </c>
      <c r="J202" s="53">
        <v>-0.16911764705882354</v>
      </c>
      <c r="K202" s="53" t="s">
        <v>480</v>
      </c>
      <c r="L202" s="53" t="s">
        <v>480</v>
      </c>
      <c r="M202" s="53" t="s">
        <v>480</v>
      </c>
      <c r="N202" s="53" t="s">
        <v>480</v>
      </c>
      <c r="O202" s="53" t="s">
        <v>480</v>
      </c>
      <c r="P202" s="53" t="s">
        <v>480</v>
      </c>
      <c r="Q202" s="53" t="s">
        <v>480</v>
      </c>
      <c r="R202" s="53" t="s">
        <v>480</v>
      </c>
      <c r="S202" s="53" t="s">
        <v>480</v>
      </c>
      <c r="T202" s="53" t="s">
        <v>480</v>
      </c>
      <c r="U202" s="53" t="s">
        <v>480</v>
      </c>
      <c r="V202" s="53" t="s">
        <v>480</v>
      </c>
      <c r="W202" s="53" t="s">
        <v>480</v>
      </c>
      <c r="X202" s="53" t="s">
        <v>480</v>
      </c>
      <c r="Y202" s="53" t="s">
        <v>480</v>
      </c>
      <c r="Z202" s="53" t="s">
        <v>480</v>
      </c>
      <c r="AA202" s="53" t="s">
        <v>480</v>
      </c>
      <c r="AB202" s="53" t="s">
        <v>480</v>
      </c>
      <c r="AC202" s="53" t="s">
        <v>480</v>
      </c>
      <c r="AD202" s="53" t="s">
        <v>480</v>
      </c>
      <c r="AE202" s="53" t="s">
        <v>480</v>
      </c>
      <c r="AF202" s="53" t="s">
        <v>480</v>
      </c>
      <c r="AG202" s="53" t="s">
        <v>480</v>
      </c>
      <c r="AH202" s="53" t="s">
        <v>480</v>
      </c>
      <c r="AI202" s="53" t="s">
        <v>480</v>
      </c>
      <c r="AJ202" s="53" t="s">
        <v>480</v>
      </c>
      <c r="AK202" s="53" t="s">
        <v>480</v>
      </c>
      <c r="AL202" s="53" t="s">
        <v>480</v>
      </c>
      <c r="AM202" s="53" t="s">
        <v>480</v>
      </c>
      <c r="AQ202">
        <f t="shared" si="7"/>
        <v>1</v>
      </c>
      <c r="AR202" t="s">
        <v>300</v>
      </c>
    </row>
    <row r="203" spans="1:44" x14ac:dyDescent="0.25">
      <c r="A203" s="1">
        <f>COUNTIF('Value Matchup'!$D$356:$D$423,PASE!B203)</f>
        <v>0</v>
      </c>
      <c r="B203" t="s">
        <v>301</v>
      </c>
      <c r="C203" s="64">
        <f t="shared" si="6"/>
        <v>0.16865808823529416</v>
      </c>
      <c r="E203" s="91" t="s">
        <v>480</v>
      </c>
      <c r="F203" s="53">
        <v>-0.58823529411764708</v>
      </c>
      <c r="G203" s="53" t="s">
        <v>480</v>
      </c>
      <c r="H203" s="53" t="s">
        <v>480</v>
      </c>
      <c r="I203" s="53">
        <v>1.2794117647058822</v>
      </c>
      <c r="J203" s="53">
        <v>-0.5</v>
      </c>
      <c r="K203" s="53">
        <v>-0.72058823529411764</v>
      </c>
      <c r="L203" s="53">
        <v>1.375</v>
      </c>
      <c r="M203" s="53" t="s">
        <v>480</v>
      </c>
      <c r="N203" s="53" t="s">
        <v>480</v>
      </c>
      <c r="O203" s="53" t="s">
        <v>480</v>
      </c>
      <c r="P203" s="53" t="s">
        <v>480</v>
      </c>
      <c r="Q203" s="53" t="s">
        <v>480</v>
      </c>
      <c r="R203" s="53">
        <v>0.38235294117647056</v>
      </c>
      <c r="S203" s="53">
        <v>1.3823529411764706</v>
      </c>
      <c r="T203" s="53">
        <v>-0.83088235294117641</v>
      </c>
      <c r="U203" s="53">
        <v>-0.58823529411764708</v>
      </c>
      <c r="V203" s="53">
        <v>7.3529411764705843E-2</v>
      </c>
      <c r="W203" s="53" t="s">
        <v>480</v>
      </c>
      <c r="X203" s="53" t="s">
        <v>480</v>
      </c>
      <c r="Y203" s="53" t="s">
        <v>480</v>
      </c>
      <c r="Z203" s="53" t="s">
        <v>480</v>
      </c>
      <c r="AA203" s="53" t="s">
        <v>480</v>
      </c>
      <c r="AB203" s="53" t="s">
        <v>480</v>
      </c>
      <c r="AC203" s="53" t="s">
        <v>480</v>
      </c>
      <c r="AD203" s="53" t="s">
        <v>480</v>
      </c>
      <c r="AE203" s="53" t="s">
        <v>480</v>
      </c>
      <c r="AF203" s="53" t="s">
        <v>480</v>
      </c>
      <c r="AG203" s="53">
        <v>-8.0882352941176405E-2</v>
      </c>
      <c r="AH203" s="53" t="s">
        <v>480</v>
      </c>
      <c r="AI203" s="53">
        <v>0.88235294117647056</v>
      </c>
      <c r="AJ203" s="53">
        <v>-1.8308823529411764</v>
      </c>
      <c r="AK203" s="53">
        <v>-0.625</v>
      </c>
      <c r="AL203" s="53">
        <v>1.9191176470588236</v>
      </c>
      <c r="AM203" s="53">
        <v>1.1691176470588236</v>
      </c>
      <c r="AQ203">
        <f t="shared" si="7"/>
        <v>1</v>
      </c>
      <c r="AR203" t="s">
        <v>301</v>
      </c>
    </row>
    <row r="204" spans="1:44" x14ac:dyDescent="0.25">
      <c r="A204" s="1">
        <f>COUNTIF('Value Matchup'!$D$356:$D$423,PASE!B204)</f>
        <v>0</v>
      </c>
      <c r="B204" t="s">
        <v>302</v>
      </c>
      <c r="C204" s="64">
        <f t="shared" si="6"/>
        <v>-6.6176470588235295E-2</v>
      </c>
      <c r="E204" s="91" t="s">
        <v>480</v>
      </c>
      <c r="F204" s="53" t="s">
        <v>480</v>
      </c>
      <c r="G204" s="53">
        <v>-6.6176470588235295E-2</v>
      </c>
      <c r="H204" s="53" t="s">
        <v>480</v>
      </c>
      <c r="I204" s="53" t="s">
        <v>480</v>
      </c>
      <c r="J204" s="53" t="s">
        <v>480</v>
      </c>
      <c r="K204" s="53" t="s">
        <v>480</v>
      </c>
      <c r="L204" s="53" t="s">
        <v>480</v>
      </c>
      <c r="M204" s="53" t="s">
        <v>480</v>
      </c>
      <c r="N204" s="53" t="s">
        <v>480</v>
      </c>
      <c r="O204" s="53" t="s">
        <v>480</v>
      </c>
      <c r="P204" s="53" t="s">
        <v>480</v>
      </c>
      <c r="Q204" s="53" t="s">
        <v>480</v>
      </c>
      <c r="R204" s="53" t="s">
        <v>480</v>
      </c>
      <c r="S204" s="53" t="s">
        <v>480</v>
      </c>
      <c r="T204" s="53" t="s">
        <v>480</v>
      </c>
      <c r="U204" s="53" t="s">
        <v>480</v>
      </c>
      <c r="V204" s="53" t="s">
        <v>480</v>
      </c>
      <c r="W204" s="53" t="s">
        <v>480</v>
      </c>
      <c r="X204" s="53" t="s">
        <v>480</v>
      </c>
      <c r="Y204" s="53" t="s">
        <v>480</v>
      </c>
      <c r="Z204" s="53" t="s">
        <v>480</v>
      </c>
      <c r="AA204" s="53" t="s">
        <v>480</v>
      </c>
      <c r="AB204" s="53" t="s">
        <v>480</v>
      </c>
      <c r="AC204" s="53" t="s">
        <v>480</v>
      </c>
      <c r="AD204" s="53" t="s">
        <v>480</v>
      </c>
      <c r="AE204" s="53" t="s">
        <v>480</v>
      </c>
      <c r="AF204" s="53" t="s">
        <v>480</v>
      </c>
      <c r="AG204" s="53" t="s">
        <v>480</v>
      </c>
      <c r="AH204" s="53" t="s">
        <v>480</v>
      </c>
      <c r="AI204" s="53" t="s">
        <v>480</v>
      </c>
      <c r="AJ204" s="53" t="s">
        <v>480</v>
      </c>
      <c r="AK204" s="53" t="s">
        <v>480</v>
      </c>
      <c r="AL204" s="53" t="s">
        <v>480</v>
      </c>
      <c r="AM204" s="53" t="s">
        <v>480</v>
      </c>
      <c r="AQ204">
        <f t="shared" si="7"/>
        <v>1</v>
      </c>
      <c r="AR204" t="s">
        <v>302</v>
      </c>
    </row>
    <row r="205" spans="1:44" x14ac:dyDescent="0.25">
      <c r="A205" s="1">
        <f>COUNTIF('Value Matchup'!$D$356:$D$423,PASE!B205)</f>
        <v>0</v>
      </c>
      <c r="B205" t="s">
        <v>303</v>
      </c>
      <c r="C205" s="64">
        <f t="shared" si="6"/>
        <v>6.4390756302521002E-2</v>
      </c>
      <c r="E205" s="91">
        <v>-7.1428571428571426E-3</v>
      </c>
      <c r="F205" s="53" t="s">
        <v>480</v>
      </c>
      <c r="G205" s="53" t="s">
        <v>480</v>
      </c>
      <c r="H205" s="53" t="s">
        <v>480</v>
      </c>
      <c r="I205" s="53">
        <v>-6.6176470588235295E-2</v>
      </c>
      <c r="J205" s="53">
        <v>0.5</v>
      </c>
      <c r="K205" s="53" t="s">
        <v>480</v>
      </c>
      <c r="L205" s="53" t="s">
        <v>480</v>
      </c>
      <c r="M205" s="53" t="s">
        <v>480</v>
      </c>
      <c r="N205" s="53" t="s">
        <v>480</v>
      </c>
      <c r="O205" s="53">
        <v>-0.16911764705882354</v>
      </c>
      <c r="P205" s="53" t="s">
        <v>480</v>
      </c>
      <c r="Q205" s="53" t="s">
        <v>480</v>
      </c>
      <c r="R205" s="53" t="s">
        <v>480</v>
      </c>
      <c r="S205" s="53" t="s">
        <v>480</v>
      </c>
      <c r="T205" s="53" t="s">
        <v>480</v>
      </c>
      <c r="U205" s="53" t="s">
        <v>480</v>
      </c>
      <c r="V205" s="53" t="s">
        <v>480</v>
      </c>
      <c r="W205" s="53" t="s">
        <v>480</v>
      </c>
      <c r="X205" s="53" t="s">
        <v>480</v>
      </c>
      <c r="Y205" s="53" t="s">
        <v>480</v>
      </c>
      <c r="Z205" s="53" t="s">
        <v>480</v>
      </c>
      <c r="AA205" s="53" t="s">
        <v>480</v>
      </c>
      <c r="AB205" s="53" t="s">
        <v>480</v>
      </c>
      <c r="AC205" s="53" t="s">
        <v>480</v>
      </c>
      <c r="AD205" s="53" t="s">
        <v>480</v>
      </c>
      <c r="AE205" s="53" t="s">
        <v>480</v>
      </c>
      <c r="AF205" s="53" t="s">
        <v>480</v>
      </c>
      <c r="AG205" s="53" t="s">
        <v>480</v>
      </c>
      <c r="AH205" s="53" t="s">
        <v>480</v>
      </c>
      <c r="AI205" s="53" t="s">
        <v>480</v>
      </c>
      <c r="AJ205" s="53" t="s">
        <v>480</v>
      </c>
      <c r="AK205" s="53" t="s">
        <v>480</v>
      </c>
      <c r="AL205" s="53" t="s">
        <v>480</v>
      </c>
      <c r="AM205" s="53" t="s">
        <v>480</v>
      </c>
      <c r="AQ205">
        <f t="shared" si="7"/>
        <v>1</v>
      </c>
      <c r="AR205" t="s">
        <v>303</v>
      </c>
    </row>
    <row r="206" spans="1:44" x14ac:dyDescent="0.25">
      <c r="A206" s="1">
        <f>COUNTIF('Value Matchup'!$D$356:$D$423,PASE!B206)</f>
        <v>0</v>
      </c>
      <c r="B206" t="s">
        <v>304</v>
      </c>
      <c r="C206" s="64">
        <f t="shared" si="6"/>
        <v>-7.3529411764705881E-3</v>
      </c>
      <c r="E206" s="91" t="s">
        <v>480</v>
      </c>
      <c r="F206" s="53" t="s">
        <v>480</v>
      </c>
      <c r="G206" s="53" t="s">
        <v>480</v>
      </c>
      <c r="H206" s="53" t="s">
        <v>480</v>
      </c>
      <c r="I206" s="53">
        <v>-7.3529411764705881E-3</v>
      </c>
      <c r="J206" s="53" t="s">
        <v>480</v>
      </c>
      <c r="K206" s="53" t="s">
        <v>480</v>
      </c>
      <c r="L206" s="53" t="s">
        <v>480</v>
      </c>
      <c r="M206" s="53" t="s">
        <v>480</v>
      </c>
      <c r="N206" s="53" t="s">
        <v>480</v>
      </c>
      <c r="O206" s="53" t="s">
        <v>480</v>
      </c>
      <c r="P206" s="53" t="s">
        <v>480</v>
      </c>
      <c r="Q206" s="53" t="s">
        <v>480</v>
      </c>
      <c r="R206" s="53" t="s">
        <v>480</v>
      </c>
      <c r="S206" s="53" t="s">
        <v>480</v>
      </c>
      <c r="T206" s="53" t="s">
        <v>480</v>
      </c>
      <c r="U206" s="53" t="s">
        <v>480</v>
      </c>
      <c r="V206" s="53" t="s">
        <v>480</v>
      </c>
      <c r="W206" s="53" t="s">
        <v>480</v>
      </c>
      <c r="X206" s="53" t="s">
        <v>480</v>
      </c>
      <c r="Y206" s="53" t="s">
        <v>480</v>
      </c>
      <c r="Z206" s="53" t="s">
        <v>480</v>
      </c>
      <c r="AA206" s="53" t="s">
        <v>480</v>
      </c>
      <c r="AB206" s="53" t="s">
        <v>480</v>
      </c>
      <c r="AC206" s="53" t="s">
        <v>480</v>
      </c>
      <c r="AD206" s="53" t="s">
        <v>480</v>
      </c>
      <c r="AE206" s="53" t="s">
        <v>480</v>
      </c>
      <c r="AF206" s="53" t="s">
        <v>480</v>
      </c>
      <c r="AG206" s="53" t="s">
        <v>480</v>
      </c>
      <c r="AH206" s="53" t="s">
        <v>480</v>
      </c>
      <c r="AI206" s="53" t="s">
        <v>480</v>
      </c>
      <c r="AJ206" s="53" t="s">
        <v>480</v>
      </c>
      <c r="AK206" s="53" t="s">
        <v>480</v>
      </c>
      <c r="AL206" s="53" t="s">
        <v>480</v>
      </c>
      <c r="AM206" s="53" t="s">
        <v>480</v>
      </c>
      <c r="AQ206">
        <f t="shared" si="7"/>
        <v>1</v>
      </c>
      <c r="AR206" t="s">
        <v>304</v>
      </c>
    </row>
    <row r="207" spans="1:44" x14ac:dyDescent="0.25">
      <c r="A207" s="1">
        <f>COUNTIF('Value Matchup'!$D$356:$D$423,PASE!B207)</f>
        <v>1</v>
      </c>
      <c r="B207" t="s">
        <v>305</v>
      </c>
      <c r="C207" s="64">
        <f t="shared" si="6"/>
        <v>-6.6176470588235295E-2</v>
      </c>
      <c r="E207" s="91" t="s">
        <v>480</v>
      </c>
      <c r="F207" s="53" t="s">
        <v>480</v>
      </c>
      <c r="G207" s="53" t="s">
        <v>480</v>
      </c>
      <c r="H207" s="53" t="s">
        <v>480</v>
      </c>
      <c r="I207" s="53" t="s">
        <v>480</v>
      </c>
      <c r="J207" s="53" t="s">
        <v>480</v>
      </c>
      <c r="K207" s="53" t="s">
        <v>480</v>
      </c>
      <c r="L207" s="53" t="s">
        <v>480</v>
      </c>
      <c r="M207" s="53" t="s">
        <v>480</v>
      </c>
      <c r="N207" s="53">
        <v>-6.6176470588235295E-2</v>
      </c>
      <c r="O207" s="53" t="s">
        <v>480</v>
      </c>
      <c r="P207" s="53" t="s">
        <v>480</v>
      </c>
      <c r="Q207" s="53">
        <v>-6.6176470588235295E-2</v>
      </c>
      <c r="R207" s="53" t="s">
        <v>480</v>
      </c>
      <c r="S207" s="53" t="s">
        <v>480</v>
      </c>
      <c r="T207" s="53" t="s">
        <v>480</v>
      </c>
      <c r="U207" s="53" t="s">
        <v>480</v>
      </c>
      <c r="V207" s="53" t="s">
        <v>480</v>
      </c>
      <c r="W207" s="53" t="s">
        <v>480</v>
      </c>
      <c r="X207" s="53" t="s">
        <v>480</v>
      </c>
      <c r="Y207" s="53" t="s">
        <v>480</v>
      </c>
      <c r="Z207" s="53" t="s">
        <v>480</v>
      </c>
      <c r="AA207" s="53" t="s">
        <v>480</v>
      </c>
      <c r="AB207" s="53" t="s">
        <v>480</v>
      </c>
      <c r="AC207" s="53" t="s">
        <v>480</v>
      </c>
      <c r="AD207" s="53" t="s">
        <v>480</v>
      </c>
      <c r="AE207" s="53" t="s">
        <v>480</v>
      </c>
      <c r="AF207" s="53" t="s">
        <v>480</v>
      </c>
      <c r="AG207" s="53" t="s">
        <v>480</v>
      </c>
      <c r="AH207" s="53" t="s">
        <v>480</v>
      </c>
      <c r="AI207" s="53" t="s">
        <v>480</v>
      </c>
      <c r="AJ207" s="53">
        <v>-6.6176470588235295E-2</v>
      </c>
      <c r="AK207" s="53" t="s">
        <v>480</v>
      </c>
      <c r="AL207" s="53" t="s">
        <v>480</v>
      </c>
      <c r="AM207" s="53" t="s">
        <v>480</v>
      </c>
      <c r="AQ207">
        <f t="shared" si="7"/>
        <v>1</v>
      </c>
      <c r="AR207" t="s">
        <v>305</v>
      </c>
    </row>
    <row r="208" spans="1:44" x14ac:dyDescent="0.25">
      <c r="A208" s="1">
        <f>COUNTIF('Value Matchup'!$D$356:$D$423,PASE!B208)</f>
        <v>0</v>
      </c>
      <c r="B208" t="s">
        <v>306</v>
      </c>
      <c r="C208" s="64">
        <f t="shared" si="6"/>
        <v>-0.16911764705882351</v>
      </c>
      <c r="E208" s="91">
        <v>-0.25</v>
      </c>
      <c r="F208" s="53" t="s">
        <v>480</v>
      </c>
      <c r="G208" s="53" t="s">
        <v>480</v>
      </c>
      <c r="H208" s="53" t="s">
        <v>480</v>
      </c>
      <c r="I208" s="53">
        <v>-0.16911764705882354</v>
      </c>
      <c r="J208" s="53" t="s">
        <v>480</v>
      </c>
      <c r="K208" s="53" t="s">
        <v>480</v>
      </c>
      <c r="L208" s="53" t="s">
        <v>480</v>
      </c>
      <c r="M208" s="53" t="s">
        <v>480</v>
      </c>
      <c r="N208" s="53" t="s">
        <v>480</v>
      </c>
      <c r="O208" s="53" t="s">
        <v>480</v>
      </c>
      <c r="P208" s="53" t="s">
        <v>480</v>
      </c>
      <c r="Q208" s="53" t="s">
        <v>480</v>
      </c>
      <c r="R208" s="53" t="s">
        <v>480</v>
      </c>
      <c r="S208" s="53" t="s">
        <v>480</v>
      </c>
      <c r="T208" s="53" t="s">
        <v>480</v>
      </c>
      <c r="U208" s="53" t="s">
        <v>480</v>
      </c>
      <c r="V208" s="53" t="s">
        <v>480</v>
      </c>
      <c r="W208" s="53" t="s">
        <v>480</v>
      </c>
      <c r="X208" s="53" t="s">
        <v>480</v>
      </c>
      <c r="Y208" s="53" t="s">
        <v>480</v>
      </c>
      <c r="Z208" s="53" t="s">
        <v>480</v>
      </c>
      <c r="AA208" s="53" t="s">
        <v>480</v>
      </c>
      <c r="AB208" s="53" t="s">
        <v>480</v>
      </c>
      <c r="AC208" s="53" t="s">
        <v>480</v>
      </c>
      <c r="AD208" s="53" t="s">
        <v>480</v>
      </c>
      <c r="AE208" s="53" t="s">
        <v>480</v>
      </c>
      <c r="AF208" s="53" t="s">
        <v>480</v>
      </c>
      <c r="AG208" s="53">
        <v>-7.3529411764705881E-3</v>
      </c>
      <c r="AH208" s="53" t="s">
        <v>480</v>
      </c>
      <c r="AI208" s="53" t="s">
        <v>480</v>
      </c>
      <c r="AJ208" s="53" t="s">
        <v>480</v>
      </c>
      <c r="AK208" s="53">
        <v>-0.16911764705882354</v>
      </c>
      <c r="AL208" s="53">
        <v>-0.25</v>
      </c>
      <c r="AM208" s="53">
        <v>-0.16911764705882354</v>
      </c>
      <c r="AQ208">
        <f t="shared" si="7"/>
        <v>1</v>
      </c>
      <c r="AR208" t="s">
        <v>306</v>
      </c>
    </row>
    <row r="209" spans="1:44" x14ac:dyDescent="0.25">
      <c r="A209" s="1">
        <f>COUNTIF('Value Matchup'!$D$356:$D$423,PASE!B209)</f>
        <v>0</v>
      </c>
      <c r="B209" t="s">
        <v>307</v>
      </c>
      <c r="C209" s="64">
        <f t="shared" si="6"/>
        <v>-6.6176470588235295E-2</v>
      </c>
      <c r="E209" s="91" t="s">
        <v>480</v>
      </c>
      <c r="F209" s="53" t="s">
        <v>480</v>
      </c>
      <c r="G209" s="53" t="s">
        <v>480</v>
      </c>
      <c r="H209" s="53" t="s">
        <v>480</v>
      </c>
      <c r="I209" s="53" t="s">
        <v>480</v>
      </c>
      <c r="J209" s="53" t="s">
        <v>480</v>
      </c>
      <c r="K209" s="53" t="s">
        <v>480</v>
      </c>
      <c r="L209" s="53" t="s">
        <v>480</v>
      </c>
      <c r="M209" s="53" t="s">
        <v>480</v>
      </c>
      <c r="N209" s="53" t="s">
        <v>480</v>
      </c>
      <c r="O209" s="53" t="s">
        <v>480</v>
      </c>
      <c r="P209" s="53" t="s">
        <v>480</v>
      </c>
      <c r="Q209" s="53" t="s">
        <v>480</v>
      </c>
      <c r="R209" s="53" t="s">
        <v>480</v>
      </c>
      <c r="S209" s="53" t="s">
        <v>480</v>
      </c>
      <c r="T209" s="53" t="s">
        <v>480</v>
      </c>
      <c r="U209" s="53" t="s">
        <v>480</v>
      </c>
      <c r="V209" s="53" t="s">
        <v>480</v>
      </c>
      <c r="W209" s="53" t="s">
        <v>480</v>
      </c>
      <c r="X209" s="53">
        <v>-6.6176470588235295E-2</v>
      </c>
      <c r="Y209" s="53" t="s">
        <v>480</v>
      </c>
      <c r="Z209" s="53">
        <v>-6.6176470588235295E-2</v>
      </c>
      <c r="AA209" s="53" t="s">
        <v>480</v>
      </c>
      <c r="AB209" s="53" t="s">
        <v>480</v>
      </c>
      <c r="AC209" s="53" t="s">
        <v>480</v>
      </c>
      <c r="AD209" s="53" t="s">
        <v>480</v>
      </c>
      <c r="AE209" s="53" t="s">
        <v>480</v>
      </c>
      <c r="AF209" s="53" t="s">
        <v>480</v>
      </c>
      <c r="AG209" s="53" t="s">
        <v>480</v>
      </c>
      <c r="AH209" s="53" t="s">
        <v>480</v>
      </c>
      <c r="AI209" s="53" t="s">
        <v>480</v>
      </c>
      <c r="AJ209" s="53" t="s">
        <v>480</v>
      </c>
      <c r="AK209" s="53" t="s">
        <v>480</v>
      </c>
      <c r="AL209" s="53" t="s">
        <v>480</v>
      </c>
      <c r="AM209" s="53" t="s">
        <v>480</v>
      </c>
      <c r="AQ209">
        <f t="shared" si="7"/>
        <v>1</v>
      </c>
      <c r="AR209" t="s">
        <v>307</v>
      </c>
    </row>
    <row r="210" spans="1:44" x14ac:dyDescent="0.25">
      <c r="A210" s="1">
        <f>COUNTIF('Value Matchup'!$D$356:$D$423,PASE!B210)</f>
        <v>0</v>
      </c>
      <c r="B210" t="s">
        <v>308</v>
      </c>
      <c r="C210" s="64">
        <f t="shared" si="6"/>
        <v>-6.6176470588235295E-2</v>
      </c>
      <c r="E210" s="91" t="s">
        <v>480</v>
      </c>
      <c r="F210" s="53" t="s">
        <v>480</v>
      </c>
      <c r="G210" s="53" t="s">
        <v>480</v>
      </c>
      <c r="H210" s="53" t="s">
        <v>480</v>
      </c>
      <c r="I210" s="53" t="s">
        <v>480</v>
      </c>
      <c r="J210" s="53" t="s">
        <v>480</v>
      </c>
      <c r="K210" s="53" t="s">
        <v>480</v>
      </c>
      <c r="L210" s="53" t="s">
        <v>480</v>
      </c>
      <c r="M210" s="53">
        <v>-6.6176470588235295E-2</v>
      </c>
      <c r="N210" s="53" t="s">
        <v>480</v>
      </c>
      <c r="O210" s="53" t="s">
        <v>480</v>
      </c>
      <c r="P210" s="53" t="s">
        <v>480</v>
      </c>
      <c r="Q210" s="53" t="s">
        <v>480</v>
      </c>
      <c r="R210" s="53" t="s">
        <v>480</v>
      </c>
      <c r="S210" s="53" t="s">
        <v>480</v>
      </c>
      <c r="T210" s="53" t="s">
        <v>480</v>
      </c>
      <c r="U210" s="53" t="s">
        <v>480</v>
      </c>
      <c r="V210" s="53" t="s">
        <v>480</v>
      </c>
      <c r="W210" s="53" t="s">
        <v>480</v>
      </c>
      <c r="X210" s="53" t="s">
        <v>480</v>
      </c>
      <c r="Y210" s="53" t="s">
        <v>480</v>
      </c>
      <c r="Z210" s="53" t="s">
        <v>480</v>
      </c>
      <c r="AA210" s="53" t="s">
        <v>480</v>
      </c>
      <c r="AB210" s="53" t="s">
        <v>480</v>
      </c>
      <c r="AC210" s="53" t="s">
        <v>480</v>
      </c>
      <c r="AD210" s="53" t="s">
        <v>480</v>
      </c>
      <c r="AE210" s="53" t="s">
        <v>480</v>
      </c>
      <c r="AF210" s="53" t="s">
        <v>480</v>
      </c>
      <c r="AG210" s="53" t="s">
        <v>480</v>
      </c>
      <c r="AH210" s="53" t="s">
        <v>480</v>
      </c>
      <c r="AI210" s="53" t="s">
        <v>480</v>
      </c>
      <c r="AJ210" s="53" t="s">
        <v>480</v>
      </c>
      <c r="AK210" s="53" t="s">
        <v>480</v>
      </c>
      <c r="AL210" s="53" t="s">
        <v>480</v>
      </c>
      <c r="AM210" s="53" t="s">
        <v>480</v>
      </c>
      <c r="AQ210">
        <f t="shared" si="7"/>
        <v>1</v>
      </c>
      <c r="AR210" t="s">
        <v>308</v>
      </c>
    </row>
    <row r="211" spans="1:44" x14ac:dyDescent="0.25">
      <c r="A211" s="1">
        <f>COUNTIF('Value Matchup'!$D$356:$D$423,PASE!B211)</f>
        <v>0</v>
      </c>
      <c r="B211" t="s">
        <v>309</v>
      </c>
      <c r="C211" s="64">
        <f t="shared" si="6"/>
        <v>-0.20955882352941177</v>
      </c>
      <c r="E211" s="91" t="s">
        <v>480</v>
      </c>
      <c r="F211" s="53" t="s">
        <v>480</v>
      </c>
      <c r="G211" s="53" t="s">
        <v>480</v>
      </c>
      <c r="H211" s="53" t="s">
        <v>480</v>
      </c>
      <c r="I211" s="53" t="s">
        <v>480</v>
      </c>
      <c r="J211" s="53" t="s">
        <v>480</v>
      </c>
      <c r="K211" s="53" t="s">
        <v>480</v>
      </c>
      <c r="L211" s="53" t="s">
        <v>480</v>
      </c>
      <c r="M211" s="53" t="s">
        <v>480</v>
      </c>
      <c r="N211" s="53" t="s">
        <v>480</v>
      </c>
      <c r="O211" s="53" t="s">
        <v>480</v>
      </c>
      <c r="P211" s="53" t="s">
        <v>480</v>
      </c>
      <c r="Q211" s="53" t="s">
        <v>480</v>
      </c>
      <c r="R211" s="53" t="s">
        <v>480</v>
      </c>
      <c r="S211" s="53" t="s">
        <v>480</v>
      </c>
      <c r="T211" s="53" t="s">
        <v>480</v>
      </c>
      <c r="U211" s="53" t="s">
        <v>480</v>
      </c>
      <c r="V211" s="53" t="s">
        <v>480</v>
      </c>
      <c r="W211" s="53" t="s">
        <v>480</v>
      </c>
      <c r="X211" s="53" t="s">
        <v>480</v>
      </c>
      <c r="Y211" s="53" t="s">
        <v>480</v>
      </c>
      <c r="Z211" s="53" t="s">
        <v>480</v>
      </c>
      <c r="AA211" s="53" t="s">
        <v>480</v>
      </c>
      <c r="AB211" s="53">
        <v>-0.16911764705882354</v>
      </c>
      <c r="AC211" s="53" t="s">
        <v>480</v>
      </c>
      <c r="AD211" s="53" t="s">
        <v>480</v>
      </c>
      <c r="AE211" s="53" t="s">
        <v>480</v>
      </c>
      <c r="AF211" s="53" t="s">
        <v>480</v>
      </c>
      <c r="AG211" s="53">
        <v>-0.25</v>
      </c>
      <c r="AH211" s="53" t="s">
        <v>480</v>
      </c>
      <c r="AI211" s="53" t="s">
        <v>480</v>
      </c>
      <c r="AJ211" s="53" t="s">
        <v>480</v>
      </c>
      <c r="AK211" s="53" t="s">
        <v>480</v>
      </c>
      <c r="AL211" s="53" t="s">
        <v>480</v>
      </c>
      <c r="AM211" s="53" t="s">
        <v>480</v>
      </c>
      <c r="AQ211">
        <f t="shared" si="7"/>
        <v>1</v>
      </c>
      <c r="AR211" t="s">
        <v>309</v>
      </c>
    </row>
    <row r="212" spans="1:44" x14ac:dyDescent="0.25">
      <c r="A212" s="1">
        <f>COUNTIF('Value Matchup'!$D$356:$D$423,PASE!B212)</f>
        <v>0</v>
      </c>
      <c r="B212" t="s">
        <v>310</v>
      </c>
      <c r="C212" s="64">
        <f t="shared" si="6"/>
        <v>7.3529411764705843E-2</v>
      </c>
      <c r="E212" s="91" t="s">
        <v>480</v>
      </c>
      <c r="F212" s="53" t="s">
        <v>480</v>
      </c>
      <c r="G212" s="53" t="s">
        <v>480</v>
      </c>
      <c r="H212" s="53">
        <v>0.375</v>
      </c>
      <c r="I212" s="53">
        <v>-0.11764705882352944</v>
      </c>
      <c r="J212" s="53" t="s">
        <v>480</v>
      </c>
      <c r="K212" s="53" t="s">
        <v>480</v>
      </c>
      <c r="L212" s="53" t="s">
        <v>480</v>
      </c>
      <c r="M212" s="53" t="s">
        <v>480</v>
      </c>
      <c r="N212" s="53">
        <v>1.4117647058823528</v>
      </c>
      <c r="O212" s="53">
        <v>-0.5</v>
      </c>
      <c r="P212" s="53" t="s">
        <v>480</v>
      </c>
      <c r="Q212" s="53" t="s">
        <v>480</v>
      </c>
      <c r="R212" s="53">
        <v>-0.61764705882352944</v>
      </c>
      <c r="S212" s="53">
        <v>-0.625</v>
      </c>
      <c r="T212" s="53">
        <v>-0.16911764705882354</v>
      </c>
      <c r="U212" s="53" t="s">
        <v>480</v>
      </c>
      <c r="V212" s="53" t="s">
        <v>480</v>
      </c>
      <c r="W212" s="53" t="s">
        <v>480</v>
      </c>
      <c r="X212" s="53" t="s">
        <v>480</v>
      </c>
      <c r="Y212" s="53" t="s">
        <v>480</v>
      </c>
      <c r="Z212" s="53" t="s">
        <v>480</v>
      </c>
      <c r="AA212" s="53" t="s">
        <v>480</v>
      </c>
      <c r="AB212" s="53" t="s">
        <v>480</v>
      </c>
      <c r="AC212" s="53" t="s">
        <v>480</v>
      </c>
      <c r="AD212" s="53" t="s">
        <v>480</v>
      </c>
      <c r="AE212" s="53" t="s">
        <v>480</v>
      </c>
      <c r="AF212" s="53" t="s">
        <v>480</v>
      </c>
      <c r="AG212" s="53" t="s">
        <v>480</v>
      </c>
      <c r="AH212" s="53">
        <v>0.83088235294117641</v>
      </c>
      <c r="AI212" s="53" t="s">
        <v>480</v>
      </c>
      <c r="AJ212" s="53" t="s">
        <v>480</v>
      </c>
      <c r="AK212" s="53" t="s">
        <v>480</v>
      </c>
      <c r="AL212" s="53" t="s">
        <v>480</v>
      </c>
      <c r="AM212" s="53" t="s">
        <v>480</v>
      </c>
      <c r="AQ212">
        <f t="shared" si="7"/>
        <v>1</v>
      </c>
      <c r="AR212" t="s">
        <v>310</v>
      </c>
    </row>
    <row r="213" spans="1:44" x14ac:dyDescent="0.25">
      <c r="A213" s="1">
        <f>COUNTIF('Value Matchup'!$D$356:$D$423,PASE!B213)</f>
        <v>0</v>
      </c>
      <c r="B213" t="s">
        <v>311</v>
      </c>
      <c r="C213" s="64">
        <f t="shared" si="6"/>
        <v>-0.1152310924369748</v>
      </c>
      <c r="E213" s="91">
        <v>-0.16428571428571428</v>
      </c>
      <c r="F213" s="53" t="s">
        <v>480</v>
      </c>
      <c r="G213" s="53">
        <v>-6.6176470588235295E-2</v>
      </c>
      <c r="H213" s="53" t="s">
        <v>480</v>
      </c>
      <c r="I213" s="53" t="s">
        <v>480</v>
      </c>
      <c r="J213" s="53" t="s">
        <v>480</v>
      </c>
      <c r="K213" s="53" t="s">
        <v>480</v>
      </c>
      <c r="L213" s="53" t="s">
        <v>480</v>
      </c>
      <c r="M213" s="53" t="s">
        <v>480</v>
      </c>
      <c r="N213" s="53" t="s">
        <v>480</v>
      </c>
      <c r="O213" s="53" t="s">
        <v>480</v>
      </c>
      <c r="P213" s="53" t="s">
        <v>480</v>
      </c>
      <c r="Q213" s="53" t="s">
        <v>480</v>
      </c>
      <c r="R213" s="53" t="s">
        <v>480</v>
      </c>
      <c r="S213" s="53" t="s">
        <v>480</v>
      </c>
      <c r="T213" s="53" t="s">
        <v>480</v>
      </c>
      <c r="U213" s="53" t="s">
        <v>480</v>
      </c>
      <c r="V213" s="53" t="s">
        <v>480</v>
      </c>
      <c r="W213" s="53" t="s">
        <v>480</v>
      </c>
      <c r="X213" s="53" t="s">
        <v>480</v>
      </c>
      <c r="Y213" s="53" t="s">
        <v>480</v>
      </c>
      <c r="Z213" s="53" t="s">
        <v>480</v>
      </c>
      <c r="AA213" s="53" t="s">
        <v>480</v>
      </c>
      <c r="AB213" s="53" t="s">
        <v>480</v>
      </c>
      <c r="AC213" s="53" t="s">
        <v>480</v>
      </c>
      <c r="AD213" s="53" t="s">
        <v>480</v>
      </c>
      <c r="AE213" s="53" t="s">
        <v>480</v>
      </c>
      <c r="AF213" s="53" t="s">
        <v>480</v>
      </c>
      <c r="AG213" s="53" t="s">
        <v>480</v>
      </c>
      <c r="AH213" s="53" t="s">
        <v>480</v>
      </c>
      <c r="AI213" s="53" t="s">
        <v>480</v>
      </c>
      <c r="AJ213" s="53" t="s">
        <v>480</v>
      </c>
      <c r="AK213" s="53" t="s">
        <v>480</v>
      </c>
      <c r="AL213" s="53" t="s">
        <v>480</v>
      </c>
      <c r="AM213" s="53" t="s">
        <v>480</v>
      </c>
      <c r="AQ213">
        <f t="shared" si="7"/>
        <v>1</v>
      </c>
      <c r="AR213" t="s">
        <v>311</v>
      </c>
    </row>
    <row r="214" spans="1:44" x14ac:dyDescent="0.25">
      <c r="A214" s="1">
        <f>COUNTIF('Value Matchup'!$D$356:$D$423,PASE!B214)</f>
        <v>0</v>
      </c>
      <c r="B214" t="s">
        <v>97</v>
      </c>
      <c r="C214" s="64">
        <f t="shared" si="6"/>
        <v>0.27941176470588236</v>
      </c>
      <c r="E214" s="91" t="s">
        <v>480</v>
      </c>
      <c r="F214" s="53" t="s">
        <v>480</v>
      </c>
      <c r="G214" s="53">
        <v>0.27941176470588236</v>
      </c>
      <c r="H214" s="53" t="s">
        <v>480</v>
      </c>
      <c r="I214" s="53" t="s">
        <v>480</v>
      </c>
      <c r="J214" s="53" t="s">
        <v>480</v>
      </c>
      <c r="K214" s="53" t="s">
        <v>480</v>
      </c>
      <c r="L214" s="53" t="s">
        <v>480</v>
      </c>
      <c r="M214" s="53" t="s">
        <v>480</v>
      </c>
      <c r="N214" s="53" t="s">
        <v>480</v>
      </c>
      <c r="O214" s="53" t="s">
        <v>480</v>
      </c>
      <c r="P214" s="53" t="s">
        <v>480</v>
      </c>
      <c r="Q214" s="53" t="s">
        <v>480</v>
      </c>
      <c r="R214" s="53" t="s">
        <v>480</v>
      </c>
      <c r="S214" s="53" t="s">
        <v>480</v>
      </c>
      <c r="T214" s="53" t="s">
        <v>480</v>
      </c>
      <c r="U214" s="53" t="s">
        <v>480</v>
      </c>
      <c r="V214" s="53" t="s">
        <v>480</v>
      </c>
      <c r="W214" s="53" t="s">
        <v>480</v>
      </c>
      <c r="X214" s="53" t="s">
        <v>480</v>
      </c>
      <c r="Y214" s="53" t="s">
        <v>480</v>
      </c>
      <c r="Z214" s="53" t="s">
        <v>480</v>
      </c>
      <c r="AA214" s="53" t="s">
        <v>480</v>
      </c>
      <c r="AB214" s="53" t="s">
        <v>480</v>
      </c>
      <c r="AC214" s="53" t="s">
        <v>480</v>
      </c>
      <c r="AD214" s="53" t="s">
        <v>480</v>
      </c>
      <c r="AE214" s="53" t="s">
        <v>480</v>
      </c>
      <c r="AF214" s="53" t="s">
        <v>480</v>
      </c>
      <c r="AG214" s="53" t="s">
        <v>480</v>
      </c>
      <c r="AH214" s="53" t="s">
        <v>480</v>
      </c>
      <c r="AI214" s="53" t="s">
        <v>480</v>
      </c>
      <c r="AJ214" s="53" t="s">
        <v>480</v>
      </c>
      <c r="AK214" s="53" t="s">
        <v>480</v>
      </c>
      <c r="AL214" s="53" t="s">
        <v>480</v>
      </c>
      <c r="AM214" s="53" t="s">
        <v>480</v>
      </c>
      <c r="AQ214">
        <f t="shared" si="7"/>
        <v>1</v>
      </c>
      <c r="AR214" t="s">
        <v>97</v>
      </c>
    </row>
    <row r="215" spans="1:44" x14ac:dyDescent="0.25">
      <c r="A215" s="1">
        <f>COUNTIF('Value Matchup'!$D$356:$D$423,PASE!B215)</f>
        <v>0</v>
      </c>
      <c r="B215" t="s">
        <v>312</v>
      </c>
      <c r="C215" s="64">
        <f t="shared" si="6"/>
        <v>0.21813725490196076</v>
      </c>
      <c r="E215" s="91" t="s">
        <v>480</v>
      </c>
      <c r="F215" s="53" t="s">
        <v>480</v>
      </c>
      <c r="G215" s="53" t="s">
        <v>480</v>
      </c>
      <c r="H215" s="53" t="s">
        <v>480</v>
      </c>
      <c r="I215" s="53" t="s">
        <v>480</v>
      </c>
      <c r="J215" s="53" t="s">
        <v>480</v>
      </c>
      <c r="K215" s="53">
        <v>-0.16911764705882354</v>
      </c>
      <c r="L215" s="53" t="s">
        <v>480</v>
      </c>
      <c r="M215" s="53" t="s">
        <v>480</v>
      </c>
      <c r="N215" s="53" t="s">
        <v>480</v>
      </c>
      <c r="O215" s="53" t="s">
        <v>480</v>
      </c>
      <c r="P215" s="53" t="s">
        <v>480</v>
      </c>
      <c r="Q215" s="53" t="s">
        <v>480</v>
      </c>
      <c r="R215" s="53">
        <v>0.83088235294117641</v>
      </c>
      <c r="S215" s="53" t="s">
        <v>480</v>
      </c>
      <c r="T215" s="53" t="s">
        <v>480</v>
      </c>
      <c r="U215" s="53" t="s">
        <v>480</v>
      </c>
      <c r="V215" s="53" t="s">
        <v>480</v>
      </c>
      <c r="W215" s="53">
        <v>-7.3529411764705881E-3</v>
      </c>
      <c r="X215" s="53" t="s">
        <v>480</v>
      </c>
      <c r="Y215" s="53" t="s">
        <v>480</v>
      </c>
      <c r="Z215" s="53" t="s">
        <v>480</v>
      </c>
      <c r="AA215" s="53" t="s">
        <v>480</v>
      </c>
      <c r="AB215" s="53" t="s">
        <v>480</v>
      </c>
      <c r="AC215" s="53" t="s">
        <v>480</v>
      </c>
      <c r="AD215" s="53" t="s">
        <v>480</v>
      </c>
      <c r="AE215" s="53" t="s">
        <v>480</v>
      </c>
      <c r="AF215" s="53" t="s">
        <v>480</v>
      </c>
      <c r="AG215" s="53" t="s">
        <v>480</v>
      </c>
      <c r="AH215" s="53" t="s">
        <v>480</v>
      </c>
      <c r="AI215" s="53" t="s">
        <v>480</v>
      </c>
      <c r="AJ215" s="53" t="s">
        <v>480</v>
      </c>
      <c r="AK215" s="53" t="s">
        <v>480</v>
      </c>
      <c r="AL215" s="53" t="s">
        <v>480</v>
      </c>
      <c r="AM215" s="53" t="s">
        <v>480</v>
      </c>
      <c r="AQ215">
        <f t="shared" si="7"/>
        <v>1</v>
      </c>
      <c r="AR215" t="s">
        <v>312</v>
      </c>
    </row>
    <row r="216" spans="1:44" x14ac:dyDescent="0.25">
      <c r="A216" s="1">
        <f>COUNTIF('Value Matchup'!$D$356:$D$423,PASE!B216)</f>
        <v>0</v>
      </c>
      <c r="B216" t="s">
        <v>35</v>
      </c>
      <c r="C216" s="64">
        <f t="shared" si="6"/>
        <v>-0.17442810457516345</v>
      </c>
      <c r="E216" s="91" t="s">
        <v>480</v>
      </c>
      <c r="F216" s="53" t="s">
        <v>480</v>
      </c>
      <c r="G216" s="53">
        <v>-0.11764705882352944</v>
      </c>
      <c r="H216" s="53">
        <v>1.9191176470588236</v>
      </c>
      <c r="I216" s="53">
        <v>1.1691176470588236</v>
      </c>
      <c r="J216" s="53" t="s">
        <v>480</v>
      </c>
      <c r="K216" s="53">
        <v>-0.92647058823529416</v>
      </c>
      <c r="L216" s="53">
        <v>-0.92647058823529416</v>
      </c>
      <c r="M216" s="53">
        <v>-1.3602941176470589</v>
      </c>
      <c r="N216" s="53">
        <v>-1.0808823529411764</v>
      </c>
      <c r="O216" s="53" t="s">
        <v>480</v>
      </c>
      <c r="P216" s="53">
        <v>-0.11764705882352944</v>
      </c>
      <c r="Q216" s="53">
        <v>-1.0808823529411764</v>
      </c>
      <c r="R216" s="53" t="s">
        <v>480</v>
      </c>
      <c r="S216" s="53" t="s">
        <v>480</v>
      </c>
      <c r="T216" s="53" t="s">
        <v>480</v>
      </c>
      <c r="U216" s="53">
        <v>0.88235294117647056</v>
      </c>
      <c r="V216" s="53">
        <v>0.27941176470588236</v>
      </c>
      <c r="W216" s="53">
        <v>-8.0882352941176405E-2</v>
      </c>
      <c r="X216" s="53" t="s">
        <v>480</v>
      </c>
      <c r="Y216" s="53" t="s">
        <v>480</v>
      </c>
      <c r="Z216" s="53" t="s">
        <v>480</v>
      </c>
      <c r="AA216" s="53" t="s">
        <v>480</v>
      </c>
      <c r="AB216" s="53" t="s">
        <v>480</v>
      </c>
      <c r="AC216" s="53" t="s">
        <v>480</v>
      </c>
      <c r="AD216" s="53" t="s">
        <v>480</v>
      </c>
      <c r="AE216" s="53" t="s">
        <v>480</v>
      </c>
      <c r="AF216" s="53" t="s">
        <v>480</v>
      </c>
      <c r="AG216" s="53" t="s">
        <v>480</v>
      </c>
      <c r="AH216" s="53">
        <v>-0.61764705882352944</v>
      </c>
      <c r="AI216" s="53">
        <v>0.41176470588235292</v>
      </c>
      <c r="AJ216" s="53">
        <v>-0.61764705882352944</v>
      </c>
      <c r="AK216" s="53">
        <v>0.88235294117647056</v>
      </c>
      <c r="AL216" s="53">
        <v>-1.8308823529411764</v>
      </c>
      <c r="AM216" s="53">
        <v>7.3529411764705843E-2</v>
      </c>
      <c r="AQ216">
        <f t="shared" si="7"/>
        <v>1</v>
      </c>
      <c r="AR216" t="s">
        <v>35</v>
      </c>
    </row>
    <row r="217" spans="1:44" x14ac:dyDescent="0.25">
      <c r="A217" s="1">
        <f>COUNTIF('Value Matchup'!$D$356:$D$423,PASE!B217)</f>
        <v>0</v>
      </c>
      <c r="B217" t="s">
        <v>313</v>
      </c>
      <c r="C217" s="64">
        <f t="shared" si="6"/>
        <v>-0.14215686274509803</v>
      </c>
      <c r="E217" s="91" t="s">
        <v>480</v>
      </c>
      <c r="F217" s="53" t="s">
        <v>480</v>
      </c>
      <c r="G217" s="53" t="s">
        <v>480</v>
      </c>
      <c r="H217" s="53" t="s">
        <v>480</v>
      </c>
      <c r="I217" s="53" t="s">
        <v>480</v>
      </c>
      <c r="J217" s="53" t="s">
        <v>480</v>
      </c>
      <c r="K217" s="53" t="s">
        <v>480</v>
      </c>
      <c r="L217" s="53" t="s">
        <v>480</v>
      </c>
      <c r="M217" s="53">
        <v>-0.25</v>
      </c>
      <c r="N217" s="53">
        <v>-0.16911764705882354</v>
      </c>
      <c r="O217" s="53" t="s">
        <v>480</v>
      </c>
      <c r="P217" s="53" t="s">
        <v>480</v>
      </c>
      <c r="Q217" s="53" t="s">
        <v>480</v>
      </c>
      <c r="R217" s="53" t="s">
        <v>480</v>
      </c>
      <c r="S217" s="53">
        <v>-7.3529411764705881E-3</v>
      </c>
      <c r="T217" s="53" t="s">
        <v>480</v>
      </c>
      <c r="U217" s="53" t="s">
        <v>480</v>
      </c>
      <c r="V217" s="53" t="s">
        <v>480</v>
      </c>
      <c r="W217" s="53" t="s">
        <v>480</v>
      </c>
      <c r="X217" s="53" t="s">
        <v>480</v>
      </c>
      <c r="Y217" s="53" t="s">
        <v>480</v>
      </c>
      <c r="Z217" s="53" t="s">
        <v>480</v>
      </c>
      <c r="AA217" s="53" t="s">
        <v>480</v>
      </c>
      <c r="AB217" s="53" t="s">
        <v>480</v>
      </c>
      <c r="AC217" s="53" t="s">
        <v>480</v>
      </c>
      <c r="AD217" s="53" t="s">
        <v>480</v>
      </c>
      <c r="AE217" s="53" t="s">
        <v>480</v>
      </c>
      <c r="AF217" s="53" t="s">
        <v>480</v>
      </c>
      <c r="AG217" s="53" t="s">
        <v>480</v>
      </c>
      <c r="AH217" s="53" t="s">
        <v>480</v>
      </c>
      <c r="AI217" s="53" t="s">
        <v>480</v>
      </c>
      <c r="AJ217" s="53" t="s">
        <v>480</v>
      </c>
      <c r="AK217" s="53" t="s">
        <v>480</v>
      </c>
      <c r="AL217" s="53" t="s">
        <v>480</v>
      </c>
      <c r="AM217" s="53" t="s">
        <v>480</v>
      </c>
      <c r="AQ217">
        <f t="shared" si="7"/>
        <v>1</v>
      </c>
      <c r="AR217" t="s">
        <v>313</v>
      </c>
    </row>
    <row r="218" spans="1:44" x14ac:dyDescent="0.25">
      <c r="A218" s="1">
        <f>COUNTIF('Value Matchup'!$D$356:$D$423,PASE!B218)</f>
        <v>1</v>
      </c>
      <c r="B218" t="s">
        <v>314</v>
      </c>
      <c r="C218" s="64">
        <f t="shared" si="6"/>
        <v>0.33235294117647063</v>
      </c>
      <c r="E218" s="91" t="s">
        <v>480</v>
      </c>
      <c r="F218" s="53" t="s">
        <v>480</v>
      </c>
      <c r="G218" s="53" t="s">
        <v>480</v>
      </c>
      <c r="H218" s="53" t="s">
        <v>480</v>
      </c>
      <c r="I218" s="53" t="s">
        <v>480</v>
      </c>
      <c r="J218" s="53" t="s">
        <v>480</v>
      </c>
      <c r="K218" s="53" t="s">
        <v>480</v>
      </c>
      <c r="L218" s="53">
        <v>1.75</v>
      </c>
      <c r="M218" s="53" t="s">
        <v>480</v>
      </c>
      <c r="N218" s="53">
        <v>0.83088235294117641</v>
      </c>
      <c r="O218" s="53" t="s">
        <v>480</v>
      </c>
      <c r="P218" s="53" t="s">
        <v>480</v>
      </c>
      <c r="Q218" s="53" t="s">
        <v>480</v>
      </c>
      <c r="R218" s="53" t="s">
        <v>480</v>
      </c>
      <c r="S218" s="53">
        <v>-0.25</v>
      </c>
      <c r="T218" s="53" t="s">
        <v>480</v>
      </c>
      <c r="U218" s="53" t="s">
        <v>480</v>
      </c>
      <c r="V218" s="53" t="s">
        <v>480</v>
      </c>
      <c r="W218" s="53" t="s">
        <v>480</v>
      </c>
      <c r="X218" s="53" t="s">
        <v>480</v>
      </c>
      <c r="Y218" s="53" t="s">
        <v>480</v>
      </c>
      <c r="Z218" s="53" t="s">
        <v>480</v>
      </c>
      <c r="AA218" s="53" t="s">
        <v>480</v>
      </c>
      <c r="AB218" s="53" t="s">
        <v>480</v>
      </c>
      <c r="AC218" s="53" t="s">
        <v>480</v>
      </c>
      <c r="AD218" s="53">
        <v>-0.5</v>
      </c>
      <c r="AE218" s="53" t="s">
        <v>480</v>
      </c>
      <c r="AF218" s="53" t="s">
        <v>480</v>
      </c>
      <c r="AG218" s="53" t="s">
        <v>480</v>
      </c>
      <c r="AH218" s="53" t="s">
        <v>480</v>
      </c>
      <c r="AI218" s="53" t="s">
        <v>480</v>
      </c>
      <c r="AJ218" s="53" t="s">
        <v>480</v>
      </c>
      <c r="AK218" s="53" t="s">
        <v>480</v>
      </c>
      <c r="AL218" s="53" t="s">
        <v>480</v>
      </c>
      <c r="AM218" s="53">
        <v>-0.16911764705882354</v>
      </c>
      <c r="AQ218">
        <f t="shared" si="7"/>
        <v>1</v>
      </c>
      <c r="AR218" t="s">
        <v>314</v>
      </c>
    </row>
    <row r="219" spans="1:44" x14ac:dyDescent="0.25">
      <c r="A219" s="1">
        <f>COUNTIF('Value Matchup'!$D$356:$D$423,PASE!B219)</f>
        <v>1</v>
      </c>
      <c r="B219" t="s">
        <v>315</v>
      </c>
      <c r="C219" s="64">
        <f t="shared" si="6"/>
        <v>-9.3214285714285749E-2</v>
      </c>
      <c r="E219" s="91">
        <v>0.38571428571428568</v>
      </c>
      <c r="F219" s="53">
        <v>-0.11764705882352944</v>
      </c>
      <c r="G219" s="53" t="s">
        <v>480</v>
      </c>
      <c r="H219" s="53" t="s">
        <v>480</v>
      </c>
      <c r="I219" s="53">
        <v>0.38235294117647056</v>
      </c>
      <c r="J219" s="53">
        <v>-1.0808823529411764</v>
      </c>
      <c r="K219" s="53">
        <v>0.63970588235294112</v>
      </c>
      <c r="L219" s="53">
        <v>1.6397058823529411</v>
      </c>
      <c r="M219" s="53">
        <v>-1.3455882352941178</v>
      </c>
      <c r="N219" s="53">
        <v>-0.36029411764705888</v>
      </c>
      <c r="O219" s="53">
        <v>-0.72058823529411764</v>
      </c>
      <c r="P219" s="53" t="s">
        <v>480</v>
      </c>
      <c r="Q219" s="53">
        <v>1.6544117647058822</v>
      </c>
      <c r="R219" s="53">
        <v>-1.3602941176470589</v>
      </c>
      <c r="S219" s="53" t="s">
        <v>480</v>
      </c>
      <c r="T219" s="53" t="s">
        <v>480</v>
      </c>
      <c r="U219" s="53" t="s">
        <v>480</v>
      </c>
      <c r="V219" s="53">
        <v>-0.54411764705882359</v>
      </c>
      <c r="W219" s="53">
        <v>-1.1176470588235294</v>
      </c>
      <c r="X219" s="53">
        <v>-0.83088235294117641</v>
      </c>
      <c r="Y219" s="53">
        <v>2.4558823529411766</v>
      </c>
      <c r="Z219" s="53" t="s">
        <v>480</v>
      </c>
      <c r="AA219" s="53" t="s">
        <v>480</v>
      </c>
      <c r="AB219" s="53" t="s">
        <v>480</v>
      </c>
      <c r="AC219" s="53" t="s">
        <v>480</v>
      </c>
      <c r="AD219" s="53" t="s">
        <v>480</v>
      </c>
      <c r="AE219" s="53" t="s">
        <v>480</v>
      </c>
      <c r="AF219" s="53">
        <v>-0.34558823529411775</v>
      </c>
      <c r="AG219" s="53">
        <v>-1.3455882352941178</v>
      </c>
      <c r="AH219" s="53">
        <v>0.27941176470588236</v>
      </c>
      <c r="AI219" s="53" t="s">
        <v>480</v>
      </c>
      <c r="AJ219" s="53" t="s">
        <v>480</v>
      </c>
      <c r="AK219" s="53">
        <v>0.41176470588235292</v>
      </c>
      <c r="AL219" s="53" t="s">
        <v>480</v>
      </c>
      <c r="AM219" s="53">
        <v>-0.54411764705882359</v>
      </c>
      <c r="AQ219">
        <f t="shared" si="7"/>
        <v>1</v>
      </c>
      <c r="AR219" t="s">
        <v>315</v>
      </c>
    </row>
    <row r="220" spans="1:44" x14ac:dyDescent="0.25">
      <c r="A220" s="1">
        <f>COUNTIF('Value Matchup'!$D$356:$D$423,PASE!B220)</f>
        <v>1</v>
      </c>
      <c r="B220" t="s">
        <v>58</v>
      </c>
      <c r="C220" s="64">
        <f t="shared" si="6"/>
        <v>-0.29937782805429863</v>
      </c>
      <c r="E220" s="91">
        <v>0.4</v>
      </c>
      <c r="F220" s="53">
        <v>-0.61764705882352944</v>
      </c>
      <c r="G220" s="53" t="s">
        <v>480</v>
      </c>
      <c r="H220" s="53">
        <v>1.6397058823529411</v>
      </c>
      <c r="I220" s="53">
        <v>0.16911764705882359</v>
      </c>
      <c r="J220" s="53">
        <v>-1.1176470588235294</v>
      </c>
      <c r="K220" s="53">
        <v>-0.61764705882352944</v>
      </c>
      <c r="L220" s="53" t="s">
        <v>480</v>
      </c>
      <c r="M220" s="53" t="s">
        <v>480</v>
      </c>
      <c r="N220" s="53" t="s">
        <v>480</v>
      </c>
      <c r="O220" s="53">
        <v>0.63970588235294112</v>
      </c>
      <c r="P220" s="53">
        <v>-8.0882352941176405E-2</v>
      </c>
      <c r="Q220" s="53" t="s">
        <v>480</v>
      </c>
      <c r="R220" s="53">
        <v>-1.0808823529411764</v>
      </c>
      <c r="S220" s="53">
        <v>-0.83088235294117641</v>
      </c>
      <c r="T220" s="53" t="s">
        <v>480</v>
      </c>
      <c r="U220" s="53">
        <v>-0.34558823529411775</v>
      </c>
      <c r="V220" s="53">
        <v>1.6397058823529411</v>
      </c>
      <c r="W220" s="53">
        <v>-1.5441176470588236</v>
      </c>
      <c r="X220" s="53">
        <v>-0.83088235294117641</v>
      </c>
      <c r="Y220" s="53">
        <v>1.75</v>
      </c>
      <c r="Z220" s="53">
        <v>-0.61764705882352944</v>
      </c>
      <c r="AA220" s="53">
        <v>-0.625</v>
      </c>
      <c r="AB220" s="53">
        <v>-0.61764705882352944</v>
      </c>
      <c r="AC220" s="53">
        <v>-1.5441176470588236</v>
      </c>
      <c r="AD220" s="53" t="s">
        <v>480</v>
      </c>
      <c r="AE220" s="53" t="s">
        <v>480</v>
      </c>
      <c r="AF220" s="53">
        <v>-1.5441176470588236</v>
      </c>
      <c r="AG220" s="53" t="s">
        <v>480</v>
      </c>
      <c r="AH220" s="53">
        <v>-2.3455882352941178</v>
      </c>
      <c r="AI220" s="53">
        <v>-1.3455882352941178</v>
      </c>
      <c r="AJ220" s="53">
        <v>1.6544117647058822</v>
      </c>
      <c r="AK220" s="53">
        <v>0.91911764705882359</v>
      </c>
      <c r="AL220" s="53">
        <v>-0.54411764705882359</v>
      </c>
      <c r="AM220" s="53">
        <v>-0.34558823529411775</v>
      </c>
      <c r="AQ220">
        <f t="shared" si="7"/>
        <v>1</v>
      </c>
      <c r="AR220" t="s">
        <v>58</v>
      </c>
    </row>
    <row r="221" spans="1:44" x14ac:dyDescent="0.25">
      <c r="A221" s="1">
        <f>COUNTIF('Value Matchup'!$D$356:$D$423,PASE!B221)</f>
        <v>1</v>
      </c>
      <c r="B221" t="s">
        <v>316</v>
      </c>
      <c r="C221" s="64">
        <f t="shared" si="6"/>
        <v>-2.3606811145510914E-2</v>
      </c>
      <c r="E221" s="91" t="s">
        <v>480</v>
      </c>
      <c r="F221" s="53" t="s">
        <v>480</v>
      </c>
      <c r="G221" s="53">
        <v>-0.61764705882352944</v>
      </c>
      <c r="H221" s="53" t="s">
        <v>480</v>
      </c>
      <c r="I221" s="53">
        <v>-0.58823529411764708</v>
      </c>
      <c r="J221" s="53">
        <v>-0.58823529411764708</v>
      </c>
      <c r="K221" s="53">
        <v>-1.1176470588235294</v>
      </c>
      <c r="L221" s="53" t="s">
        <v>480</v>
      </c>
      <c r="M221" s="53" t="s">
        <v>480</v>
      </c>
      <c r="N221" s="53">
        <v>-0.92647058823529416</v>
      </c>
      <c r="O221" s="53">
        <v>0.27941176470588236</v>
      </c>
      <c r="P221" s="53" t="s">
        <v>480</v>
      </c>
      <c r="Q221" s="53" t="s">
        <v>480</v>
      </c>
      <c r="R221" s="53" t="s">
        <v>480</v>
      </c>
      <c r="S221" s="53">
        <v>-0.36029411764705888</v>
      </c>
      <c r="T221" s="53">
        <v>1.6397058823529411</v>
      </c>
      <c r="U221" s="53">
        <v>-8.0882352941176405E-2</v>
      </c>
      <c r="V221" s="53">
        <v>-0.92647058823529416</v>
      </c>
      <c r="W221" s="53">
        <v>-0.625</v>
      </c>
      <c r="X221" s="53">
        <v>1.1691176470588236</v>
      </c>
      <c r="Y221" s="53">
        <v>0.41176470588235292</v>
      </c>
      <c r="Z221" s="53">
        <v>0.27941176470588236</v>
      </c>
      <c r="AA221" s="53" t="s">
        <v>480</v>
      </c>
      <c r="AB221" s="53" t="s">
        <v>480</v>
      </c>
      <c r="AC221" s="53">
        <v>2.4558823529411766</v>
      </c>
      <c r="AD221" s="53">
        <v>-0.54411764705882359</v>
      </c>
      <c r="AE221" s="53">
        <v>-0.11764705882352944</v>
      </c>
      <c r="AF221" s="53">
        <v>-0.36029411764705888</v>
      </c>
      <c r="AG221" s="53">
        <v>0.16911764705882359</v>
      </c>
      <c r="AH221" s="53" t="s">
        <v>480</v>
      </c>
      <c r="AI221" s="53" t="s">
        <v>480</v>
      </c>
      <c r="AJ221" s="53" t="s">
        <v>480</v>
      </c>
      <c r="AK221" s="53" t="s">
        <v>480</v>
      </c>
      <c r="AL221" s="53" t="s">
        <v>480</v>
      </c>
      <c r="AM221" s="53" t="s">
        <v>480</v>
      </c>
      <c r="AQ221">
        <f t="shared" si="7"/>
        <v>1</v>
      </c>
      <c r="AR221" t="s">
        <v>316</v>
      </c>
    </row>
    <row r="222" spans="1:44" x14ac:dyDescent="0.25">
      <c r="A222" s="1">
        <f>COUNTIF('Value Matchup'!$D$356:$D$423,PASE!B222)</f>
        <v>0</v>
      </c>
      <c r="B222" t="s">
        <v>317</v>
      </c>
      <c r="C222" s="64">
        <f t="shared" si="6"/>
        <v>-0.10025210084033613</v>
      </c>
      <c r="E222" s="91">
        <v>-0.16428571428571428</v>
      </c>
      <c r="F222" s="53" t="s">
        <v>480</v>
      </c>
      <c r="G222" s="53" t="s">
        <v>480</v>
      </c>
      <c r="H222" s="53" t="s">
        <v>480</v>
      </c>
      <c r="I222" s="53" t="s">
        <v>480</v>
      </c>
      <c r="J222" s="53" t="s">
        <v>480</v>
      </c>
      <c r="K222" s="53" t="s">
        <v>480</v>
      </c>
      <c r="L222" s="53" t="s">
        <v>480</v>
      </c>
      <c r="M222" s="53">
        <v>-0.58823529411764708</v>
      </c>
      <c r="N222" s="53">
        <v>0.375</v>
      </c>
      <c r="O222" s="53" t="s">
        <v>480</v>
      </c>
      <c r="P222" s="53" t="s">
        <v>480</v>
      </c>
      <c r="Q222" s="53">
        <v>-0.5</v>
      </c>
      <c r="R222" s="53" t="s">
        <v>480</v>
      </c>
      <c r="S222" s="53">
        <v>-0.5</v>
      </c>
      <c r="T222" s="53" t="s">
        <v>480</v>
      </c>
      <c r="U222" s="53" t="s">
        <v>480</v>
      </c>
      <c r="V222" s="53" t="s">
        <v>480</v>
      </c>
      <c r="W222" s="53" t="s">
        <v>480</v>
      </c>
      <c r="X222" s="53" t="s">
        <v>480</v>
      </c>
      <c r="Y222" s="53" t="s">
        <v>480</v>
      </c>
      <c r="Z222" s="53" t="s">
        <v>480</v>
      </c>
      <c r="AA222" s="53">
        <v>-0.16911764705882354</v>
      </c>
      <c r="AB222" s="53" t="s">
        <v>480</v>
      </c>
      <c r="AC222" s="53">
        <v>0.83088235294117641</v>
      </c>
      <c r="AD222" s="53" t="s">
        <v>480</v>
      </c>
      <c r="AE222" s="53" t="s">
        <v>480</v>
      </c>
      <c r="AF222" s="53">
        <v>-6.6176470588235295E-2</v>
      </c>
      <c r="AG222" s="53" t="s">
        <v>480</v>
      </c>
      <c r="AH222" s="53" t="s">
        <v>480</v>
      </c>
      <c r="AI222" s="53" t="s">
        <v>480</v>
      </c>
      <c r="AJ222" s="53" t="s">
        <v>480</v>
      </c>
      <c r="AK222" s="53" t="s">
        <v>480</v>
      </c>
      <c r="AL222" s="53">
        <v>0.27941176470588236</v>
      </c>
      <c r="AM222" s="53">
        <v>-0.5</v>
      </c>
      <c r="AQ222">
        <f t="shared" si="7"/>
        <v>1</v>
      </c>
      <c r="AR222" t="s">
        <v>317</v>
      </c>
    </row>
    <row r="223" spans="1:44" x14ac:dyDescent="0.25">
      <c r="A223" s="1">
        <f>COUNTIF('Value Matchup'!$D$356:$D$423,PASE!B223)</f>
        <v>1</v>
      </c>
      <c r="B223" t="s">
        <v>318</v>
      </c>
      <c r="C223" s="64">
        <f t="shared" si="6"/>
        <v>-0.14215686274509803</v>
      </c>
      <c r="E223" s="91" t="s">
        <v>480</v>
      </c>
      <c r="F223" s="53" t="s">
        <v>480</v>
      </c>
      <c r="G223" s="53" t="s">
        <v>480</v>
      </c>
      <c r="H223" s="53" t="s">
        <v>480</v>
      </c>
      <c r="I223" s="53" t="s">
        <v>480</v>
      </c>
      <c r="J223" s="53" t="s">
        <v>480</v>
      </c>
      <c r="K223" s="53" t="s">
        <v>480</v>
      </c>
      <c r="L223" s="53" t="s">
        <v>480</v>
      </c>
      <c r="M223" s="53" t="s">
        <v>480</v>
      </c>
      <c r="N223" s="53" t="s">
        <v>480</v>
      </c>
      <c r="O223" s="53" t="s">
        <v>480</v>
      </c>
      <c r="P223" s="53">
        <v>-0.25</v>
      </c>
      <c r="Q223" s="53">
        <v>-0.16911764705882354</v>
      </c>
      <c r="R223" s="53">
        <v>-7.3529411764705881E-3</v>
      </c>
      <c r="S223" s="53" t="s">
        <v>480</v>
      </c>
      <c r="T223" s="53" t="s">
        <v>480</v>
      </c>
      <c r="U223" s="53" t="s">
        <v>480</v>
      </c>
      <c r="V223" s="53" t="s">
        <v>480</v>
      </c>
      <c r="W223" s="53" t="s">
        <v>480</v>
      </c>
      <c r="X223" s="53" t="s">
        <v>480</v>
      </c>
      <c r="Y223" s="53" t="s">
        <v>480</v>
      </c>
      <c r="Z223" s="53" t="s">
        <v>480</v>
      </c>
      <c r="AA223" s="53" t="s">
        <v>480</v>
      </c>
      <c r="AB223" s="53" t="s">
        <v>480</v>
      </c>
      <c r="AC223" s="53" t="s">
        <v>480</v>
      </c>
      <c r="AD223" s="53" t="s">
        <v>480</v>
      </c>
      <c r="AE223" s="53" t="s">
        <v>480</v>
      </c>
      <c r="AF223" s="53" t="s">
        <v>480</v>
      </c>
      <c r="AG223" s="53" t="s">
        <v>480</v>
      </c>
      <c r="AH223" s="53" t="s">
        <v>480</v>
      </c>
      <c r="AI223" s="53" t="s">
        <v>480</v>
      </c>
      <c r="AJ223" s="53" t="s">
        <v>480</v>
      </c>
      <c r="AK223" s="53" t="s">
        <v>480</v>
      </c>
      <c r="AL223" s="53" t="s">
        <v>480</v>
      </c>
      <c r="AM223" s="53" t="s">
        <v>480</v>
      </c>
      <c r="AQ223">
        <f t="shared" si="7"/>
        <v>1</v>
      </c>
      <c r="AR223" t="s">
        <v>318</v>
      </c>
    </row>
    <row r="224" spans="1:44" x14ac:dyDescent="0.25">
      <c r="A224" s="1">
        <f>COUNTIF('Value Matchup'!$D$356:$D$423,PASE!B224)</f>
        <v>1</v>
      </c>
      <c r="B224" t="s">
        <v>40</v>
      </c>
      <c r="C224" s="64">
        <f t="shared" si="6"/>
        <v>0.30456932773109235</v>
      </c>
      <c r="E224" s="91">
        <v>1.4857142857142858</v>
      </c>
      <c r="F224" s="53" t="s">
        <v>480</v>
      </c>
      <c r="G224" s="53">
        <v>2.1691176470588234</v>
      </c>
      <c r="H224" s="53">
        <v>-0.34558823529411775</v>
      </c>
      <c r="I224" s="53">
        <v>0.27941176470588236</v>
      </c>
      <c r="J224" s="53">
        <v>7.3529411764705843E-2</v>
      </c>
      <c r="K224" s="53">
        <v>1.5</v>
      </c>
      <c r="L224" s="53" t="s">
        <v>480</v>
      </c>
      <c r="M224" s="53" t="s">
        <v>480</v>
      </c>
      <c r="N224" s="53" t="s">
        <v>480</v>
      </c>
      <c r="O224" s="53" t="s">
        <v>480</v>
      </c>
      <c r="P224" s="53">
        <v>-0.58823529411764708</v>
      </c>
      <c r="Q224" s="53">
        <v>1.1691176470588236</v>
      </c>
      <c r="R224" s="53" t="s">
        <v>480</v>
      </c>
      <c r="S224" s="53" t="s">
        <v>480</v>
      </c>
      <c r="T224" s="53" t="s">
        <v>480</v>
      </c>
      <c r="U224" s="53">
        <v>-0.72058823529411764</v>
      </c>
      <c r="V224" s="53">
        <v>0.63970588235294112</v>
      </c>
      <c r="W224" s="53" t="s">
        <v>480</v>
      </c>
      <c r="X224" s="53">
        <v>-0.92647058823529416</v>
      </c>
      <c r="Y224" s="53" t="s">
        <v>480</v>
      </c>
      <c r="Z224" s="53" t="s">
        <v>480</v>
      </c>
      <c r="AA224" s="53" t="s">
        <v>480</v>
      </c>
      <c r="AB224" s="53" t="s">
        <v>480</v>
      </c>
      <c r="AC224" s="53">
        <v>-1.0808823529411764</v>
      </c>
      <c r="AD224" s="53" t="s">
        <v>480</v>
      </c>
      <c r="AE224" s="53" t="s">
        <v>480</v>
      </c>
      <c r="AF224" s="53" t="s">
        <v>480</v>
      </c>
      <c r="AG224" s="53" t="s">
        <v>480</v>
      </c>
      <c r="AH224" s="53" t="s">
        <v>480</v>
      </c>
      <c r="AI224" s="53" t="s">
        <v>480</v>
      </c>
      <c r="AJ224" s="53" t="s">
        <v>480</v>
      </c>
      <c r="AK224" s="53" t="s">
        <v>480</v>
      </c>
      <c r="AL224" s="53" t="s">
        <v>480</v>
      </c>
      <c r="AM224" s="53" t="s">
        <v>480</v>
      </c>
      <c r="AQ224">
        <f t="shared" si="7"/>
        <v>1</v>
      </c>
      <c r="AR224" t="s">
        <v>40</v>
      </c>
    </row>
    <row r="225" spans="1:44" x14ac:dyDescent="0.25">
      <c r="A225" s="1">
        <f>COUNTIF('Value Matchup'!$D$356:$D$423,PASE!B225)</f>
        <v>1</v>
      </c>
      <c r="B225" t="s">
        <v>319</v>
      </c>
      <c r="C225" s="64">
        <f t="shared" si="6"/>
        <v>-0.84852941176470575</v>
      </c>
      <c r="E225" s="91" t="s">
        <v>480</v>
      </c>
      <c r="F225" s="53" t="s">
        <v>480</v>
      </c>
      <c r="G225" s="53" t="s">
        <v>480</v>
      </c>
      <c r="H225" s="53">
        <v>-0.92647058823529416</v>
      </c>
      <c r="I225" s="53" t="s">
        <v>480</v>
      </c>
      <c r="J225" s="53" t="s">
        <v>480</v>
      </c>
      <c r="K225" s="53" t="s">
        <v>480</v>
      </c>
      <c r="L225" s="53" t="s">
        <v>480</v>
      </c>
      <c r="M225" s="53" t="s">
        <v>480</v>
      </c>
      <c r="N225" s="53" t="s">
        <v>480</v>
      </c>
      <c r="O225" s="53" t="s">
        <v>480</v>
      </c>
      <c r="P225" s="53" t="s">
        <v>480</v>
      </c>
      <c r="Q225" s="53" t="s">
        <v>480</v>
      </c>
      <c r="R225" s="53" t="s">
        <v>480</v>
      </c>
      <c r="S225" s="53" t="s">
        <v>480</v>
      </c>
      <c r="T225" s="53" t="s">
        <v>480</v>
      </c>
      <c r="U225" s="53" t="s">
        <v>480</v>
      </c>
      <c r="V225" s="53" t="s">
        <v>480</v>
      </c>
      <c r="W225" s="53" t="s">
        <v>480</v>
      </c>
      <c r="X225" s="53" t="s">
        <v>480</v>
      </c>
      <c r="Y225" s="53" t="s">
        <v>480</v>
      </c>
      <c r="Z225" s="53" t="s">
        <v>480</v>
      </c>
      <c r="AA225" s="53" t="s">
        <v>480</v>
      </c>
      <c r="AB225" s="53" t="s">
        <v>480</v>
      </c>
      <c r="AC225" s="53" t="s">
        <v>480</v>
      </c>
      <c r="AD225" s="53" t="s">
        <v>480</v>
      </c>
      <c r="AE225" s="53" t="s">
        <v>480</v>
      </c>
      <c r="AF225" s="53" t="s">
        <v>480</v>
      </c>
      <c r="AG225" s="53" t="s">
        <v>480</v>
      </c>
      <c r="AH225" s="53">
        <v>-1.1176470588235294</v>
      </c>
      <c r="AI225" s="53">
        <v>-1.0808823529411764</v>
      </c>
      <c r="AJ225" s="53">
        <v>-0.5</v>
      </c>
      <c r="AK225" s="53" t="s">
        <v>480</v>
      </c>
      <c r="AL225" s="53" t="s">
        <v>480</v>
      </c>
      <c r="AM225" s="53">
        <v>-0.61764705882352944</v>
      </c>
      <c r="AQ225">
        <f t="shared" si="7"/>
        <v>1</v>
      </c>
      <c r="AR225" t="s">
        <v>319</v>
      </c>
    </row>
    <row r="226" spans="1:44" x14ac:dyDescent="0.25">
      <c r="A226" s="1">
        <f>COUNTIF('Value Matchup'!$D$356:$D$423,PASE!B226)</f>
        <v>0</v>
      </c>
      <c r="B226" t="s">
        <v>320</v>
      </c>
      <c r="C226" s="64">
        <f t="shared" si="6"/>
        <v>4.2647058823529413E-2</v>
      </c>
      <c r="E226" s="91" t="s">
        <v>480</v>
      </c>
      <c r="F226" s="53" t="s">
        <v>480</v>
      </c>
      <c r="G226" s="53" t="s">
        <v>480</v>
      </c>
      <c r="H226" s="53" t="s">
        <v>480</v>
      </c>
      <c r="I226" s="53" t="s">
        <v>480</v>
      </c>
      <c r="J226" s="53" t="s">
        <v>480</v>
      </c>
      <c r="K226" s="53">
        <v>-6.6176470588235295E-2</v>
      </c>
      <c r="L226" s="53" t="s">
        <v>480</v>
      </c>
      <c r="M226" s="53" t="s">
        <v>480</v>
      </c>
      <c r="N226" s="53" t="s">
        <v>480</v>
      </c>
      <c r="O226" s="53" t="s">
        <v>480</v>
      </c>
      <c r="P226" s="53" t="s">
        <v>480</v>
      </c>
      <c r="Q226" s="53" t="s">
        <v>480</v>
      </c>
      <c r="R226" s="53">
        <v>-0.25</v>
      </c>
      <c r="S226" s="53">
        <v>0.27941176470588236</v>
      </c>
      <c r="T226" s="53">
        <v>0.5</v>
      </c>
      <c r="U226" s="53" t="s">
        <v>480</v>
      </c>
      <c r="V226" s="53" t="s">
        <v>480</v>
      </c>
      <c r="W226" s="53" t="s">
        <v>480</v>
      </c>
      <c r="X226" s="53" t="s">
        <v>480</v>
      </c>
      <c r="Y226" s="53" t="s">
        <v>480</v>
      </c>
      <c r="Z226" s="53" t="s">
        <v>480</v>
      </c>
      <c r="AA226" s="53">
        <v>-0.25</v>
      </c>
      <c r="AB226" s="53" t="s">
        <v>480</v>
      </c>
      <c r="AC226" s="53" t="s">
        <v>480</v>
      </c>
      <c r="AD226" s="53" t="s">
        <v>480</v>
      </c>
      <c r="AE226" s="53" t="s">
        <v>480</v>
      </c>
      <c r="AF226" s="53" t="s">
        <v>480</v>
      </c>
      <c r="AG226" s="53" t="s">
        <v>480</v>
      </c>
      <c r="AH226" s="53" t="s">
        <v>480</v>
      </c>
      <c r="AI226" s="53" t="s">
        <v>480</v>
      </c>
      <c r="AJ226" s="53" t="s">
        <v>480</v>
      </c>
      <c r="AK226" s="53" t="s">
        <v>480</v>
      </c>
      <c r="AL226" s="53" t="s">
        <v>480</v>
      </c>
      <c r="AM226" s="53" t="s">
        <v>480</v>
      </c>
      <c r="AQ226">
        <f t="shared" si="7"/>
        <v>1</v>
      </c>
      <c r="AR226" t="s">
        <v>320</v>
      </c>
    </row>
    <row r="227" spans="1:44" x14ac:dyDescent="0.25">
      <c r="A227" s="1">
        <f>COUNTIF('Value Matchup'!$D$356:$D$423,PASE!B227)</f>
        <v>0</v>
      </c>
      <c r="B227" t="s">
        <v>321</v>
      </c>
      <c r="C227" s="64">
        <f t="shared" si="6"/>
        <v>-0.22963800904977377</v>
      </c>
      <c r="E227" s="91" t="s">
        <v>480</v>
      </c>
      <c r="F227" s="53">
        <v>-7.3529411764705881E-3</v>
      </c>
      <c r="G227" s="53" t="s">
        <v>480</v>
      </c>
      <c r="H227" s="53" t="s">
        <v>480</v>
      </c>
      <c r="I227" s="53" t="s">
        <v>480</v>
      </c>
      <c r="J227" s="53" t="s">
        <v>480</v>
      </c>
      <c r="K227" s="53" t="s">
        <v>480</v>
      </c>
      <c r="L227" s="53" t="s">
        <v>480</v>
      </c>
      <c r="M227" s="53" t="s">
        <v>480</v>
      </c>
      <c r="N227" s="53" t="s">
        <v>480</v>
      </c>
      <c r="O227" s="53" t="s">
        <v>480</v>
      </c>
      <c r="P227" s="53" t="s">
        <v>480</v>
      </c>
      <c r="Q227" s="53">
        <v>-0.16911764705882354</v>
      </c>
      <c r="R227" s="53">
        <v>-6.6176470588235295E-2</v>
      </c>
      <c r="S227" s="53">
        <v>-0.25</v>
      </c>
      <c r="T227" s="53" t="s">
        <v>480</v>
      </c>
      <c r="U227" s="53">
        <v>-0.625</v>
      </c>
      <c r="V227" s="53">
        <v>-0.625</v>
      </c>
      <c r="W227" s="53" t="s">
        <v>480</v>
      </c>
      <c r="X227" s="53">
        <v>-0.25</v>
      </c>
      <c r="Y227" s="53">
        <v>-0.625</v>
      </c>
      <c r="Z227" s="53" t="s">
        <v>480</v>
      </c>
      <c r="AA227" s="53" t="s">
        <v>480</v>
      </c>
      <c r="AB227" s="53" t="s">
        <v>480</v>
      </c>
      <c r="AC227" s="53">
        <v>-0.5</v>
      </c>
      <c r="AD227" s="53">
        <v>0.375</v>
      </c>
      <c r="AE227" s="53">
        <v>-0.16911764705882354</v>
      </c>
      <c r="AF227" s="53" t="s">
        <v>480</v>
      </c>
      <c r="AG227" s="53" t="s">
        <v>480</v>
      </c>
      <c r="AH227" s="53" t="s">
        <v>480</v>
      </c>
      <c r="AI227" s="53" t="s">
        <v>480</v>
      </c>
      <c r="AJ227" s="53" t="s">
        <v>480</v>
      </c>
      <c r="AK227" s="53">
        <v>-7.3529411764705881E-3</v>
      </c>
      <c r="AL227" s="53" t="s">
        <v>480</v>
      </c>
      <c r="AM227" s="53">
        <v>-6.6176470588235295E-2</v>
      </c>
      <c r="AQ227">
        <f t="shared" si="7"/>
        <v>1</v>
      </c>
      <c r="AR227" t="s">
        <v>321</v>
      </c>
    </row>
    <row r="228" spans="1:44" x14ac:dyDescent="0.25">
      <c r="A228" s="1">
        <f>COUNTIF('Value Matchup'!$D$356:$D$423,PASE!B228)</f>
        <v>0</v>
      </c>
      <c r="B228" t="s">
        <v>322</v>
      </c>
      <c r="C228" s="64">
        <f t="shared" si="6"/>
        <v>2.2058823529411742E-2</v>
      </c>
      <c r="E228" s="91" t="s">
        <v>480</v>
      </c>
      <c r="F228" s="53" t="s">
        <v>480</v>
      </c>
      <c r="G228" s="53" t="s">
        <v>480</v>
      </c>
      <c r="H228" s="53" t="s">
        <v>480</v>
      </c>
      <c r="I228" s="53" t="s">
        <v>480</v>
      </c>
      <c r="J228" s="53" t="s">
        <v>480</v>
      </c>
      <c r="K228" s="53" t="s">
        <v>480</v>
      </c>
      <c r="L228" s="53" t="s">
        <v>480</v>
      </c>
      <c r="M228" s="53">
        <v>-0.61764705882352944</v>
      </c>
      <c r="N228" s="53" t="s">
        <v>480</v>
      </c>
      <c r="O228" s="53" t="s">
        <v>480</v>
      </c>
      <c r="P228" s="53" t="s">
        <v>480</v>
      </c>
      <c r="Q228" s="53" t="s">
        <v>480</v>
      </c>
      <c r="R228" s="53" t="s">
        <v>480</v>
      </c>
      <c r="S228" s="53" t="s">
        <v>480</v>
      </c>
      <c r="T228" s="53" t="s">
        <v>480</v>
      </c>
      <c r="U228" s="53" t="s">
        <v>480</v>
      </c>
      <c r="V228" s="53" t="s">
        <v>480</v>
      </c>
      <c r="W228" s="53">
        <v>1.0735294117647058</v>
      </c>
      <c r="X228" s="53" t="s">
        <v>480</v>
      </c>
      <c r="Y228" s="53" t="s">
        <v>480</v>
      </c>
      <c r="Z228" s="53" t="s">
        <v>480</v>
      </c>
      <c r="AA228" s="53" t="s">
        <v>480</v>
      </c>
      <c r="AB228" s="53">
        <v>-1.1176470588235294</v>
      </c>
      <c r="AC228" s="53" t="s">
        <v>480</v>
      </c>
      <c r="AD228" s="53" t="s">
        <v>480</v>
      </c>
      <c r="AE228" s="53" t="s">
        <v>480</v>
      </c>
      <c r="AF228" s="53" t="s">
        <v>480</v>
      </c>
      <c r="AG228" s="53">
        <v>0.75</v>
      </c>
      <c r="AH228" s="53" t="s">
        <v>480</v>
      </c>
      <c r="AI228" s="53" t="s">
        <v>480</v>
      </c>
      <c r="AJ228" s="53" t="s">
        <v>480</v>
      </c>
      <c r="AK228" s="53" t="s">
        <v>480</v>
      </c>
      <c r="AL228" s="53" t="s">
        <v>480</v>
      </c>
      <c r="AM228" s="53" t="s">
        <v>480</v>
      </c>
      <c r="AQ228">
        <f t="shared" si="7"/>
        <v>1</v>
      </c>
      <c r="AR228" t="s">
        <v>322</v>
      </c>
    </row>
    <row r="229" spans="1:44" x14ac:dyDescent="0.25">
      <c r="A229" s="1">
        <f>COUNTIF('Value Matchup'!$D$356:$D$423,PASE!B229)</f>
        <v>0</v>
      </c>
      <c r="B229" t="s">
        <v>323</v>
      </c>
      <c r="C229" s="64">
        <f t="shared" si="6"/>
        <v>-0.2678571428571429</v>
      </c>
      <c r="E229" s="91" t="s">
        <v>480</v>
      </c>
      <c r="F229" s="53" t="s">
        <v>480</v>
      </c>
      <c r="G229" s="53" t="s">
        <v>480</v>
      </c>
      <c r="H229" s="53" t="s">
        <v>480</v>
      </c>
      <c r="I229" s="53" t="s">
        <v>480</v>
      </c>
      <c r="J229" s="53" t="s">
        <v>480</v>
      </c>
      <c r="K229" s="53" t="s">
        <v>480</v>
      </c>
      <c r="L229" s="53" t="s">
        <v>480</v>
      </c>
      <c r="M229" s="53" t="s">
        <v>480</v>
      </c>
      <c r="N229" s="53" t="s">
        <v>480</v>
      </c>
      <c r="O229" s="53" t="s">
        <v>480</v>
      </c>
      <c r="P229" s="53" t="s">
        <v>480</v>
      </c>
      <c r="Q229" s="53" t="s">
        <v>480</v>
      </c>
      <c r="R229" s="53" t="s">
        <v>480</v>
      </c>
      <c r="S229" s="53" t="s">
        <v>480</v>
      </c>
      <c r="T229" s="53" t="s">
        <v>480</v>
      </c>
      <c r="U229" s="53" t="s">
        <v>480</v>
      </c>
      <c r="V229" s="53">
        <v>-0.61764705882352944</v>
      </c>
      <c r="W229" s="53" t="s">
        <v>480</v>
      </c>
      <c r="X229" s="53">
        <v>0.375</v>
      </c>
      <c r="Y229" s="53" t="s">
        <v>480</v>
      </c>
      <c r="Z229" s="53" t="s">
        <v>480</v>
      </c>
      <c r="AA229" s="53" t="s">
        <v>480</v>
      </c>
      <c r="AB229" s="53" t="s">
        <v>480</v>
      </c>
      <c r="AC229" s="53" t="s">
        <v>480</v>
      </c>
      <c r="AD229" s="53">
        <v>-0.16911764705882354</v>
      </c>
      <c r="AE229" s="53" t="s">
        <v>480</v>
      </c>
      <c r="AF229" s="53">
        <v>-0.625</v>
      </c>
      <c r="AG229" s="53">
        <v>-0.16911764705882354</v>
      </c>
      <c r="AH229" s="53" t="s">
        <v>480</v>
      </c>
      <c r="AI229" s="53" t="s">
        <v>480</v>
      </c>
      <c r="AJ229" s="53" t="s">
        <v>480</v>
      </c>
      <c r="AK229" s="53" t="s">
        <v>480</v>
      </c>
      <c r="AL229" s="53">
        <v>-0.5</v>
      </c>
      <c r="AM229" s="53">
        <v>-0.16911764705882354</v>
      </c>
      <c r="AQ229">
        <f t="shared" si="7"/>
        <v>1</v>
      </c>
      <c r="AR229" t="s">
        <v>323</v>
      </c>
    </row>
    <row r="230" spans="1:44" x14ac:dyDescent="0.25">
      <c r="A230" s="1">
        <f>COUNTIF('Value Matchup'!$D$356:$D$423,PASE!B230)</f>
        <v>0</v>
      </c>
      <c r="B230" t="s">
        <v>83</v>
      </c>
      <c r="C230" s="64">
        <f t="shared" si="6"/>
        <v>-0.50696594427244579</v>
      </c>
      <c r="E230" s="91" t="s">
        <v>480</v>
      </c>
      <c r="F230" s="53" t="s">
        <v>480</v>
      </c>
      <c r="G230" s="53" t="s">
        <v>480</v>
      </c>
      <c r="H230" s="53">
        <v>-0.61764705882352944</v>
      </c>
      <c r="I230" s="53" t="s">
        <v>480</v>
      </c>
      <c r="J230" s="53">
        <v>0.41176470588235292</v>
      </c>
      <c r="K230" s="53">
        <v>-0.72058823529411764</v>
      </c>
      <c r="L230" s="53" t="s">
        <v>480</v>
      </c>
      <c r="M230" s="53">
        <v>-2.3455882352941178</v>
      </c>
      <c r="N230" s="53">
        <v>-0.83088235294117641</v>
      </c>
      <c r="O230" s="53">
        <v>-0.34558823529411775</v>
      </c>
      <c r="P230" s="53">
        <v>-0.54411764705882359</v>
      </c>
      <c r="Q230" s="53">
        <v>0.16911764705882359</v>
      </c>
      <c r="R230" s="53">
        <v>-0.11764705882352944</v>
      </c>
      <c r="S230" s="53">
        <v>-0.58823529411764708</v>
      </c>
      <c r="T230" s="53">
        <v>0.16911764705882359</v>
      </c>
      <c r="U230" s="53">
        <v>-0.36029411764705888</v>
      </c>
      <c r="V230" s="53">
        <v>0.16911764705882359</v>
      </c>
      <c r="W230" s="53" t="s">
        <v>480</v>
      </c>
      <c r="X230" s="53" t="s">
        <v>480</v>
      </c>
      <c r="Y230" s="53" t="s">
        <v>480</v>
      </c>
      <c r="Z230" s="53" t="s">
        <v>480</v>
      </c>
      <c r="AA230" s="53" t="s">
        <v>480</v>
      </c>
      <c r="AB230" s="53" t="s">
        <v>480</v>
      </c>
      <c r="AC230" s="53" t="s">
        <v>480</v>
      </c>
      <c r="AD230" s="53" t="s">
        <v>480</v>
      </c>
      <c r="AE230" s="53">
        <v>-0.58823529411764708</v>
      </c>
      <c r="AF230" s="53" t="s">
        <v>480</v>
      </c>
      <c r="AG230" s="53">
        <v>-8.0882352941176405E-2</v>
      </c>
      <c r="AH230" s="53" t="s">
        <v>480</v>
      </c>
      <c r="AI230" s="53">
        <v>-0.72058823529411764</v>
      </c>
      <c r="AJ230" s="53">
        <v>-1.3602941176470589</v>
      </c>
      <c r="AK230" s="53">
        <v>-0.83088235294117641</v>
      </c>
      <c r="AL230" s="53" t="s">
        <v>480</v>
      </c>
      <c r="AM230" s="53">
        <v>-0.5</v>
      </c>
      <c r="AQ230">
        <f t="shared" si="7"/>
        <v>1</v>
      </c>
      <c r="AR230" t="s">
        <v>83</v>
      </c>
    </row>
    <row r="231" spans="1:44" x14ac:dyDescent="0.25">
      <c r="A231" s="1">
        <f>COUNTIF('Value Matchup'!$D$356:$D$423,PASE!B231)</f>
        <v>0</v>
      </c>
      <c r="B231" t="s">
        <v>324</v>
      </c>
      <c r="C231" s="64">
        <f t="shared" si="6"/>
        <v>-0.16911764705882354</v>
      </c>
      <c r="E231" s="91" t="s">
        <v>480</v>
      </c>
      <c r="F231" s="53" t="s">
        <v>480</v>
      </c>
      <c r="G231" s="53" t="s">
        <v>480</v>
      </c>
      <c r="H231" s="53" t="s">
        <v>480</v>
      </c>
      <c r="I231" s="53" t="s">
        <v>480</v>
      </c>
      <c r="J231" s="53" t="s">
        <v>480</v>
      </c>
      <c r="K231" s="53" t="s">
        <v>480</v>
      </c>
      <c r="L231" s="53" t="s">
        <v>480</v>
      </c>
      <c r="M231" s="53" t="s">
        <v>480</v>
      </c>
      <c r="N231" s="53" t="s">
        <v>480</v>
      </c>
      <c r="O231" s="53" t="s">
        <v>480</v>
      </c>
      <c r="P231" s="53" t="s">
        <v>480</v>
      </c>
      <c r="Q231" s="53" t="s">
        <v>480</v>
      </c>
      <c r="R231" s="53" t="s">
        <v>480</v>
      </c>
      <c r="S231" s="53" t="s">
        <v>480</v>
      </c>
      <c r="T231" s="53" t="s">
        <v>480</v>
      </c>
      <c r="U231" s="53" t="s">
        <v>480</v>
      </c>
      <c r="V231" s="53" t="s">
        <v>480</v>
      </c>
      <c r="W231" s="53" t="s">
        <v>480</v>
      </c>
      <c r="X231" s="53" t="s">
        <v>480</v>
      </c>
      <c r="Y231" s="53" t="s">
        <v>480</v>
      </c>
      <c r="Z231" s="53" t="s">
        <v>480</v>
      </c>
      <c r="AA231" s="53" t="s">
        <v>480</v>
      </c>
      <c r="AB231" s="53">
        <v>-0.16911764705882354</v>
      </c>
      <c r="AC231" s="53" t="s">
        <v>480</v>
      </c>
      <c r="AD231" s="53" t="s">
        <v>480</v>
      </c>
      <c r="AE231" s="53" t="s">
        <v>480</v>
      </c>
      <c r="AF231" s="53" t="s">
        <v>480</v>
      </c>
      <c r="AG231" s="53" t="s">
        <v>480</v>
      </c>
      <c r="AH231" s="53" t="s">
        <v>480</v>
      </c>
      <c r="AI231" s="53" t="s">
        <v>480</v>
      </c>
      <c r="AJ231" s="53" t="s">
        <v>480</v>
      </c>
      <c r="AK231" s="53" t="s">
        <v>480</v>
      </c>
      <c r="AL231" s="53" t="s">
        <v>480</v>
      </c>
      <c r="AM231" s="53" t="s">
        <v>480</v>
      </c>
      <c r="AQ231">
        <f t="shared" si="7"/>
        <v>1</v>
      </c>
      <c r="AR231" t="s">
        <v>324</v>
      </c>
    </row>
    <row r="232" spans="1:44" x14ac:dyDescent="0.25">
      <c r="A232" s="1">
        <f>COUNTIF('Value Matchup'!$D$356:$D$423,PASE!B232)</f>
        <v>0</v>
      </c>
      <c r="B232" t="s">
        <v>325</v>
      </c>
      <c r="C232" s="64">
        <f t="shared" si="6"/>
        <v>-0.12867647058823528</v>
      </c>
      <c r="E232" s="91" t="s">
        <v>480</v>
      </c>
      <c r="F232" s="53" t="s">
        <v>480</v>
      </c>
      <c r="G232" s="53" t="s">
        <v>480</v>
      </c>
      <c r="H232" s="53" t="s">
        <v>480</v>
      </c>
      <c r="I232" s="53" t="s">
        <v>480</v>
      </c>
      <c r="J232" s="53" t="s">
        <v>480</v>
      </c>
      <c r="K232" s="53" t="s">
        <v>480</v>
      </c>
      <c r="L232" s="53" t="s">
        <v>480</v>
      </c>
      <c r="M232" s="53" t="s">
        <v>480</v>
      </c>
      <c r="N232" s="53" t="s">
        <v>480</v>
      </c>
      <c r="O232" s="53">
        <v>-0.25</v>
      </c>
      <c r="P232" s="53">
        <v>-7.3529411764705881E-3</v>
      </c>
      <c r="Q232" s="53" t="s">
        <v>480</v>
      </c>
      <c r="R232" s="53" t="s">
        <v>480</v>
      </c>
      <c r="S232" s="53" t="s">
        <v>480</v>
      </c>
      <c r="T232" s="53" t="s">
        <v>480</v>
      </c>
      <c r="U232" s="53" t="s">
        <v>480</v>
      </c>
      <c r="V232" s="53" t="s">
        <v>480</v>
      </c>
      <c r="W232" s="53" t="s">
        <v>480</v>
      </c>
      <c r="X232" s="53" t="s">
        <v>480</v>
      </c>
      <c r="Y232" s="53" t="s">
        <v>480</v>
      </c>
      <c r="Z232" s="53" t="s">
        <v>480</v>
      </c>
      <c r="AA232" s="53" t="s">
        <v>480</v>
      </c>
      <c r="AB232" s="53" t="s">
        <v>480</v>
      </c>
      <c r="AC232" s="53" t="s">
        <v>480</v>
      </c>
      <c r="AD232" s="53" t="s">
        <v>480</v>
      </c>
      <c r="AE232" s="53" t="s">
        <v>480</v>
      </c>
      <c r="AF232" s="53" t="s">
        <v>480</v>
      </c>
      <c r="AG232" s="53" t="s">
        <v>480</v>
      </c>
      <c r="AH232" s="53" t="s">
        <v>480</v>
      </c>
      <c r="AI232" s="53" t="s">
        <v>480</v>
      </c>
      <c r="AJ232" s="53" t="s">
        <v>480</v>
      </c>
      <c r="AK232" s="53" t="s">
        <v>480</v>
      </c>
      <c r="AL232" s="53" t="s">
        <v>480</v>
      </c>
      <c r="AM232" s="53" t="s">
        <v>480</v>
      </c>
      <c r="AQ232">
        <f t="shared" si="7"/>
        <v>1</v>
      </c>
      <c r="AR232" t="s">
        <v>325</v>
      </c>
    </row>
    <row r="233" spans="1:44" x14ac:dyDescent="0.25">
      <c r="A233" s="1">
        <f>COUNTIF('Value Matchup'!$D$356:$D$423,PASE!B233)</f>
        <v>0</v>
      </c>
      <c r="B233" t="s">
        <v>326</v>
      </c>
      <c r="C233" s="64">
        <f t="shared" si="6"/>
        <v>-7.2478991596638658E-3</v>
      </c>
      <c r="E233" s="91">
        <v>-7.1428571428571426E-3</v>
      </c>
      <c r="F233" s="53" t="s">
        <v>480</v>
      </c>
      <c r="G233" s="53" t="s">
        <v>480</v>
      </c>
      <c r="H233" s="53" t="s">
        <v>480</v>
      </c>
      <c r="I233" s="53" t="s">
        <v>480</v>
      </c>
      <c r="J233" s="53" t="s">
        <v>480</v>
      </c>
      <c r="K233" s="53" t="s">
        <v>480</v>
      </c>
      <c r="L233" s="53" t="s">
        <v>480</v>
      </c>
      <c r="M233" s="53" t="s">
        <v>480</v>
      </c>
      <c r="N233" s="53" t="s">
        <v>480</v>
      </c>
      <c r="O233" s="53" t="s">
        <v>480</v>
      </c>
      <c r="P233" s="53" t="s">
        <v>480</v>
      </c>
      <c r="Q233" s="53" t="s">
        <v>480</v>
      </c>
      <c r="R233" s="53" t="s">
        <v>480</v>
      </c>
      <c r="S233" s="53" t="s">
        <v>480</v>
      </c>
      <c r="T233" s="53" t="s">
        <v>480</v>
      </c>
      <c r="U233" s="53" t="s">
        <v>480</v>
      </c>
      <c r="V233" s="53" t="s">
        <v>480</v>
      </c>
      <c r="W233" s="53" t="s">
        <v>480</v>
      </c>
      <c r="X233" s="53" t="s">
        <v>480</v>
      </c>
      <c r="Y233" s="53" t="s">
        <v>480</v>
      </c>
      <c r="Z233" s="53">
        <v>-7.3529411764705881E-3</v>
      </c>
      <c r="AA233" s="53" t="s">
        <v>480</v>
      </c>
      <c r="AB233" s="53" t="s">
        <v>480</v>
      </c>
      <c r="AC233" s="53" t="s">
        <v>480</v>
      </c>
      <c r="AD233" s="53" t="s">
        <v>480</v>
      </c>
      <c r="AE233" s="53" t="s">
        <v>480</v>
      </c>
      <c r="AF233" s="53" t="s">
        <v>480</v>
      </c>
      <c r="AG233" s="53" t="s">
        <v>480</v>
      </c>
      <c r="AH233" s="53" t="s">
        <v>480</v>
      </c>
      <c r="AI233" s="53" t="s">
        <v>480</v>
      </c>
      <c r="AJ233" s="53" t="s">
        <v>480</v>
      </c>
      <c r="AK233" s="53" t="s">
        <v>480</v>
      </c>
      <c r="AL233" s="53" t="s">
        <v>480</v>
      </c>
      <c r="AM233" s="53" t="s">
        <v>480</v>
      </c>
      <c r="AQ233">
        <f t="shared" si="7"/>
        <v>1</v>
      </c>
      <c r="AR233" t="s">
        <v>326</v>
      </c>
    </row>
    <row r="234" spans="1:44" x14ac:dyDescent="0.25">
      <c r="A234" s="1">
        <f>COUNTIF('Value Matchup'!$D$356:$D$423,PASE!B234)</f>
        <v>0</v>
      </c>
      <c r="B234" t="s">
        <v>327</v>
      </c>
      <c r="C234" s="64">
        <f t="shared" si="6"/>
        <v>0</v>
      </c>
      <c r="E234" s="91" t="s">
        <v>480</v>
      </c>
      <c r="F234" s="53" t="s">
        <v>480</v>
      </c>
      <c r="G234" s="53" t="s">
        <v>480</v>
      </c>
      <c r="H234" s="53" t="s">
        <v>480</v>
      </c>
      <c r="I234" s="53" t="s">
        <v>480</v>
      </c>
      <c r="J234" s="53" t="s">
        <v>480</v>
      </c>
      <c r="K234" s="53" t="s">
        <v>480</v>
      </c>
      <c r="L234" s="53" t="s">
        <v>480</v>
      </c>
      <c r="M234" s="53" t="s">
        <v>480</v>
      </c>
      <c r="N234" s="53" t="s">
        <v>480</v>
      </c>
      <c r="O234" s="53" t="s">
        <v>480</v>
      </c>
      <c r="P234" s="53" t="s">
        <v>480</v>
      </c>
      <c r="Q234" s="53" t="s">
        <v>480</v>
      </c>
      <c r="R234" s="53" t="s">
        <v>480</v>
      </c>
      <c r="S234" s="53" t="s">
        <v>480</v>
      </c>
      <c r="T234" s="53" t="s">
        <v>480</v>
      </c>
      <c r="U234" s="53" t="s">
        <v>480</v>
      </c>
      <c r="V234" s="53" t="s">
        <v>480</v>
      </c>
      <c r="W234" s="53" t="s">
        <v>480</v>
      </c>
      <c r="X234" s="53" t="s">
        <v>480</v>
      </c>
      <c r="Y234" s="53" t="s">
        <v>480</v>
      </c>
      <c r="Z234" s="53" t="s">
        <v>480</v>
      </c>
      <c r="AA234" s="53" t="s">
        <v>480</v>
      </c>
      <c r="AB234" s="53" t="s">
        <v>480</v>
      </c>
      <c r="AC234" s="53" t="s">
        <v>480</v>
      </c>
      <c r="AD234" s="53" t="s">
        <v>480</v>
      </c>
      <c r="AE234" s="53" t="s">
        <v>480</v>
      </c>
      <c r="AF234" s="53" t="s">
        <v>480</v>
      </c>
      <c r="AG234" s="53" t="s">
        <v>480</v>
      </c>
      <c r="AH234" s="53" t="s">
        <v>480</v>
      </c>
      <c r="AI234" s="53" t="s">
        <v>480</v>
      </c>
      <c r="AJ234" s="53" t="s">
        <v>480</v>
      </c>
      <c r="AK234" s="53" t="s">
        <v>480</v>
      </c>
      <c r="AL234" s="53" t="s">
        <v>480</v>
      </c>
      <c r="AM234" s="53" t="s">
        <v>480</v>
      </c>
      <c r="AQ234">
        <f t="shared" si="7"/>
        <v>1</v>
      </c>
      <c r="AR234" t="s">
        <v>327</v>
      </c>
    </row>
    <row r="235" spans="1:44" x14ac:dyDescent="0.25">
      <c r="A235" s="1">
        <f>COUNTIF('Value Matchup'!$D$356:$D$423,PASE!B235)</f>
        <v>0</v>
      </c>
      <c r="B235" t="s">
        <v>91</v>
      </c>
      <c r="C235" s="64">
        <f t="shared" si="6"/>
        <v>-0.2232620320855615</v>
      </c>
      <c r="E235" s="91" t="s">
        <v>480</v>
      </c>
      <c r="F235" s="53" t="s">
        <v>480</v>
      </c>
      <c r="G235" s="53">
        <v>-0.5</v>
      </c>
      <c r="H235" s="53" t="s">
        <v>480</v>
      </c>
      <c r="I235" s="53" t="s">
        <v>480</v>
      </c>
      <c r="J235" s="53" t="s">
        <v>480</v>
      </c>
      <c r="K235" s="53" t="s">
        <v>480</v>
      </c>
      <c r="L235" s="53" t="s">
        <v>480</v>
      </c>
      <c r="M235" s="53">
        <v>-0.25</v>
      </c>
      <c r="N235" s="53" t="s">
        <v>480</v>
      </c>
      <c r="O235" s="53" t="s">
        <v>480</v>
      </c>
      <c r="P235" s="53" t="s">
        <v>480</v>
      </c>
      <c r="Q235" s="53" t="s">
        <v>480</v>
      </c>
      <c r="R235" s="53" t="s">
        <v>480</v>
      </c>
      <c r="S235" s="53" t="s">
        <v>480</v>
      </c>
      <c r="T235" s="53">
        <v>-0.16911764705882354</v>
      </c>
      <c r="U235" s="53" t="s">
        <v>480</v>
      </c>
      <c r="V235" s="53" t="s">
        <v>480</v>
      </c>
      <c r="W235" s="53">
        <v>-6.6176470588235295E-2</v>
      </c>
      <c r="X235" s="53" t="s">
        <v>480</v>
      </c>
      <c r="Y235" s="53" t="s">
        <v>480</v>
      </c>
      <c r="Z235" s="53">
        <v>-0.11764705882352944</v>
      </c>
      <c r="AA235" s="53">
        <v>-0.5</v>
      </c>
      <c r="AB235" s="53">
        <v>0.75</v>
      </c>
      <c r="AC235" s="53" t="s">
        <v>480</v>
      </c>
      <c r="AD235" s="53" t="s">
        <v>480</v>
      </c>
      <c r="AE235" s="53" t="s">
        <v>480</v>
      </c>
      <c r="AF235" s="53">
        <v>-0.625</v>
      </c>
      <c r="AG235" s="53">
        <v>-0.72058823529411764</v>
      </c>
      <c r="AH235" s="53">
        <v>-0.25</v>
      </c>
      <c r="AI235" s="53">
        <v>-7.3529411764705881E-3</v>
      </c>
      <c r="AJ235" s="53" t="s">
        <v>480</v>
      </c>
      <c r="AK235" s="53" t="s">
        <v>480</v>
      </c>
      <c r="AL235" s="53" t="s">
        <v>480</v>
      </c>
      <c r="AM235" s="53" t="s">
        <v>480</v>
      </c>
      <c r="AQ235">
        <f t="shared" si="7"/>
        <v>1</v>
      </c>
      <c r="AR235" t="s">
        <v>91</v>
      </c>
    </row>
    <row r="236" spans="1:44" x14ac:dyDescent="0.25">
      <c r="A236" s="1">
        <f>COUNTIF('Value Matchup'!$D$356:$D$423,PASE!B236)</f>
        <v>0</v>
      </c>
      <c r="B236" t="s">
        <v>56</v>
      </c>
      <c r="C236" s="64">
        <f t="shared" si="6"/>
        <v>-6.4950980392156854E-2</v>
      </c>
      <c r="E236" s="91" t="s">
        <v>480</v>
      </c>
      <c r="F236" s="53">
        <v>-0.61764705882352944</v>
      </c>
      <c r="G236" s="53">
        <v>-0.625</v>
      </c>
      <c r="H236" s="53">
        <v>0.41176470588235292</v>
      </c>
      <c r="I236" s="53">
        <v>-1.0808823529411764</v>
      </c>
      <c r="J236" s="53">
        <v>-0.625</v>
      </c>
      <c r="K236" s="53" t="s">
        <v>480</v>
      </c>
      <c r="L236" s="53" t="s">
        <v>480</v>
      </c>
      <c r="M236" s="53" t="s">
        <v>480</v>
      </c>
      <c r="N236" s="53" t="s">
        <v>480</v>
      </c>
      <c r="O236" s="53" t="s">
        <v>480</v>
      </c>
      <c r="P236" s="53" t="s">
        <v>480</v>
      </c>
      <c r="Q236" s="53" t="s">
        <v>480</v>
      </c>
      <c r="R236" s="53" t="s">
        <v>480</v>
      </c>
      <c r="S236" s="53" t="s">
        <v>480</v>
      </c>
      <c r="T236" s="53">
        <v>-1.1176470588235294</v>
      </c>
      <c r="U236" s="53" t="s">
        <v>480</v>
      </c>
      <c r="V236" s="53" t="s">
        <v>480</v>
      </c>
      <c r="W236" s="53">
        <v>-0.61764705882352944</v>
      </c>
      <c r="X236" s="53" t="s">
        <v>480</v>
      </c>
      <c r="Y236" s="53" t="s">
        <v>480</v>
      </c>
      <c r="Z236" s="53" t="s">
        <v>480</v>
      </c>
      <c r="AA236" s="53">
        <v>2.3823529411764706</v>
      </c>
      <c r="AB236" s="53" t="s">
        <v>480</v>
      </c>
      <c r="AC236" s="53" t="s">
        <v>480</v>
      </c>
      <c r="AD236" s="53">
        <v>-0.72058823529411764</v>
      </c>
      <c r="AE236" s="53" t="s">
        <v>480</v>
      </c>
      <c r="AF236" s="53" t="s">
        <v>480</v>
      </c>
      <c r="AG236" s="53" t="s">
        <v>480</v>
      </c>
      <c r="AH236" s="53">
        <v>-0.58823529411764708</v>
      </c>
      <c r="AI236" s="53">
        <v>-0.5</v>
      </c>
      <c r="AJ236" s="53" t="s">
        <v>480</v>
      </c>
      <c r="AK236" s="53">
        <v>2.9191176470588234</v>
      </c>
      <c r="AL236" s="53" t="s">
        <v>480</v>
      </c>
      <c r="AM236" s="53" t="s">
        <v>480</v>
      </c>
      <c r="AQ236">
        <f t="shared" si="7"/>
        <v>1</v>
      </c>
      <c r="AR236" t="s">
        <v>56</v>
      </c>
    </row>
    <row r="237" spans="1:44" x14ac:dyDescent="0.25">
      <c r="A237" s="1">
        <f>COUNTIF('Value Matchup'!$D$356:$D$423,PASE!B237)</f>
        <v>1</v>
      </c>
      <c r="B237" t="s">
        <v>29</v>
      </c>
      <c r="C237" s="64">
        <f t="shared" si="6"/>
        <v>-0.2444974143503556</v>
      </c>
      <c r="E237" s="91">
        <v>1.1357142857142857</v>
      </c>
      <c r="F237" s="53">
        <v>-0.36029411764705888</v>
      </c>
      <c r="G237" s="53">
        <v>0.45588235294117641</v>
      </c>
      <c r="H237" s="53">
        <v>-1.1176470588235294</v>
      </c>
      <c r="I237" s="53">
        <v>-0.58823529411764708</v>
      </c>
      <c r="J237" s="53" t="s">
        <v>480</v>
      </c>
      <c r="K237" s="53" t="s">
        <v>480</v>
      </c>
      <c r="L237" s="53">
        <v>0.38235294117647056</v>
      </c>
      <c r="M237" s="53">
        <v>-0.83088235294117641</v>
      </c>
      <c r="N237" s="53">
        <v>0.45588235294117641</v>
      </c>
      <c r="O237" s="53">
        <v>0.88235294117647056</v>
      </c>
      <c r="P237" s="53">
        <v>-8.0882352941176405E-2</v>
      </c>
      <c r="Q237" s="53">
        <v>0.41176470588235292</v>
      </c>
      <c r="R237" s="53" t="s">
        <v>480</v>
      </c>
      <c r="S237" s="53" t="s">
        <v>480</v>
      </c>
      <c r="T237" s="53" t="s">
        <v>480</v>
      </c>
      <c r="U237" s="53">
        <v>0.41176470588235292</v>
      </c>
      <c r="V237" s="53" t="s">
        <v>480</v>
      </c>
      <c r="W237" s="53" t="s">
        <v>480</v>
      </c>
      <c r="X237" s="53">
        <v>1.9191176470588236</v>
      </c>
      <c r="Y237" s="53">
        <v>1.3823529411764706</v>
      </c>
      <c r="Z237" s="53">
        <v>-0.36029411764705888</v>
      </c>
      <c r="AA237" s="53">
        <v>0.27941176470588236</v>
      </c>
      <c r="AB237" s="53">
        <v>-2.3455882352941178</v>
      </c>
      <c r="AC237" s="53">
        <v>-0.83088235294117641</v>
      </c>
      <c r="AD237" s="53">
        <v>-0.34558823529411775</v>
      </c>
      <c r="AE237" s="53">
        <v>-0.58823529411764708</v>
      </c>
      <c r="AF237" s="53" t="s">
        <v>480</v>
      </c>
      <c r="AG237" s="53">
        <v>-0.92647058823529416</v>
      </c>
      <c r="AH237" s="53">
        <v>-1.3602941176470589</v>
      </c>
      <c r="AI237" s="53" t="s">
        <v>480</v>
      </c>
      <c r="AJ237" s="53">
        <v>-1.3455882352941178</v>
      </c>
      <c r="AK237" s="53">
        <v>-0.83088235294117641</v>
      </c>
      <c r="AL237" s="53">
        <v>-1.0808823529411764</v>
      </c>
      <c r="AM237" s="53">
        <v>-1.0808823529411764</v>
      </c>
      <c r="AQ237">
        <f t="shared" si="7"/>
        <v>1</v>
      </c>
      <c r="AR237" t="s">
        <v>29</v>
      </c>
    </row>
    <row r="238" spans="1:44" x14ac:dyDescent="0.25">
      <c r="A238" s="1">
        <f>COUNTIF('Value Matchup'!$D$356:$D$423,PASE!B238)</f>
        <v>0</v>
      </c>
      <c r="B238" t="s">
        <v>491</v>
      </c>
      <c r="C238" s="64">
        <f t="shared" si="6"/>
        <v>0</v>
      </c>
      <c r="E238" s="91" t="s">
        <v>480</v>
      </c>
      <c r="F238" s="53" t="s">
        <v>480</v>
      </c>
      <c r="G238" s="53" t="s">
        <v>480</v>
      </c>
      <c r="H238" s="53" t="s">
        <v>480</v>
      </c>
      <c r="I238" s="53" t="s">
        <v>480</v>
      </c>
      <c r="J238" s="53" t="s">
        <v>480</v>
      </c>
      <c r="K238" s="53" t="s">
        <v>480</v>
      </c>
      <c r="L238" s="53" t="s">
        <v>480</v>
      </c>
      <c r="M238" s="53" t="s">
        <v>480</v>
      </c>
      <c r="N238" s="53" t="s">
        <v>480</v>
      </c>
      <c r="O238" s="53" t="s">
        <v>480</v>
      </c>
      <c r="P238" s="53" t="s">
        <v>480</v>
      </c>
      <c r="Q238" s="53" t="s">
        <v>480</v>
      </c>
      <c r="R238" s="53" t="s">
        <v>480</v>
      </c>
      <c r="S238" s="53" t="s">
        <v>480</v>
      </c>
      <c r="T238" s="53" t="s">
        <v>480</v>
      </c>
      <c r="U238" s="53" t="s">
        <v>480</v>
      </c>
      <c r="V238" s="53" t="s">
        <v>480</v>
      </c>
      <c r="W238" s="53" t="s">
        <v>480</v>
      </c>
      <c r="X238" s="53" t="s">
        <v>480</v>
      </c>
      <c r="Y238" s="53" t="s">
        <v>480</v>
      </c>
      <c r="Z238" s="53" t="s">
        <v>480</v>
      </c>
      <c r="AA238" s="53" t="s">
        <v>480</v>
      </c>
      <c r="AB238" s="53" t="s">
        <v>480</v>
      </c>
      <c r="AC238" s="53" t="s">
        <v>480</v>
      </c>
      <c r="AD238" s="53" t="s">
        <v>480</v>
      </c>
      <c r="AE238" s="53" t="s">
        <v>480</v>
      </c>
      <c r="AF238" s="53" t="s">
        <v>480</v>
      </c>
      <c r="AG238" s="53" t="s">
        <v>480</v>
      </c>
      <c r="AH238" s="53" t="s">
        <v>480</v>
      </c>
      <c r="AI238" s="53" t="s">
        <v>480</v>
      </c>
      <c r="AJ238" s="53" t="s">
        <v>480</v>
      </c>
      <c r="AK238" s="53" t="s">
        <v>480</v>
      </c>
      <c r="AL238" s="53" t="s">
        <v>480</v>
      </c>
      <c r="AM238" s="53" t="s">
        <v>480</v>
      </c>
      <c r="AQ238">
        <f t="shared" si="7"/>
        <v>1</v>
      </c>
      <c r="AR238" t="s">
        <v>491</v>
      </c>
    </row>
    <row r="239" spans="1:44" x14ac:dyDescent="0.25">
      <c r="A239" s="1">
        <f>COUNTIF('Value Matchup'!$D$356:$D$423,PASE!B239)</f>
        <v>0</v>
      </c>
      <c r="B239" t="s">
        <v>328</v>
      </c>
      <c r="C239" s="64">
        <f t="shared" si="6"/>
        <v>0</v>
      </c>
      <c r="E239" s="91" t="s">
        <v>480</v>
      </c>
      <c r="F239" s="53" t="s">
        <v>480</v>
      </c>
      <c r="G239" s="53" t="s">
        <v>480</v>
      </c>
      <c r="H239" s="53" t="s">
        <v>480</v>
      </c>
      <c r="I239" s="53" t="s">
        <v>480</v>
      </c>
      <c r="J239" s="53" t="s">
        <v>480</v>
      </c>
      <c r="K239" s="53" t="s">
        <v>480</v>
      </c>
      <c r="L239" s="53" t="s">
        <v>480</v>
      </c>
      <c r="M239" s="53" t="s">
        <v>480</v>
      </c>
      <c r="N239" s="53" t="s">
        <v>480</v>
      </c>
      <c r="O239" s="53" t="s">
        <v>480</v>
      </c>
      <c r="P239" s="53" t="s">
        <v>480</v>
      </c>
      <c r="Q239" s="53" t="s">
        <v>480</v>
      </c>
      <c r="R239" s="53" t="s">
        <v>480</v>
      </c>
      <c r="S239" s="53" t="s">
        <v>480</v>
      </c>
      <c r="T239" s="53" t="s">
        <v>480</v>
      </c>
      <c r="U239" s="53" t="s">
        <v>480</v>
      </c>
      <c r="V239" s="53" t="s">
        <v>480</v>
      </c>
      <c r="W239" s="53" t="s">
        <v>480</v>
      </c>
      <c r="X239" s="53" t="s">
        <v>480</v>
      </c>
      <c r="Y239" s="53" t="s">
        <v>480</v>
      </c>
      <c r="Z239" s="53" t="s">
        <v>480</v>
      </c>
      <c r="AA239" s="53" t="s">
        <v>480</v>
      </c>
      <c r="AB239" s="53" t="s">
        <v>480</v>
      </c>
      <c r="AC239" s="53" t="s">
        <v>480</v>
      </c>
      <c r="AD239" s="53" t="s">
        <v>480</v>
      </c>
      <c r="AE239" s="53" t="s">
        <v>480</v>
      </c>
      <c r="AF239" s="53" t="s">
        <v>480</v>
      </c>
      <c r="AG239" s="53" t="s">
        <v>480</v>
      </c>
      <c r="AH239" s="53" t="s">
        <v>480</v>
      </c>
      <c r="AI239" s="53" t="s">
        <v>480</v>
      </c>
      <c r="AJ239" s="53" t="s">
        <v>480</v>
      </c>
      <c r="AK239" s="53" t="s">
        <v>480</v>
      </c>
      <c r="AL239" s="53" t="s">
        <v>480</v>
      </c>
      <c r="AM239" s="53" t="s">
        <v>480</v>
      </c>
      <c r="AQ239">
        <f t="shared" si="7"/>
        <v>1</v>
      </c>
      <c r="AR239" t="s">
        <v>328</v>
      </c>
    </row>
    <row r="240" spans="1:44" x14ac:dyDescent="0.25">
      <c r="A240" s="1">
        <f>COUNTIF('Value Matchup'!$D$356:$D$423,PASE!B240)</f>
        <v>0</v>
      </c>
      <c r="B240" t="s">
        <v>329</v>
      </c>
      <c r="C240" s="64">
        <f t="shared" si="6"/>
        <v>-7.3529411764705873E-3</v>
      </c>
      <c r="E240" s="91" t="s">
        <v>480</v>
      </c>
      <c r="F240" s="53">
        <v>-7.3529411764705881E-3</v>
      </c>
      <c r="G240" s="53" t="s">
        <v>480</v>
      </c>
      <c r="H240" s="53" t="s">
        <v>480</v>
      </c>
      <c r="I240" s="53" t="s">
        <v>480</v>
      </c>
      <c r="J240" s="53" t="s">
        <v>480</v>
      </c>
      <c r="K240" s="53" t="s">
        <v>480</v>
      </c>
      <c r="L240" s="53" t="s">
        <v>480</v>
      </c>
      <c r="M240" s="53" t="s">
        <v>480</v>
      </c>
      <c r="N240" s="53" t="s">
        <v>480</v>
      </c>
      <c r="O240" s="53">
        <v>-7.3529411764705881E-3</v>
      </c>
      <c r="P240" s="53" t="s">
        <v>480</v>
      </c>
      <c r="Q240" s="53" t="s">
        <v>480</v>
      </c>
      <c r="R240" s="53" t="s">
        <v>480</v>
      </c>
      <c r="S240" s="53" t="s">
        <v>480</v>
      </c>
      <c r="T240" s="53" t="s">
        <v>480</v>
      </c>
      <c r="U240" s="53" t="s">
        <v>480</v>
      </c>
      <c r="V240" s="53" t="s">
        <v>480</v>
      </c>
      <c r="W240" s="53" t="s">
        <v>480</v>
      </c>
      <c r="X240" s="53" t="s">
        <v>480</v>
      </c>
      <c r="Y240" s="53" t="s">
        <v>480</v>
      </c>
      <c r="Z240" s="53">
        <v>-7.3529411764705881E-3</v>
      </c>
      <c r="AA240" s="53" t="s">
        <v>480</v>
      </c>
      <c r="AB240" s="53" t="s">
        <v>480</v>
      </c>
      <c r="AC240" s="53" t="s">
        <v>480</v>
      </c>
      <c r="AD240" s="53" t="s">
        <v>480</v>
      </c>
      <c r="AE240" s="53" t="s">
        <v>480</v>
      </c>
      <c r="AF240" s="53" t="s">
        <v>480</v>
      </c>
      <c r="AG240" s="53" t="s">
        <v>480</v>
      </c>
      <c r="AH240" s="53" t="s">
        <v>480</v>
      </c>
      <c r="AI240" s="53" t="s">
        <v>480</v>
      </c>
      <c r="AJ240" s="53" t="s">
        <v>480</v>
      </c>
      <c r="AK240" s="53" t="s">
        <v>480</v>
      </c>
      <c r="AL240" s="53" t="s">
        <v>480</v>
      </c>
      <c r="AM240" s="53" t="s">
        <v>480</v>
      </c>
      <c r="AQ240">
        <f t="shared" si="7"/>
        <v>1</v>
      </c>
      <c r="AR240" t="s">
        <v>329</v>
      </c>
    </row>
    <row r="241" spans="1:44" x14ac:dyDescent="0.25">
      <c r="A241" s="1">
        <f>COUNTIF('Value Matchup'!$D$356:$D$423,PASE!B241)</f>
        <v>0</v>
      </c>
      <c r="B241" t="s">
        <v>96</v>
      </c>
      <c r="C241" s="64">
        <f t="shared" si="6"/>
        <v>0.47058823529411759</v>
      </c>
      <c r="E241" s="91" t="s">
        <v>480</v>
      </c>
      <c r="F241" s="53">
        <v>7.3529411764705843E-2</v>
      </c>
      <c r="G241" s="53">
        <v>0.375</v>
      </c>
      <c r="H241" s="53" t="s">
        <v>480</v>
      </c>
      <c r="I241" s="53" t="s">
        <v>480</v>
      </c>
      <c r="J241" s="53" t="s">
        <v>480</v>
      </c>
      <c r="K241" s="53" t="s">
        <v>480</v>
      </c>
      <c r="L241" s="53" t="s">
        <v>480</v>
      </c>
      <c r="M241" s="53" t="s">
        <v>480</v>
      </c>
      <c r="N241" s="53" t="s">
        <v>480</v>
      </c>
      <c r="O241" s="53" t="s">
        <v>480</v>
      </c>
      <c r="P241" s="53" t="s">
        <v>480</v>
      </c>
      <c r="Q241" s="53" t="s">
        <v>480</v>
      </c>
      <c r="R241" s="53" t="s">
        <v>480</v>
      </c>
      <c r="S241" s="53" t="s">
        <v>480</v>
      </c>
      <c r="T241" s="53" t="s">
        <v>480</v>
      </c>
      <c r="U241" s="53" t="s">
        <v>480</v>
      </c>
      <c r="V241" s="53" t="s">
        <v>480</v>
      </c>
      <c r="W241" s="53" t="s">
        <v>480</v>
      </c>
      <c r="X241" s="53" t="s">
        <v>480</v>
      </c>
      <c r="Y241" s="53">
        <v>-0.5</v>
      </c>
      <c r="Z241" s="53">
        <v>2.2794117647058822</v>
      </c>
      <c r="AA241" s="53">
        <v>-0.58823529411764708</v>
      </c>
      <c r="AB241" s="53" t="s">
        <v>480</v>
      </c>
      <c r="AC241" s="53" t="s">
        <v>480</v>
      </c>
      <c r="AD241" s="53" t="s">
        <v>480</v>
      </c>
      <c r="AE241" s="53">
        <v>0.27941176470588236</v>
      </c>
      <c r="AF241" s="53" t="s">
        <v>480</v>
      </c>
      <c r="AG241" s="53" t="s">
        <v>480</v>
      </c>
      <c r="AH241" s="53" t="s">
        <v>480</v>
      </c>
      <c r="AI241" s="53" t="s">
        <v>480</v>
      </c>
      <c r="AJ241" s="53">
        <v>1.375</v>
      </c>
      <c r="AK241" s="53" t="s">
        <v>480</v>
      </c>
      <c r="AL241" s="53" t="s">
        <v>480</v>
      </c>
      <c r="AM241" s="53" t="s">
        <v>480</v>
      </c>
      <c r="AQ241">
        <f t="shared" si="7"/>
        <v>1</v>
      </c>
      <c r="AR241" t="s">
        <v>96</v>
      </c>
    </row>
    <row r="242" spans="1:44" x14ac:dyDescent="0.25">
      <c r="A242" s="1">
        <f>COUNTIF('Value Matchup'!$D$356:$D$423,PASE!B242)</f>
        <v>0</v>
      </c>
      <c r="B242" t="s">
        <v>330</v>
      </c>
      <c r="C242" s="64">
        <f t="shared" si="6"/>
        <v>0</v>
      </c>
      <c r="E242" s="91" t="s">
        <v>480</v>
      </c>
      <c r="F242" s="53" t="s">
        <v>480</v>
      </c>
      <c r="G242" s="53" t="s">
        <v>480</v>
      </c>
      <c r="H242" s="53" t="s">
        <v>480</v>
      </c>
      <c r="I242" s="53" t="s">
        <v>480</v>
      </c>
      <c r="J242" s="53" t="s">
        <v>480</v>
      </c>
      <c r="K242" s="53" t="s">
        <v>480</v>
      </c>
      <c r="L242" s="53" t="s">
        <v>480</v>
      </c>
      <c r="M242" s="53" t="s">
        <v>480</v>
      </c>
      <c r="N242" s="53" t="s">
        <v>480</v>
      </c>
      <c r="O242" s="53" t="s">
        <v>480</v>
      </c>
      <c r="P242" s="53" t="s">
        <v>480</v>
      </c>
      <c r="Q242" s="53" t="s">
        <v>480</v>
      </c>
      <c r="R242" s="53" t="s">
        <v>480</v>
      </c>
      <c r="S242" s="53" t="s">
        <v>480</v>
      </c>
      <c r="T242" s="53" t="s">
        <v>480</v>
      </c>
      <c r="U242" s="53" t="s">
        <v>480</v>
      </c>
      <c r="V242" s="53" t="s">
        <v>480</v>
      </c>
      <c r="W242" s="53" t="s">
        <v>480</v>
      </c>
      <c r="X242" s="53" t="s">
        <v>480</v>
      </c>
      <c r="Y242" s="53" t="s">
        <v>480</v>
      </c>
      <c r="Z242" s="53" t="s">
        <v>480</v>
      </c>
      <c r="AA242" s="53" t="s">
        <v>480</v>
      </c>
      <c r="AB242" s="53" t="s">
        <v>480</v>
      </c>
      <c r="AC242" s="53" t="s">
        <v>480</v>
      </c>
      <c r="AD242" s="53" t="s">
        <v>480</v>
      </c>
      <c r="AE242" s="53" t="s">
        <v>480</v>
      </c>
      <c r="AF242" s="53" t="s">
        <v>480</v>
      </c>
      <c r="AG242" s="53" t="s">
        <v>480</v>
      </c>
      <c r="AH242" s="53" t="s">
        <v>480</v>
      </c>
      <c r="AI242" s="53" t="s">
        <v>480</v>
      </c>
      <c r="AJ242" s="53" t="s">
        <v>480</v>
      </c>
      <c r="AK242" s="53" t="s">
        <v>480</v>
      </c>
      <c r="AL242" s="53" t="s">
        <v>480</v>
      </c>
      <c r="AM242" s="53" t="s">
        <v>480</v>
      </c>
      <c r="AQ242">
        <f t="shared" si="7"/>
        <v>1</v>
      </c>
      <c r="AR242" t="s">
        <v>330</v>
      </c>
    </row>
    <row r="243" spans="1:44" x14ac:dyDescent="0.25">
      <c r="A243" s="1">
        <f>COUNTIF('Value Matchup'!$D$356:$D$423,PASE!B243)</f>
        <v>0</v>
      </c>
      <c r="B243" t="s">
        <v>331</v>
      </c>
      <c r="C243" s="64">
        <f t="shared" si="6"/>
        <v>0.33363970588235292</v>
      </c>
      <c r="E243" s="91" t="s">
        <v>480</v>
      </c>
      <c r="F243" s="53" t="s">
        <v>480</v>
      </c>
      <c r="G243" s="53" t="s">
        <v>480</v>
      </c>
      <c r="H243" s="53" t="s">
        <v>480</v>
      </c>
      <c r="I243" s="53" t="s">
        <v>480</v>
      </c>
      <c r="J243" s="53" t="s">
        <v>480</v>
      </c>
      <c r="K243" s="53" t="s">
        <v>480</v>
      </c>
      <c r="L243" s="53" t="s">
        <v>480</v>
      </c>
      <c r="M243" s="53">
        <v>1.5</v>
      </c>
      <c r="N243" s="53">
        <v>-0.92647058823529416</v>
      </c>
      <c r="O243" s="53" t="s">
        <v>480</v>
      </c>
      <c r="P243" s="53" t="s">
        <v>480</v>
      </c>
      <c r="Q243" s="53" t="s">
        <v>480</v>
      </c>
      <c r="R243" s="53" t="s">
        <v>480</v>
      </c>
      <c r="S243" s="53" t="s">
        <v>480</v>
      </c>
      <c r="T243" s="53">
        <v>-0.625</v>
      </c>
      <c r="U243" s="53" t="s">
        <v>480</v>
      </c>
      <c r="V243" s="53" t="s">
        <v>480</v>
      </c>
      <c r="W243" s="53" t="s">
        <v>480</v>
      </c>
      <c r="X243" s="53" t="s">
        <v>480</v>
      </c>
      <c r="Y243" s="53" t="s">
        <v>480</v>
      </c>
      <c r="Z243" s="53">
        <v>0.83088235294117641</v>
      </c>
      <c r="AA243" s="53" t="s">
        <v>480</v>
      </c>
      <c r="AB243" s="53" t="s">
        <v>480</v>
      </c>
      <c r="AC243" s="53" t="s">
        <v>480</v>
      </c>
      <c r="AD243" s="53" t="s">
        <v>480</v>
      </c>
      <c r="AE243" s="53" t="s">
        <v>480</v>
      </c>
      <c r="AF243" s="53" t="s">
        <v>480</v>
      </c>
      <c r="AG243" s="53">
        <v>0.93382352941176472</v>
      </c>
      <c r="AH243" s="53">
        <v>-0.16911764705882354</v>
      </c>
      <c r="AI243" s="53" t="s">
        <v>480</v>
      </c>
      <c r="AJ243" s="53">
        <v>1.75</v>
      </c>
      <c r="AK243" s="53" t="s">
        <v>480</v>
      </c>
      <c r="AL243" s="53">
        <v>-0.625</v>
      </c>
      <c r="AM243" s="53" t="s">
        <v>480</v>
      </c>
      <c r="AQ243">
        <f t="shared" si="7"/>
        <v>1</v>
      </c>
      <c r="AR243" t="s">
        <v>331</v>
      </c>
    </row>
    <row r="244" spans="1:44" x14ac:dyDescent="0.25">
      <c r="A244" s="1">
        <f>COUNTIF('Value Matchup'!$D$356:$D$423,PASE!B244)</f>
        <v>0</v>
      </c>
      <c r="B244" t="s">
        <v>332</v>
      </c>
      <c r="C244" s="64">
        <f t="shared" si="6"/>
        <v>-3.6764705882352942E-2</v>
      </c>
      <c r="E244" s="91" t="s">
        <v>480</v>
      </c>
      <c r="F244" s="53" t="s">
        <v>480</v>
      </c>
      <c r="G244" s="53" t="s">
        <v>480</v>
      </c>
      <c r="H244" s="53" t="s">
        <v>480</v>
      </c>
      <c r="I244" s="53" t="s">
        <v>480</v>
      </c>
      <c r="J244" s="53" t="s">
        <v>480</v>
      </c>
      <c r="K244" s="53" t="s">
        <v>480</v>
      </c>
      <c r="L244" s="53" t="s">
        <v>480</v>
      </c>
      <c r="M244" s="53" t="s">
        <v>480</v>
      </c>
      <c r="N244" s="53" t="s">
        <v>480</v>
      </c>
      <c r="O244" s="53" t="s">
        <v>480</v>
      </c>
      <c r="P244" s="53" t="s">
        <v>480</v>
      </c>
      <c r="Q244" s="53" t="s">
        <v>480</v>
      </c>
      <c r="R244" s="53" t="s">
        <v>480</v>
      </c>
      <c r="S244" s="53" t="s">
        <v>480</v>
      </c>
      <c r="T244" s="53" t="s">
        <v>480</v>
      </c>
      <c r="U244" s="53" t="s">
        <v>480</v>
      </c>
      <c r="V244" s="53" t="s">
        <v>480</v>
      </c>
      <c r="W244" s="53" t="s">
        <v>480</v>
      </c>
      <c r="X244" s="53" t="s">
        <v>480</v>
      </c>
      <c r="Y244" s="53" t="s">
        <v>480</v>
      </c>
      <c r="Z244" s="53" t="s">
        <v>480</v>
      </c>
      <c r="AA244" s="53" t="s">
        <v>480</v>
      </c>
      <c r="AB244" s="53" t="s">
        <v>480</v>
      </c>
      <c r="AC244" s="53" t="s">
        <v>480</v>
      </c>
      <c r="AD244" s="53">
        <v>-6.6176470588235295E-2</v>
      </c>
      <c r="AE244" s="53">
        <v>-7.3529411764705881E-3</v>
      </c>
      <c r="AF244" s="53" t="s">
        <v>480</v>
      </c>
      <c r="AG244" s="53" t="s">
        <v>480</v>
      </c>
      <c r="AH244" s="53" t="s">
        <v>480</v>
      </c>
      <c r="AI244" s="53" t="s">
        <v>480</v>
      </c>
      <c r="AJ244" s="53" t="s">
        <v>480</v>
      </c>
      <c r="AK244" s="53" t="s">
        <v>480</v>
      </c>
      <c r="AL244" s="53" t="s">
        <v>480</v>
      </c>
      <c r="AM244" s="53" t="s">
        <v>480</v>
      </c>
      <c r="AQ244">
        <f t="shared" si="7"/>
        <v>1</v>
      </c>
      <c r="AR244" t="s">
        <v>332</v>
      </c>
    </row>
    <row r="245" spans="1:44" x14ac:dyDescent="0.25">
      <c r="A245" s="1">
        <f>COUNTIF('Value Matchup'!$D$356:$D$423,PASE!B245)</f>
        <v>0</v>
      </c>
      <c r="B245" t="s">
        <v>333</v>
      </c>
      <c r="C245" s="64">
        <f t="shared" si="6"/>
        <v>-3.6764705882352942E-2</v>
      </c>
      <c r="E245" s="91" t="s">
        <v>480</v>
      </c>
      <c r="F245" s="53" t="s">
        <v>480</v>
      </c>
      <c r="G245" s="53" t="s">
        <v>480</v>
      </c>
      <c r="H245" s="53" t="s">
        <v>480</v>
      </c>
      <c r="I245" s="53">
        <v>-7.3529411764705881E-3</v>
      </c>
      <c r="J245" s="53" t="s">
        <v>480</v>
      </c>
      <c r="K245" s="53" t="s">
        <v>480</v>
      </c>
      <c r="L245" s="53" t="s">
        <v>480</v>
      </c>
      <c r="M245" s="53" t="s">
        <v>480</v>
      </c>
      <c r="N245" s="53">
        <v>-6.6176470588235295E-2</v>
      </c>
      <c r="O245" s="53">
        <v>-6.6176470588235295E-2</v>
      </c>
      <c r="P245" s="53" t="s">
        <v>480</v>
      </c>
      <c r="Q245" s="53" t="s">
        <v>480</v>
      </c>
      <c r="R245" s="53" t="s">
        <v>480</v>
      </c>
      <c r="S245" s="53" t="s">
        <v>480</v>
      </c>
      <c r="T245" s="53" t="s">
        <v>480</v>
      </c>
      <c r="U245" s="53" t="s">
        <v>480</v>
      </c>
      <c r="V245" s="53" t="s">
        <v>480</v>
      </c>
      <c r="W245" s="53" t="s">
        <v>480</v>
      </c>
      <c r="X245" s="53" t="s">
        <v>480</v>
      </c>
      <c r="Y245" s="53" t="s">
        <v>480</v>
      </c>
      <c r="Z245" s="53" t="s">
        <v>480</v>
      </c>
      <c r="AA245" s="53" t="s">
        <v>480</v>
      </c>
      <c r="AB245" s="53" t="s">
        <v>480</v>
      </c>
      <c r="AC245" s="53" t="s">
        <v>480</v>
      </c>
      <c r="AD245" s="53" t="s">
        <v>480</v>
      </c>
      <c r="AE245" s="53" t="s">
        <v>480</v>
      </c>
      <c r="AF245" s="53">
        <v>-7.3529411764705881E-3</v>
      </c>
      <c r="AG245" s="53" t="s">
        <v>480</v>
      </c>
      <c r="AH245" s="53">
        <v>-6.6176470588235295E-2</v>
      </c>
      <c r="AI245" s="53">
        <v>-7.3529411764705881E-3</v>
      </c>
      <c r="AJ245" s="53" t="s">
        <v>480</v>
      </c>
      <c r="AK245" s="53" t="s">
        <v>480</v>
      </c>
      <c r="AL245" s="53" t="s">
        <v>480</v>
      </c>
      <c r="AM245" s="53" t="s">
        <v>480</v>
      </c>
      <c r="AQ245">
        <f t="shared" si="7"/>
        <v>1</v>
      </c>
      <c r="AR245" t="s">
        <v>333</v>
      </c>
    </row>
    <row r="246" spans="1:44" x14ac:dyDescent="0.25">
      <c r="A246" s="1">
        <f>COUNTIF('Value Matchup'!$D$356:$D$423,PASE!B246)</f>
        <v>1</v>
      </c>
      <c r="B246" t="s">
        <v>334</v>
      </c>
      <c r="C246" s="64">
        <f t="shared" si="6"/>
        <v>-0.41911764705882354</v>
      </c>
      <c r="E246" s="91" t="s">
        <v>480</v>
      </c>
      <c r="F246" s="53" t="s">
        <v>480</v>
      </c>
      <c r="G246" s="53" t="s">
        <v>480</v>
      </c>
      <c r="H246" s="53" t="s">
        <v>480</v>
      </c>
      <c r="I246" s="53" t="s">
        <v>480</v>
      </c>
      <c r="J246" s="53" t="s">
        <v>480</v>
      </c>
      <c r="K246" s="53" t="s">
        <v>480</v>
      </c>
      <c r="L246" s="53" t="s">
        <v>480</v>
      </c>
      <c r="M246" s="53" t="s">
        <v>480</v>
      </c>
      <c r="N246" s="53" t="s">
        <v>480</v>
      </c>
      <c r="O246" s="53" t="s">
        <v>480</v>
      </c>
      <c r="P246" s="53" t="s">
        <v>480</v>
      </c>
      <c r="Q246" s="53" t="s">
        <v>480</v>
      </c>
      <c r="R246" s="53" t="s">
        <v>480</v>
      </c>
      <c r="S246" s="53" t="s">
        <v>480</v>
      </c>
      <c r="T246" s="53" t="s">
        <v>480</v>
      </c>
      <c r="U246" s="53" t="s">
        <v>480</v>
      </c>
      <c r="V246" s="53" t="s">
        <v>480</v>
      </c>
      <c r="W246" s="53" t="s">
        <v>480</v>
      </c>
      <c r="X246" s="53" t="s">
        <v>480</v>
      </c>
      <c r="Y246" s="53" t="s">
        <v>480</v>
      </c>
      <c r="Z246" s="53" t="s">
        <v>480</v>
      </c>
      <c r="AA246" s="53" t="s">
        <v>480</v>
      </c>
      <c r="AB246" s="53" t="s">
        <v>480</v>
      </c>
      <c r="AC246" s="53" t="s">
        <v>480</v>
      </c>
      <c r="AD246" s="53" t="s">
        <v>480</v>
      </c>
      <c r="AE246" s="53" t="s">
        <v>480</v>
      </c>
      <c r="AF246" s="53" t="s">
        <v>480</v>
      </c>
      <c r="AG246" s="53">
        <v>-0.58823529411764708</v>
      </c>
      <c r="AH246" s="53" t="s">
        <v>480</v>
      </c>
      <c r="AI246" s="53">
        <v>-0.25</v>
      </c>
      <c r="AJ246" s="53" t="s">
        <v>480</v>
      </c>
      <c r="AK246" s="53" t="s">
        <v>480</v>
      </c>
      <c r="AL246" s="53" t="s">
        <v>480</v>
      </c>
      <c r="AM246" s="53" t="s">
        <v>480</v>
      </c>
      <c r="AQ246">
        <f t="shared" si="7"/>
        <v>1</v>
      </c>
      <c r="AR246" t="s">
        <v>334</v>
      </c>
    </row>
    <row r="247" spans="1:44" x14ac:dyDescent="0.25">
      <c r="A247" s="1">
        <f>COUNTIF('Value Matchup'!$D$356:$D$423,PASE!B247)</f>
        <v>0</v>
      </c>
      <c r="B247" t="s">
        <v>335</v>
      </c>
      <c r="C247" s="64">
        <f t="shared" si="6"/>
        <v>0</v>
      </c>
      <c r="E247" s="91" t="s">
        <v>480</v>
      </c>
      <c r="F247" s="53" t="s">
        <v>480</v>
      </c>
      <c r="G247" s="53" t="s">
        <v>480</v>
      </c>
      <c r="H247" s="53" t="s">
        <v>480</v>
      </c>
      <c r="I247" s="53" t="s">
        <v>480</v>
      </c>
      <c r="J247" s="53" t="s">
        <v>480</v>
      </c>
      <c r="K247" s="53" t="s">
        <v>480</v>
      </c>
      <c r="L247" s="53" t="s">
        <v>480</v>
      </c>
      <c r="M247" s="53" t="s">
        <v>480</v>
      </c>
      <c r="N247" s="53" t="s">
        <v>480</v>
      </c>
      <c r="O247" s="53" t="s">
        <v>480</v>
      </c>
      <c r="P247" s="53" t="s">
        <v>480</v>
      </c>
      <c r="Q247" s="53" t="s">
        <v>480</v>
      </c>
      <c r="R247" s="53" t="s">
        <v>480</v>
      </c>
      <c r="S247" s="53" t="s">
        <v>480</v>
      </c>
      <c r="T247" s="53" t="s">
        <v>480</v>
      </c>
      <c r="U247" s="53" t="s">
        <v>480</v>
      </c>
      <c r="V247" s="53" t="s">
        <v>480</v>
      </c>
      <c r="W247" s="53" t="s">
        <v>480</v>
      </c>
      <c r="X247" s="53" t="s">
        <v>480</v>
      </c>
      <c r="Y247" s="53" t="s">
        <v>480</v>
      </c>
      <c r="Z247" s="53" t="s">
        <v>480</v>
      </c>
      <c r="AA247" s="53" t="s">
        <v>480</v>
      </c>
      <c r="AB247" s="53" t="s">
        <v>480</v>
      </c>
      <c r="AC247" s="53" t="s">
        <v>480</v>
      </c>
      <c r="AD247" s="53" t="s">
        <v>480</v>
      </c>
      <c r="AE247" s="53" t="s">
        <v>480</v>
      </c>
      <c r="AF247" s="53" t="s">
        <v>480</v>
      </c>
      <c r="AG247" s="53" t="s">
        <v>480</v>
      </c>
      <c r="AH247" s="53" t="s">
        <v>480</v>
      </c>
      <c r="AI247" s="53" t="s">
        <v>480</v>
      </c>
      <c r="AJ247" s="53" t="s">
        <v>480</v>
      </c>
      <c r="AK247" s="53" t="s">
        <v>480</v>
      </c>
      <c r="AL247" s="53" t="s">
        <v>480</v>
      </c>
      <c r="AM247" s="53" t="s">
        <v>480</v>
      </c>
      <c r="AQ247">
        <f t="shared" si="7"/>
        <v>1</v>
      </c>
      <c r="AR247" t="s">
        <v>335</v>
      </c>
    </row>
    <row r="248" spans="1:44" x14ac:dyDescent="0.25">
      <c r="A248" s="1">
        <f>COUNTIF('Value Matchup'!$D$356:$D$423,PASE!B248)</f>
        <v>0</v>
      </c>
      <c r="B248" t="s">
        <v>336</v>
      </c>
      <c r="C248" s="64">
        <f t="shared" si="6"/>
        <v>0</v>
      </c>
      <c r="E248" s="91" t="s">
        <v>480</v>
      </c>
      <c r="F248" s="53" t="s">
        <v>480</v>
      </c>
      <c r="G248" s="53" t="s">
        <v>480</v>
      </c>
      <c r="H248" s="53" t="s">
        <v>480</v>
      </c>
      <c r="I248" s="53" t="s">
        <v>480</v>
      </c>
      <c r="J248" s="53" t="s">
        <v>480</v>
      </c>
      <c r="K248" s="53" t="s">
        <v>480</v>
      </c>
      <c r="L248" s="53" t="s">
        <v>480</v>
      </c>
      <c r="M248" s="53" t="s">
        <v>480</v>
      </c>
      <c r="N248" s="53" t="s">
        <v>480</v>
      </c>
      <c r="O248" s="53" t="s">
        <v>480</v>
      </c>
      <c r="P248" s="53" t="s">
        <v>480</v>
      </c>
      <c r="Q248" s="53" t="s">
        <v>480</v>
      </c>
      <c r="R248" s="53" t="s">
        <v>480</v>
      </c>
      <c r="S248" s="53" t="s">
        <v>480</v>
      </c>
      <c r="T248" s="53" t="s">
        <v>480</v>
      </c>
      <c r="U248" s="53" t="s">
        <v>480</v>
      </c>
      <c r="V248" s="53" t="s">
        <v>480</v>
      </c>
      <c r="W248" s="53" t="s">
        <v>480</v>
      </c>
      <c r="X248" s="53" t="s">
        <v>480</v>
      </c>
      <c r="Y248" s="53" t="s">
        <v>480</v>
      </c>
      <c r="Z248" s="53" t="s">
        <v>480</v>
      </c>
      <c r="AA248" s="53" t="s">
        <v>480</v>
      </c>
      <c r="AB248" s="53" t="s">
        <v>480</v>
      </c>
      <c r="AC248" s="53" t="s">
        <v>480</v>
      </c>
      <c r="AD248" s="53" t="s">
        <v>480</v>
      </c>
      <c r="AE248" s="53" t="s">
        <v>480</v>
      </c>
      <c r="AF248" s="53" t="s">
        <v>480</v>
      </c>
      <c r="AG248" s="53" t="s">
        <v>480</v>
      </c>
      <c r="AH248" s="53" t="s">
        <v>480</v>
      </c>
      <c r="AI248" s="53" t="s">
        <v>480</v>
      </c>
      <c r="AJ248" s="53" t="s">
        <v>480</v>
      </c>
      <c r="AK248" s="53" t="s">
        <v>480</v>
      </c>
      <c r="AL248" s="53" t="s">
        <v>480</v>
      </c>
      <c r="AM248" s="53" t="s">
        <v>480</v>
      </c>
      <c r="AQ248">
        <f t="shared" si="7"/>
        <v>1</v>
      </c>
      <c r="AR248" t="s">
        <v>336</v>
      </c>
    </row>
    <row r="249" spans="1:44" x14ac:dyDescent="0.25">
      <c r="A249" s="1">
        <f>COUNTIF('Value Matchup'!$D$356:$D$423,PASE!B249)</f>
        <v>0</v>
      </c>
      <c r="B249" t="s">
        <v>337</v>
      </c>
      <c r="C249" s="64">
        <f t="shared" si="6"/>
        <v>-0.18106617647058826</v>
      </c>
      <c r="E249" s="91" t="s">
        <v>480</v>
      </c>
      <c r="F249" s="53" t="s">
        <v>480</v>
      </c>
      <c r="G249" s="53" t="s">
        <v>480</v>
      </c>
      <c r="H249" s="53">
        <v>0.27941176470588236</v>
      </c>
      <c r="I249" s="53" t="s">
        <v>480</v>
      </c>
      <c r="J249" s="53">
        <v>-0.61764705882352944</v>
      </c>
      <c r="K249" s="53" t="s">
        <v>480</v>
      </c>
      <c r="L249" s="53" t="s">
        <v>480</v>
      </c>
      <c r="M249" s="53" t="s">
        <v>480</v>
      </c>
      <c r="N249" s="53" t="s">
        <v>480</v>
      </c>
      <c r="O249" s="53" t="s">
        <v>480</v>
      </c>
      <c r="P249" s="53">
        <v>-0.625</v>
      </c>
      <c r="Q249" s="53" t="s">
        <v>480</v>
      </c>
      <c r="R249" s="53" t="s">
        <v>480</v>
      </c>
      <c r="S249" s="53" t="s">
        <v>480</v>
      </c>
      <c r="T249" s="53">
        <v>-0.34558823529411775</v>
      </c>
      <c r="U249" s="53">
        <v>-0.92647058823529416</v>
      </c>
      <c r="V249" s="53" t="s">
        <v>480</v>
      </c>
      <c r="W249" s="53">
        <v>0.41176470588235292</v>
      </c>
      <c r="X249" s="53" t="s">
        <v>480</v>
      </c>
      <c r="Y249" s="53" t="s">
        <v>480</v>
      </c>
      <c r="Z249" s="53" t="s">
        <v>480</v>
      </c>
      <c r="AA249" s="53">
        <v>0.45588235294117641</v>
      </c>
      <c r="AB249" s="53" t="s">
        <v>480</v>
      </c>
      <c r="AC249" s="53" t="s">
        <v>480</v>
      </c>
      <c r="AD249" s="53" t="s">
        <v>480</v>
      </c>
      <c r="AE249" s="53" t="s">
        <v>480</v>
      </c>
      <c r="AF249" s="53" t="s">
        <v>480</v>
      </c>
      <c r="AG249" s="53" t="s">
        <v>480</v>
      </c>
      <c r="AH249" s="53" t="s">
        <v>480</v>
      </c>
      <c r="AI249" s="53" t="s">
        <v>480</v>
      </c>
      <c r="AJ249" s="53" t="s">
        <v>480</v>
      </c>
      <c r="AK249" s="53" t="s">
        <v>480</v>
      </c>
      <c r="AL249" s="53">
        <v>-8.0882352941176405E-2</v>
      </c>
      <c r="AM249" s="53" t="s">
        <v>480</v>
      </c>
      <c r="AQ249">
        <f t="shared" si="7"/>
        <v>1</v>
      </c>
      <c r="AR249" t="s">
        <v>337</v>
      </c>
    </row>
    <row r="250" spans="1:44" x14ac:dyDescent="0.25">
      <c r="A250" s="1">
        <f>COUNTIF('Value Matchup'!$D$356:$D$423,PASE!B250)</f>
        <v>0</v>
      </c>
      <c r="B250" t="s">
        <v>338</v>
      </c>
      <c r="C250" s="64">
        <f t="shared" si="6"/>
        <v>-0.15257352941176472</v>
      </c>
      <c r="E250" s="91">
        <v>-0.25</v>
      </c>
      <c r="F250" s="53" t="s">
        <v>480</v>
      </c>
      <c r="G250" s="53" t="s">
        <v>480</v>
      </c>
      <c r="H250" s="53" t="s">
        <v>480</v>
      </c>
      <c r="I250" s="53" t="s">
        <v>480</v>
      </c>
      <c r="J250" s="53">
        <v>-0.11764705882352944</v>
      </c>
      <c r="K250" s="53">
        <v>-0.54411764705882359</v>
      </c>
      <c r="L250" s="53">
        <v>0.41176470588235292</v>
      </c>
      <c r="M250" s="53" t="s">
        <v>480</v>
      </c>
      <c r="N250" s="53" t="s">
        <v>480</v>
      </c>
      <c r="O250" s="53" t="s">
        <v>480</v>
      </c>
      <c r="P250" s="53" t="s">
        <v>480</v>
      </c>
      <c r="Q250" s="53" t="s">
        <v>480</v>
      </c>
      <c r="R250" s="53" t="s">
        <v>480</v>
      </c>
      <c r="S250" s="53" t="s">
        <v>480</v>
      </c>
      <c r="T250" s="53" t="s">
        <v>480</v>
      </c>
      <c r="U250" s="53" t="s">
        <v>480</v>
      </c>
      <c r="V250" s="53" t="s">
        <v>480</v>
      </c>
      <c r="W250" s="53" t="s">
        <v>480</v>
      </c>
      <c r="X250" s="53">
        <v>-0.58823529411764708</v>
      </c>
      <c r="Y250" s="53" t="s">
        <v>480</v>
      </c>
      <c r="Z250" s="53">
        <v>0.38235294117647056</v>
      </c>
      <c r="AA250" s="53" t="s">
        <v>480</v>
      </c>
      <c r="AB250" s="53" t="s">
        <v>480</v>
      </c>
      <c r="AC250" s="53">
        <v>0.41176470588235292</v>
      </c>
      <c r="AD250" s="53">
        <v>-0.92647058823529416</v>
      </c>
      <c r="AE250" s="53" t="s">
        <v>480</v>
      </c>
      <c r="AF250" s="53" t="s">
        <v>480</v>
      </c>
      <c r="AG250" s="53" t="s">
        <v>480</v>
      </c>
      <c r="AH250" s="53" t="s">
        <v>480</v>
      </c>
      <c r="AI250" s="53" t="s">
        <v>480</v>
      </c>
      <c r="AJ250" s="53" t="s">
        <v>480</v>
      </c>
      <c r="AK250" s="53" t="s">
        <v>480</v>
      </c>
      <c r="AL250" s="53" t="s">
        <v>480</v>
      </c>
      <c r="AM250" s="53" t="s">
        <v>480</v>
      </c>
      <c r="AQ250">
        <f t="shared" si="7"/>
        <v>1</v>
      </c>
      <c r="AR250" t="s">
        <v>338</v>
      </c>
    </row>
    <row r="251" spans="1:44" x14ac:dyDescent="0.25">
      <c r="A251" s="1">
        <f>COUNTIF('Value Matchup'!$D$356:$D$423,PASE!B251)</f>
        <v>0</v>
      </c>
      <c r="B251" t="s">
        <v>339</v>
      </c>
      <c r="C251" s="64">
        <f t="shared" si="6"/>
        <v>-0.31498599439775909</v>
      </c>
      <c r="E251" s="91">
        <v>-0.61428571428571432</v>
      </c>
      <c r="F251" s="53" t="s">
        <v>480</v>
      </c>
      <c r="G251" s="53">
        <v>7.3529411764705843E-2</v>
      </c>
      <c r="H251" s="53" t="s">
        <v>480</v>
      </c>
      <c r="I251" s="53" t="s">
        <v>480</v>
      </c>
      <c r="J251" s="53" t="s">
        <v>480</v>
      </c>
      <c r="K251" s="53">
        <v>-0.625</v>
      </c>
      <c r="L251" s="53">
        <v>-0.92647058823529416</v>
      </c>
      <c r="M251" s="53" t="s">
        <v>480</v>
      </c>
      <c r="N251" s="53">
        <v>1.3823529411764706</v>
      </c>
      <c r="O251" s="53" t="s">
        <v>480</v>
      </c>
      <c r="P251" s="53">
        <v>-0.61764705882352944</v>
      </c>
      <c r="Q251" s="53" t="s">
        <v>480</v>
      </c>
      <c r="R251" s="53" t="s">
        <v>480</v>
      </c>
      <c r="S251" s="53">
        <v>-0.61764705882352944</v>
      </c>
      <c r="T251" s="53" t="s">
        <v>480</v>
      </c>
      <c r="U251" s="53" t="s">
        <v>480</v>
      </c>
      <c r="V251" s="53" t="s">
        <v>480</v>
      </c>
      <c r="W251" s="53" t="s">
        <v>480</v>
      </c>
      <c r="X251" s="53" t="s">
        <v>480</v>
      </c>
      <c r="Y251" s="53" t="s">
        <v>480</v>
      </c>
      <c r="Z251" s="53" t="s">
        <v>480</v>
      </c>
      <c r="AA251" s="53">
        <v>-0.16911764705882354</v>
      </c>
      <c r="AB251" s="53" t="s">
        <v>480</v>
      </c>
      <c r="AC251" s="53" t="s">
        <v>480</v>
      </c>
      <c r="AD251" s="53" t="s">
        <v>480</v>
      </c>
      <c r="AE251" s="53" t="s">
        <v>480</v>
      </c>
      <c r="AF251" s="53" t="s">
        <v>480</v>
      </c>
      <c r="AG251" s="53" t="s">
        <v>480</v>
      </c>
      <c r="AH251" s="53" t="s">
        <v>480</v>
      </c>
      <c r="AI251" s="53">
        <v>-0.72058823529411764</v>
      </c>
      <c r="AJ251" s="53" t="s">
        <v>480</v>
      </c>
      <c r="AK251" s="53" t="s">
        <v>480</v>
      </c>
      <c r="AL251" s="53" t="s">
        <v>480</v>
      </c>
      <c r="AM251" s="53" t="s">
        <v>480</v>
      </c>
      <c r="AQ251">
        <f t="shared" si="7"/>
        <v>1</v>
      </c>
      <c r="AR251" t="s">
        <v>339</v>
      </c>
    </row>
    <row r="252" spans="1:44" x14ac:dyDescent="0.25">
      <c r="A252" s="1">
        <f>COUNTIF('Value Matchup'!$D$356:$D$423,PASE!B252)</f>
        <v>0</v>
      </c>
      <c r="B252" t="s">
        <v>340</v>
      </c>
      <c r="C252" s="64">
        <f t="shared" si="6"/>
        <v>-0.24509803921568629</v>
      </c>
      <c r="E252" s="91" t="s">
        <v>480</v>
      </c>
      <c r="F252" s="53" t="s">
        <v>480</v>
      </c>
      <c r="G252" s="53" t="s">
        <v>480</v>
      </c>
      <c r="H252" s="53" t="s">
        <v>480</v>
      </c>
      <c r="I252" s="53" t="s">
        <v>480</v>
      </c>
      <c r="J252" s="53" t="s">
        <v>480</v>
      </c>
      <c r="K252" s="53" t="s">
        <v>480</v>
      </c>
      <c r="L252" s="53" t="s">
        <v>480</v>
      </c>
      <c r="M252" s="53">
        <v>-0.16911764705882354</v>
      </c>
      <c r="N252" s="53" t="s">
        <v>480</v>
      </c>
      <c r="O252" s="53" t="s">
        <v>480</v>
      </c>
      <c r="P252" s="53" t="s">
        <v>480</v>
      </c>
      <c r="Q252" s="53" t="s">
        <v>480</v>
      </c>
      <c r="R252" s="53" t="s">
        <v>480</v>
      </c>
      <c r="S252" s="53" t="s">
        <v>480</v>
      </c>
      <c r="T252" s="53" t="s">
        <v>480</v>
      </c>
      <c r="U252" s="53" t="s">
        <v>480</v>
      </c>
      <c r="V252" s="53" t="s">
        <v>480</v>
      </c>
      <c r="W252" s="53" t="s">
        <v>480</v>
      </c>
      <c r="X252" s="53" t="s">
        <v>480</v>
      </c>
      <c r="Y252" s="53" t="s">
        <v>480</v>
      </c>
      <c r="Z252" s="53" t="s">
        <v>480</v>
      </c>
      <c r="AA252" s="53" t="s">
        <v>480</v>
      </c>
      <c r="AB252" s="53" t="s">
        <v>480</v>
      </c>
      <c r="AC252" s="53">
        <v>-6.6176470588235295E-2</v>
      </c>
      <c r="AD252" s="53" t="s">
        <v>480</v>
      </c>
      <c r="AE252" s="53" t="s">
        <v>480</v>
      </c>
      <c r="AF252" s="53" t="s">
        <v>480</v>
      </c>
      <c r="AG252" s="53">
        <v>-0.5</v>
      </c>
      <c r="AH252" s="53" t="s">
        <v>480</v>
      </c>
      <c r="AI252" s="53" t="s">
        <v>480</v>
      </c>
      <c r="AJ252" s="53" t="s">
        <v>480</v>
      </c>
      <c r="AK252" s="53" t="s">
        <v>480</v>
      </c>
      <c r="AL252" s="53" t="s">
        <v>480</v>
      </c>
      <c r="AM252" s="53" t="s">
        <v>480</v>
      </c>
      <c r="AQ252">
        <f t="shared" si="7"/>
        <v>1</v>
      </c>
      <c r="AR252" t="s">
        <v>340</v>
      </c>
    </row>
    <row r="253" spans="1:44" x14ac:dyDescent="0.25">
      <c r="A253" s="1">
        <f>COUNTIF('Value Matchup'!$D$356:$D$423,PASE!B253)</f>
        <v>0</v>
      </c>
      <c r="B253" t="s">
        <v>341</v>
      </c>
      <c r="C253" s="64">
        <f t="shared" si="6"/>
        <v>-0.11764705882352941</v>
      </c>
      <c r="E253" s="91" t="s">
        <v>480</v>
      </c>
      <c r="F253" s="53" t="s">
        <v>480</v>
      </c>
      <c r="G253" s="53" t="s">
        <v>480</v>
      </c>
      <c r="H253" s="53" t="s">
        <v>480</v>
      </c>
      <c r="I253" s="53" t="s">
        <v>480</v>
      </c>
      <c r="J253" s="53" t="s">
        <v>480</v>
      </c>
      <c r="K253" s="53" t="s">
        <v>480</v>
      </c>
      <c r="L253" s="53" t="s">
        <v>480</v>
      </c>
      <c r="M253" s="53" t="s">
        <v>480</v>
      </c>
      <c r="N253" s="53">
        <v>-0.16911764705882354</v>
      </c>
      <c r="O253" s="53" t="s">
        <v>480</v>
      </c>
      <c r="P253" s="53" t="s">
        <v>480</v>
      </c>
      <c r="Q253" s="53" t="s">
        <v>480</v>
      </c>
      <c r="R253" s="53" t="s">
        <v>480</v>
      </c>
      <c r="S253" s="53" t="s">
        <v>480</v>
      </c>
      <c r="T253" s="53" t="s">
        <v>480</v>
      </c>
      <c r="U253" s="53">
        <v>-6.6176470588235295E-2</v>
      </c>
      <c r="V253" s="53" t="s">
        <v>480</v>
      </c>
      <c r="W253" s="53" t="s">
        <v>480</v>
      </c>
      <c r="X253" s="53" t="s">
        <v>480</v>
      </c>
      <c r="Y253" s="53" t="s">
        <v>480</v>
      </c>
      <c r="Z253" s="53" t="s">
        <v>480</v>
      </c>
      <c r="AA253" s="53" t="s">
        <v>480</v>
      </c>
      <c r="AB253" s="53" t="s">
        <v>480</v>
      </c>
      <c r="AC253" s="53" t="s">
        <v>480</v>
      </c>
      <c r="AD253" s="53" t="s">
        <v>480</v>
      </c>
      <c r="AE253" s="53" t="s">
        <v>480</v>
      </c>
      <c r="AF253" s="53" t="s">
        <v>480</v>
      </c>
      <c r="AG253" s="53" t="s">
        <v>480</v>
      </c>
      <c r="AH253" s="53" t="s">
        <v>480</v>
      </c>
      <c r="AI253" s="53" t="s">
        <v>480</v>
      </c>
      <c r="AJ253" s="53" t="s">
        <v>480</v>
      </c>
      <c r="AK253" s="53" t="s">
        <v>480</v>
      </c>
      <c r="AL253" s="53" t="s">
        <v>480</v>
      </c>
      <c r="AM253" s="53" t="s">
        <v>480</v>
      </c>
      <c r="AQ253">
        <f t="shared" si="7"/>
        <v>1</v>
      </c>
      <c r="AR253" t="s">
        <v>341</v>
      </c>
    </row>
    <row r="254" spans="1:44" x14ac:dyDescent="0.25">
      <c r="A254" s="1">
        <f>COUNTIF('Value Matchup'!$D$356:$D$423,PASE!B254)</f>
        <v>0</v>
      </c>
      <c r="B254" t="s">
        <v>342</v>
      </c>
      <c r="C254" s="64">
        <f t="shared" si="6"/>
        <v>-0.20955882352941177</v>
      </c>
      <c r="E254" s="91" t="s">
        <v>480</v>
      </c>
      <c r="F254" s="53" t="s">
        <v>480</v>
      </c>
      <c r="G254" s="53" t="s">
        <v>480</v>
      </c>
      <c r="H254" s="53" t="s">
        <v>480</v>
      </c>
      <c r="I254" s="53" t="s">
        <v>480</v>
      </c>
      <c r="J254" s="53" t="s">
        <v>480</v>
      </c>
      <c r="K254" s="53" t="s">
        <v>480</v>
      </c>
      <c r="L254" s="53" t="s">
        <v>480</v>
      </c>
      <c r="M254" s="53" t="s">
        <v>480</v>
      </c>
      <c r="N254" s="53" t="s">
        <v>480</v>
      </c>
      <c r="O254" s="53" t="s">
        <v>480</v>
      </c>
      <c r="P254" s="53" t="s">
        <v>480</v>
      </c>
      <c r="Q254" s="53" t="s">
        <v>480</v>
      </c>
      <c r="R254" s="53" t="s">
        <v>480</v>
      </c>
      <c r="S254" s="53" t="s">
        <v>480</v>
      </c>
      <c r="T254" s="53" t="s">
        <v>480</v>
      </c>
      <c r="U254" s="53" t="s">
        <v>480</v>
      </c>
      <c r="V254" s="53" t="s">
        <v>480</v>
      </c>
      <c r="W254" s="53" t="s">
        <v>480</v>
      </c>
      <c r="X254" s="53">
        <v>-0.25</v>
      </c>
      <c r="Y254" s="53">
        <v>-0.16911764705882354</v>
      </c>
      <c r="Z254" s="53" t="s">
        <v>480</v>
      </c>
      <c r="AA254" s="53" t="s">
        <v>480</v>
      </c>
      <c r="AB254" s="53" t="s">
        <v>480</v>
      </c>
      <c r="AC254" s="53" t="s">
        <v>480</v>
      </c>
      <c r="AD254" s="53" t="s">
        <v>480</v>
      </c>
      <c r="AE254" s="53" t="s">
        <v>480</v>
      </c>
      <c r="AF254" s="53" t="s">
        <v>480</v>
      </c>
      <c r="AG254" s="53" t="s">
        <v>480</v>
      </c>
      <c r="AH254" s="53" t="s">
        <v>480</v>
      </c>
      <c r="AI254" s="53" t="s">
        <v>480</v>
      </c>
      <c r="AJ254" s="53" t="s">
        <v>480</v>
      </c>
      <c r="AK254" s="53" t="s">
        <v>480</v>
      </c>
      <c r="AL254" s="53" t="s">
        <v>480</v>
      </c>
      <c r="AM254" s="53" t="s">
        <v>480</v>
      </c>
      <c r="AQ254">
        <f t="shared" si="7"/>
        <v>1</v>
      </c>
      <c r="AR254" t="s">
        <v>342</v>
      </c>
    </row>
    <row r="255" spans="1:44" x14ac:dyDescent="0.25">
      <c r="A255" s="1">
        <f>COUNTIF('Value Matchup'!$D$356:$D$423,PASE!B255)</f>
        <v>0</v>
      </c>
      <c r="B255" t="s">
        <v>343</v>
      </c>
      <c r="C255" s="64">
        <f t="shared" si="6"/>
        <v>-2.9411764705882359E-2</v>
      </c>
      <c r="E255" s="91" t="s">
        <v>480</v>
      </c>
      <c r="F255" s="53" t="s">
        <v>480</v>
      </c>
      <c r="G255" s="53" t="s">
        <v>480</v>
      </c>
      <c r="H255" s="53" t="s">
        <v>480</v>
      </c>
      <c r="I255" s="53" t="s">
        <v>480</v>
      </c>
      <c r="J255" s="53" t="s">
        <v>480</v>
      </c>
      <c r="K255" s="53" t="s">
        <v>480</v>
      </c>
      <c r="L255" s="53" t="s">
        <v>480</v>
      </c>
      <c r="M255" s="53" t="s">
        <v>480</v>
      </c>
      <c r="N255" s="53" t="s">
        <v>480</v>
      </c>
      <c r="O255" s="53" t="s">
        <v>480</v>
      </c>
      <c r="P255" s="53">
        <v>0.75</v>
      </c>
      <c r="Q255" s="53" t="s">
        <v>480</v>
      </c>
      <c r="R255" s="53" t="s">
        <v>480</v>
      </c>
      <c r="S255" s="53" t="s">
        <v>480</v>
      </c>
      <c r="T255" s="53" t="s">
        <v>480</v>
      </c>
      <c r="U255" s="53">
        <v>-0.25</v>
      </c>
      <c r="V255" s="53" t="s">
        <v>480</v>
      </c>
      <c r="W255" s="53" t="s">
        <v>480</v>
      </c>
      <c r="X255" s="53" t="s">
        <v>480</v>
      </c>
      <c r="Y255" s="53" t="s">
        <v>480</v>
      </c>
      <c r="Z255" s="53" t="s">
        <v>480</v>
      </c>
      <c r="AA255" s="53" t="s">
        <v>480</v>
      </c>
      <c r="AB255" s="53" t="s">
        <v>480</v>
      </c>
      <c r="AC255" s="53" t="s">
        <v>480</v>
      </c>
      <c r="AD255" s="53" t="s">
        <v>480</v>
      </c>
      <c r="AE255" s="53" t="s">
        <v>480</v>
      </c>
      <c r="AF255" s="53" t="s">
        <v>480</v>
      </c>
      <c r="AG255" s="53" t="s">
        <v>480</v>
      </c>
      <c r="AH255" s="53" t="s">
        <v>480</v>
      </c>
      <c r="AI255" s="53" t="s">
        <v>480</v>
      </c>
      <c r="AJ255" s="53" t="s">
        <v>480</v>
      </c>
      <c r="AK255" s="53">
        <v>-0.58823529411764708</v>
      </c>
      <c r="AL255" s="53" t="s">
        <v>480</v>
      </c>
      <c r="AM255" s="53" t="s">
        <v>480</v>
      </c>
      <c r="AQ255">
        <f t="shared" si="7"/>
        <v>1</v>
      </c>
      <c r="AR255" t="s">
        <v>343</v>
      </c>
    </row>
    <row r="256" spans="1:44" x14ac:dyDescent="0.25">
      <c r="A256" s="1">
        <f>COUNTIF('Value Matchup'!$D$356:$D$423,PASE!B256)</f>
        <v>1</v>
      </c>
      <c r="B256" t="s">
        <v>344</v>
      </c>
      <c r="C256" s="64">
        <f t="shared" si="6"/>
        <v>-0.27406417112299464</v>
      </c>
      <c r="E256" s="91" t="s">
        <v>480</v>
      </c>
      <c r="F256" s="53">
        <v>-0.625</v>
      </c>
      <c r="G256" s="53">
        <v>-7.3529411764705881E-3</v>
      </c>
      <c r="H256" s="53" t="s">
        <v>480</v>
      </c>
      <c r="I256" s="53">
        <v>0.27941176470588236</v>
      </c>
      <c r="J256" s="53">
        <v>0.45588235294117641</v>
      </c>
      <c r="K256" s="53">
        <v>7.3529411764705843E-2</v>
      </c>
      <c r="L256" s="53">
        <v>-1.0808823529411764</v>
      </c>
      <c r="M256" s="53">
        <v>-0.36029411764705888</v>
      </c>
      <c r="N256" s="53">
        <v>-0.625</v>
      </c>
      <c r="O256" s="53" t="s">
        <v>480</v>
      </c>
      <c r="P256" s="53" t="s">
        <v>480</v>
      </c>
      <c r="Q256" s="53" t="s">
        <v>480</v>
      </c>
      <c r="R256" s="53">
        <v>-0.625</v>
      </c>
      <c r="S256" s="53" t="s">
        <v>480</v>
      </c>
      <c r="T256" s="53" t="s">
        <v>480</v>
      </c>
      <c r="U256" s="53" t="s">
        <v>480</v>
      </c>
      <c r="V256" s="53">
        <v>-0.25</v>
      </c>
      <c r="W256" s="53" t="s">
        <v>480</v>
      </c>
      <c r="X256" s="53" t="s">
        <v>480</v>
      </c>
      <c r="Y256" s="53" t="s">
        <v>480</v>
      </c>
      <c r="Z256" s="53" t="s">
        <v>480</v>
      </c>
      <c r="AA256" s="53" t="s">
        <v>480</v>
      </c>
      <c r="AB256" s="53" t="s">
        <v>480</v>
      </c>
      <c r="AC256" s="53" t="s">
        <v>480</v>
      </c>
      <c r="AD256" s="53" t="s">
        <v>480</v>
      </c>
      <c r="AE256" s="53" t="s">
        <v>480</v>
      </c>
      <c r="AF256" s="53" t="s">
        <v>480</v>
      </c>
      <c r="AG256" s="53" t="s">
        <v>480</v>
      </c>
      <c r="AH256" s="53" t="s">
        <v>480</v>
      </c>
      <c r="AI256" s="53" t="s">
        <v>480</v>
      </c>
      <c r="AJ256" s="53" t="s">
        <v>480</v>
      </c>
      <c r="AK256" s="53" t="s">
        <v>480</v>
      </c>
      <c r="AL256" s="53" t="s">
        <v>480</v>
      </c>
      <c r="AM256" s="53">
        <v>-0.25</v>
      </c>
      <c r="AQ256">
        <f t="shared" si="7"/>
        <v>1</v>
      </c>
      <c r="AR256" t="s">
        <v>344</v>
      </c>
    </row>
    <row r="257" spans="1:44" x14ac:dyDescent="0.25">
      <c r="A257" s="1">
        <f>COUNTIF('Value Matchup'!$D$356:$D$423,PASE!B257)</f>
        <v>0</v>
      </c>
      <c r="B257" t="s">
        <v>345</v>
      </c>
      <c r="C257" s="64">
        <f t="shared" si="6"/>
        <v>-0.16911764705882354</v>
      </c>
      <c r="E257" s="91" t="s">
        <v>480</v>
      </c>
      <c r="F257" s="53" t="s">
        <v>480</v>
      </c>
      <c r="G257" s="53" t="s">
        <v>480</v>
      </c>
      <c r="H257" s="53" t="s">
        <v>480</v>
      </c>
      <c r="I257" s="53" t="s">
        <v>480</v>
      </c>
      <c r="J257" s="53" t="s">
        <v>480</v>
      </c>
      <c r="K257" s="53" t="s">
        <v>480</v>
      </c>
      <c r="L257" s="53" t="s">
        <v>480</v>
      </c>
      <c r="M257" s="53" t="s">
        <v>480</v>
      </c>
      <c r="N257" s="53" t="s">
        <v>480</v>
      </c>
      <c r="O257" s="53" t="s">
        <v>480</v>
      </c>
      <c r="P257" s="53" t="s">
        <v>480</v>
      </c>
      <c r="Q257" s="53" t="s">
        <v>480</v>
      </c>
      <c r="R257" s="53" t="s">
        <v>480</v>
      </c>
      <c r="S257" s="53" t="s">
        <v>480</v>
      </c>
      <c r="T257" s="53" t="s">
        <v>480</v>
      </c>
      <c r="U257" s="53" t="s">
        <v>480</v>
      </c>
      <c r="V257" s="53" t="s">
        <v>480</v>
      </c>
      <c r="W257" s="53" t="s">
        <v>480</v>
      </c>
      <c r="X257" s="53" t="s">
        <v>480</v>
      </c>
      <c r="Y257" s="53" t="s">
        <v>480</v>
      </c>
      <c r="Z257" s="53">
        <v>-0.16911764705882354</v>
      </c>
      <c r="AA257" s="53" t="s">
        <v>480</v>
      </c>
      <c r="AB257" s="53" t="s">
        <v>480</v>
      </c>
      <c r="AC257" s="53" t="s">
        <v>480</v>
      </c>
      <c r="AD257" s="53" t="s">
        <v>480</v>
      </c>
      <c r="AE257" s="53" t="s">
        <v>480</v>
      </c>
      <c r="AF257" s="53" t="s">
        <v>480</v>
      </c>
      <c r="AG257" s="53" t="s">
        <v>480</v>
      </c>
      <c r="AH257" s="53" t="s">
        <v>480</v>
      </c>
      <c r="AI257" s="53" t="s">
        <v>480</v>
      </c>
      <c r="AJ257" s="53" t="s">
        <v>480</v>
      </c>
      <c r="AK257" s="53" t="s">
        <v>480</v>
      </c>
      <c r="AL257" s="53" t="s">
        <v>480</v>
      </c>
      <c r="AM257" s="53" t="s">
        <v>480</v>
      </c>
      <c r="AQ257">
        <f t="shared" si="7"/>
        <v>1</v>
      </c>
      <c r="AR257" t="s">
        <v>345</v>
      </c>
    </row>
    <row r="258" spans="1:44" x14ac:dyDescent="0.25">
      <c r="A258" s="1">
        <f>COUNTIF('Value Matchup'!$D$356:$D$423,PASE!B258)</f>
        <v>0</v>
      </c>
      <c r="B258" t="s">
        <v>346</v>
      </c>
      <c r="C258" s="64">
        <f t="shared" si="6"/>
        <v>-7.3529411764705881E-3</v>
      </c>
      <c r="E258" s="91" t="s">
        <v>480</v>
      </c>
      <c r="F258" s="53" t="s">
        <v>480</v>
      </c>
      <c r="G258" s="53" t="s">
        <v>480</v>
      </c>
      <c r="H258" s="53" t="s">
        <v>480</v>
      </c>
      <c r="I258" s="53" t="s">
        <v>480</v>
      </c>
      <c r="J258" s="53" t="s">
        <v>480</v>
      </c>
      <c r="K258" s="53" t="s">
        <v>480</v>
      </c>
      <c r="L258" s="53" t="s">
        <v>480</v>
      </c>
      <c r="M258" s="53" t="s">
        <v>480</v>
      </c>
      <c r="N258" s="53" t="s">
        <v>480</v>
      </c>
      <c r="O258" s="53" t="s">
        <v>480</v>
      </c>
      <c r="P258" s="53" t="s">
        <v>480</v>
      </c>
      <c r="Q258" s="53" t="s">
        <v>480</v>
      </c>
      <c r="R258" s="53" t="s">
        <v>480</v>
      </c>
      <c r="S258" s="53" t="s">
        <v>480</v>
      </c>
      <c r="T258" s="53" t="s">
        <v>480</v>
      </c>
      <c r="U258" s="53" t="s">
        <v>480</v>
      </c>
      <c r="V258" s="53" t="s">
        <v>480</v>
      </c>
      <c r="W258" s="53" t="s">
        <v>480</v>
      </c>
      <c r="X258" s="53" t="s">
        <v>480</v>
      </c>
      <c r="Y258" s="53" t="s">
        <v>480</v>
      </c>
      <c r="Z258" s="53" t="s">
        <v>480</v>
      </c>
      <c r="AA258" s="53" t="s">
        <v>480</v>
      </c>
      <c r="AB258" s="53">
        <v>-7.3529411764705881E-3</v>
      </c>
      <c r="AC258" s="53" t="s">
        <v>480</v>
      </c>
      <c r="AD258" s="53" t="s">
        <v>480</v>
      </c>
      <c r="AE258" s="53" t="s">
        <v>480</v>
      </c>
      <c r="AF258" s="53" t="s">
        <v>480</v>
      </c>
      <c r="AG258" s="53" t="s">
        <v>480</v>
      </c>
      <c r="AH258" s="53" t="s">
        <v>480</v>
      </c>
      <c r="AI258" s="53" t="s">
        <v>480</v>
      </c>
      <c r="AJ258" s="53" t="s">
        <v>480</v>
      </c>
      <c r="AK258" s="53" t="s">
        <v>480</v>
      </c>
      <c r="AL258" s="53" t="s">
        <v>480</v>
      </c>
      <c r="AM258" s="53" t="s">
        <v>480</v>
      </c>
      <c r="AQ258">
        <f t="shared" si="7"/>
        <v>1</v>
      </c>
      <c r="AR258" t="s">
        <v>346</v>
      </c>
    </row>
    <row r="259" spans="1:44" x14ac:dyDescent="0.25">
      <c r="A259" s="1">
        <f>COUNTIF('Value Matchup'!$D$356:$D$423,PASE!B259)</f>
        <v>0</v>
      </c>
      <c r="B259" t="s">
        <v>347</v>
      </c>
      <c r="C259" s="64">
        <f t="shared" si="6"/>
        <v>0.1875</v>
      </c>
      <c r="E259" s="91" t="s">
        <v>480</v>
      </c>
      <c r="F259" s="53" t="s">
        <v>480</v>
      </c>
      <c r="G259" s="53" t="s">
        <v>480</v>
      </c>
      <c r="H259" s="53" t="s">
        <v>480</v>
      </c>
      <c r="I259" s="53" t="s">
        <v>480</v>
      </c>
      <c r="J259" s="53" t="s">
        <v>480</v>
      </c>
      <c r="K259" s="53" t="s">
        <v>480</v>
      </c>
      <c r="L259" s="53" t="s">
        <v>480</v>
      </c>
      <c r="M259" s="53" t="s">
        <v>480</v>
      </c>
      <c r="N259" s="53" t="s">
        <v>480</v>
      </c>
      <c r="O259" s="53" t="s">
        <v>480</v>
      </c>
      <c r="P259" s="53" t="s">
        <v>480</v>
      </c>
      <c r="Q259" s="53" t="s">
        <v>480</v>
      </c>
      <c r="R259" s="53" t="s">
        <v>480</v>
      </c>
      <c r="S259" s="53" t="s">
        <v>480</v>
      </c>
      <c r="T259" s="53" t="s">
        <v>480</v>
      </c>
      <c r="U259" s="53" t="s">
        <v>480</v>
      </c>
      <c r="V259" s="53" t="s">
        <v>480</v>
      </c>
      <c r="W259" s="53" t="s">
        <v>480</v>
      </c>
      <c r="X259" s="53" t="s">
        <v>480</v>
      </c>
      <c r="Y259" s="53" t="s">
        <v>480</v>
      </c>
      <c r="Z259" s="53" t="s">
        <v>480</v>
      </c>
      <c r="AA259" s="53" t="s">
        <v>480</v>
      </c>
      <c r="AB259" s="53">
        <v>0.38235294117647056</v>
      </c>
      <c r="AC259" s="53">
        <v>-0.5</v>
      </c>
      <c r="AD259" s="53" t="s">
        <v>480</v>
      </c>
      <c r="AE259" s="53">
        <v>0.93382352941176472</v>
      </c>
      <c r="AF259" s="53" t="s">
        <v>480</v>
      </c>
      <c r="AG259" s="53" t="s">
        <v>480</v>
      </c>
      <c r="AH259" s="53" t="s">
        <v>480</v>
      </c>
      <c r="AI259" s="53" t="s">
        <v>480</v>
      </c>
      <c r="AJ259" s="53" t="s">
        <v>480</v>
      </c>
      <c r="AK259" s="53">
        <v>-6.6176470588235295E-2</v>
      </c>
      <c r="AL259" s="53" t="s">
        <v>480</v>
      </c>
      <c r="AM259" s="53" t="s">
        <v>480</v>
      </c>
      <c r="AQ259">
        <f t="shared" si="7"/>
        <v>1</v>
      </c>
      <c r="AR259" t="s">
        <v>347</v>
      </c>
    </row>
    <row r="260" spans="1:44" x14ac:dyDescent="0.25">
      <c r="A260" s="1">
        <f>COUNTIF('Value Matchup'!$D$356:$D$423,PASE!B260)</f>
        <v>0</v>
      </c>
      <c r="B260" t="s">
        <v>348</v>
      </c>
      <c r="C260" s="64">
        <f t="shared" ref="C260:C323" si="8">IFERROR(AVERAGE(E260:AM260),0)</f>
        <v>0</v>
      </c>
      <c r="E260" s="91" t="s">
        <v>480</v>
      </c>
      <c r="F260" s="53" t="s">
        <v>480</v>
      </c>
      <c r="G260" s="53" t="s">
        <v>480</v>
      </c>
      <c r="H260" s="53" t="s">
        <v>480</v>
      </c>
      <c r="I260" s="53" t="s">
        <v>480</v>
      </c>
      <c r="J260" s="53" t="s">
        <v>480</v>
      </c>
      <c r="K260" s="53" t="s">
        <v>480</v>
      </c>
      <c r="L260" s="53" t="s">
        <v>480</v>
      </c>
      <c r="M260" s="53" t="s">
        <v>480</v>
      </c>
      <c r="N260" s="53" t="s">
        <v>480</v>
      </c>
      <c r="O260" s="53" t="s">
        <v>480</v>
      </c>
      <c r="P260" s="53" t="s">
        <v>480</v>
      </c>
      <c r="Q260" s="53" t="s">
        <v>480</v>
      </c>
      <c r="R260" s="53" t="s">
        <v>480</v>
      </c>
      <c r="S260" s="53" t="s">
        <v>480</v>
      </c>
      <c r="T260" s="53" t="s">
        <v>480</v>
      </c>
      <c r="U260" s="53" t="s">
        <v>480</v>
      </c>
      <c r="V260" s="53" t="s">
        <v>480</v>
      </c>
      <c r="W260" s="53" t="s">
        <v>480</v>
      </c>
      <c r="X260" s="53" t="s">
        <v>480</v>
      </c>
      <c r="Y260" s="53" t="s">
        <v>480</v>
      </c>
      <c r="Z260" s="53" t="s">
        <v>480</v>
      </c>
      <c r="AA260" s="53" t="s">
        <v>480</v>
      </c>
      <c r="AB260" s="53" t="s">
        <v>480</v>
      </c>
      <c r="AC260" s="53" t="s">
        <v>480</v>
      </c>
      <c r="AD260" s="53" t="s">
        <v>480</v>
      </c>
      <c r="AE260" s="53" t="s">
        <v>480</v>
      </c>
      <c r="AF260" s="53" t="s">
        <v>480</v>
      </c>
      <c r="AG260" s="53" t="s">
        <v>480</v>
      </c>
      <c r="AH260" s="53" t="s">
        <v>480</v>
      </c>
      <c r="AI260" s="53" t="s">
        <v>480</v>
      </c>
      <c r="AJ260" s="53" t="s">
        <v>480</v>
      </c>
      <c r="AK260" s="53" t="s">
        <v>480</v>
      </c>
      <c r="AL260" s="53" t="s">
        <v>480</v>
      </c>
      <c r="AM260" s="53" t="s">
        <v>480</v>
      </c>
      <c r="AQ260">
        <f t="shared" ref="AQ260:AQ323" si="9">COUNTIF(B:B,AR260)</f>
        <v>1</v>
      </c>
      <c r="AR260" t="s">
        <v>348</v>
      </c>
    </row>
    <row r="261" spans="1:44" x14ac:dyDescent="0.25">
      <c r="A261" s="1">
        <f>COUNTIF('Value Matchup'!$D$356:$D$423,PASE!B261)</f>
        <v>0</v>
      </c>
      <c r="B261" t="s">
        <v>349</v>
      </c>
      <c r="C261" s="64">
        <f t="shared" si="8"/>
        <v>0</v>
      </c>
      <c r="E261" s="91" t="s">
        <v>480</v>
      </c>
      <c r="F261" s="53" t="s">
        <v>480</v>
      </c>
      <c r="G261" s="53" t="s">
        <v>480</v>
      </c>
      <c r="H261" s="53" t="s">
        <v>480</v>
      </c>
      <c r="I261" s="53" t="s">
        <v>480</v>
      </c>
      <c r="J261" s="53" t="s">
        <v>480</v>
      </c>
      <c r="K261" s="53" t="s">
        <v>480</v>
      </c>
      <c r="L261" s="53" t="s">
        <v>480</v>
      </c>
      <c r="M261" s="53" t="s">
        <v>480</v>
      </c>
      <c r="N261" s="53" t="s">
        <v>480</v>
      </c>
      <c r="O261" s="53" t="s">
        <v>480</v>
      </c>
      <c r="P261" s="53" t="s">
        <v>480</v>
      </c>
      <c r="Q261" s="53" t="s">
        <v>480</v>
      </c>
      <c r="R261" s="53" t="s">
        <v>480</v>
      </c>
      <c r="S261" s="53" t="s">
        <v>480</v>
      </c>
      <c r="T261" s="53" t="s">
        <v>480</v>
      </c>
      <c r="U261" s="53" t="s">
        <v>480</v>
      </c>
      <c r="V261" s="53" t="s">
        <v>480</v>
      </c>
      <c r="W261" s="53" t="s">
        <v>480</v>
      </c>
      <c r="X261" s="53" t="s">
        <v>480</v>
      </c>
      <c r="Y261" s="53" t="s">
        <v>480</v>
      </c>
      <c r="Z261" s="53" t="s">
        <v>480</v>
      </c>
      <c r="AA261" s="53" t="s">
        <v>480</v>
      </c>
      <c r="AB261" s="53" t="s">
        <v>480</v>
      </c>
      <c r="AC261" s="53" t="s">
        <v>480</v>
      </c>
      <c r="AD261" s="53" t="s">
        <v>480</v>
      </c>
      <c r="AE261" s="53" t="s">
        <v>480</v>
      </c>
      <c r="AF261" s="53" t="s">
        <v>480</v>
      </c>
      <c r="AG261" s="53" t="s">
        <v>480</v>
      </c>
      <c r="AH261" s="53" t="s">
        <v>480</v>
      </c>
      <c r="AI261" s="53" t="s">
        <v>480</v>
      </c>
      <c r="AJ261" s="53" t="s">
        <v>480</v>
      </c>
      <c r="AK261" s="53" t="s">
        <v>480</v>
      </c>
      <c r="AL261" s="53" t="s">
        <v>480</v>
      </c>
      <c r="AM261" s="53" t="s">
        <v>480</v>
      </c>
      <c r="AQ261">
        <f t="shared" si="9"/>
        <v>1</v>
      </c>
      <c r="AR261" t="s">
        <v>349</v>
      </c>
    </row>
    <row r="262" spans="1:44" x14ac:dyDescent="0.25">
      <c r="A262" s="1">
        <f>COUNTIF('Value Matchup'!$D$356:$D$423,PASE!B262)</f>
        <v>0</v>
      </c>
      <c r="B262" t="s">
        <v>87</v>
      </c>
      <c r="C262" s="64">
        <f t="shared" si="8"/>
        <v>0.16373626373626374</v>
      </c>
      <c r="E262" s="91">
        <v>-0.62142857142857144</v>
      </c>
      <c r="F262" s="53">
        <v>0.27941176470588236</v>
      </c>
      <c r="G262" s="53">
        <v>-0.58823529411764708</v>
      </c>
      <c r="H262" s="53">
        <v>-1.0808823529411764</v>
      </c>
      <c r="I262" s="53" t="s">
        <v>480</v>
      </c>
      <c r="J262" s="53" t="s">
        <v>480</v>
      </c>
      <c r="K262" s="53" t="s">
        <v>480</v>
      </c>
      <c r="L262" s="53" t="s">
        <v>480</v>
      </c>
      <c r="M262" s="53" t="s">
        <v>480</v>
      </c>
      <c r="N262" s="53" t="s">
        <v>480</v>
      </c>
      <c r="O262" s="53" t="s">
        <v>480</v>
      </c>
      <c r="P262" s="53" t="s">
        <v>480</v>
      </c>
      <c r="Q262" s="53" t="s">
        <v>480</v>
      </c>
      <c r="R262" s="53">
        <v>-0.61764705882352944</v>
      </c>
      <c r="S262" s="53" t="s">
        <v>480</v>
      </c>
      <c r="T262" s="53">
        <v>0.27941176470588236</v>
      </c>
      <c r="U262" s="53" t="s">
        <v>480</v>
      </c>
      <c r="V262" s="53" t="s">
        <v>480</v>
      </c>
      <c r="W262" s="53" t="s">
        <v>480</v>
      </c>
      <c r="X262" s="53">
        <v>1.3823529411764706</v>
      </c>
      <c r="Y262" s="53" t="s">
        <v>480</v>
      </c>
      <c r="Z262" s="53" t="s">
        <v>480</v>
      </c>
      <c r="AA262" s="53" t="s">
        <v>480</v>
      </c>
      <c r="AB262" s="53" t="s">
        <v>480</v>
      </c>
      <c r="AC262" s="53" t="s">
        <v>480</v>
      </c>
      <c r="AD262" s="53">
        <v>-0.61764705882352944</v>
      </c>
      <c r="AE262" s="53">
        <v>-1.3602941176470589</v>
      </c>
      <c r="AF262" s="53">
        <v>0.45588235294117641</v>
      </c>
      <c r="AG262" s="53">
        <v>1.1691176470588236</v>
      </c>
      <c r="AH262" s="53" t="s">
        <v>480</v>
      </c>
      <c r="AI262" s="53">
        <v>3.1691176470588234</v>
      </c>
      <c r="AJ262" s="53">
        <v>0.27941176470588236</v>
      </c>
      <c r="AK262" s="53" t="s">
        <v>480</v>
      </c>
      <c r="AL262" s="53" t="s">
        <v>480</v>
      </c>
      <c r="AM262" s="53" t="s">
        <v>480</v>
      </c>
      <c r="AQ262">
        <f t="shared" si="9"/>
        <v>1</v>
      </c>
      <c r="AR262" t="s">
        <v>87</v>
      </c>
    </row>
    <row r="263" spans="1:44" x14ac:dyDescent="0.25">
      <c r="A263" s="1">
        <f>COUNTIF('Value Matchup'!$D$356:$D$423,PASE!B263)</f>
        <v>0</v>
      </c>
      <c r="B263" t="s">
        <v>350</v>
      </c>
      <c r="C263" s="64">
        <f t="shared" si="8"/>
        <v>0.24754901960784315</v>
      </c>
      <c r="E263" s="91" t="s">
        <v>480</v>
      </c>
      <c r="F263" s="53" t="s">
        <v>480</v>
      </c>
      <c r="G263" s="53" t="s">
        <v>480</v>
      </c>
      <c r="H263" s="53" t="s">
        <v>480</v>
      </c>
      <c r="I263" s="53" t="s">
        <v>480</v>
      </c>
      <c r="J263" s="53" t="s">
        <v>480</v>
      </c>
      <c r="K263" s="53" t="s">
        <v>480</v>
      </c>
      <c r="L263" s="53" t="s">
        <v>480</v>
      </c>
      <c r="M263" s="53" t="s">
        <v>480</v>
      </c>
      <c r="N263" s="53">
        <v>-0.25</v>
      </c>
      <c r="O263" s="53">
        <v>0.41176470588235292</v>
      </c>
      <c r="P263" s="53">
        <v>0.75</v>
      </c>
      <c r="Q263" s="53" t="s">
        <v>480</v>
      </c>
      <c r="R263" s="53" t="s">
        <v>480</v>
      </c>
      <c r="S263" s="53" t="s">
        <v>480</v>
      </c>
      <c r="T263" s="53" t="s">
        <v>480</v>
      </c>
      <c r="U263" s="53" t="s">
        <v>480</v>
      </c>
      <c r="V263" s="53">
        <v>-7.3529411764705881E-3</v>
      </c>
      <c r="W263" s="53" t="s">
        <v>480</v>
      </c>
      <c r="X263" s="53" t="s">
        <v>480</v>
      </c>
      <c r="Y263" s="53">
        <v>-0.25</v>
      </c>
      <c r="Z263" s="53" t="s">
        <v>480</v>
      </c>
      <c r="AA263" s="53" t="s">
        <v>480</v>
      </c>
      <c r="AB263" s="53" t="s">
        <v>480</v>
      </c>
      <c r="AC263" s="53" t="s">
        <v>480</v>
      </c>
      <c r="AD263" s="53" t="s">
        <v>480</v>
      </c>
      <c r="AE263" s="53" t="s">
        <v>480</v>
      </c>
      <c r="AF263" s="53" t="s">
        <v>480</v>
      </c>
      <c r="AG263" s="53" t="s">
        <v>480</v>
      </c>
      <c r="AH263" s="53" t="s">
        <v>480</v>
      </c>
      <c r="AI263" s="53">
        <v>0.83088235294117641</v>
      </c>
      <c r="AJ263" s="53" t="s">
        <v>480</v>
      </c>
      <c r="AK263" s="53" t="s">
        <v>480</v>
      </c>
      <c r="AL263" s="53" t="s">
        <v>480</v>
      </c>
      <c r="AM263" s="53" t="s">
        <v>480</v>
      </c>
      <c r="AQ263">
        <f t="shared" si="9"/>
        <v>1</v>
      </c>
      <c r="AR263" t="s">
        <v>350</v>
      </c>
    </row>
    <row r="264" spans="1:44" x14ac:dyDescent="0.25">
      <c r="A264" s="1">
        <f>COUNTIF('Value Matchup'!$D$356:$D$423,PASE!B264)</f>
        <v>0</v>
      </c>
      <c r="B264" t="s">
        <v>351</v>
      </c>
      <c r="C264" s="64">
        <f t="shared" si="8"/>
        <v>0</v>
      </c>
      <c r="E264" s="91" t="s">
        <v>480</v>
      </c>
      <c r="F264" s="53" t="s">
        <v>480</v>
      </c>
      <c r="G264" s="53" t="s">
        <v>480</v>
      </c>
      <c r="H264" s="53" t="s">
        <v>480</v>
      </c>
      <c r="I264" s="53" t="s">
        <v>480</v>
      </c>
      <c r="J264" s="53" t="s">
        <v>480</v>
      </c>
      <c r="K264" s="53" t="s">
        <v>480</v>
      </c>
      <c r="L264" s="53" t="s">
        <v>480</v>
      </c>
      <c r="M264" s="53" t="s">
        <v>480</v>
      </c>
      <c r="N264" s="53" t="s">
        <v>480</v>
      </c>
      <c r="O264" s="53" t="s">
        <v>480</v>
      </c>
      <c r="P264" s="53" t="s">
        <v>480</v>
      </c>
      <c r="Q264" s="53" t="s">
        <v>480</v>
      </c>
      <c r="R264" s="53" t="s">
        <v>480</v>
      </c>
      <c r="S264" s="53" t="s">
        <v>480</v>
      </c>
      <c r="T264" s="53" t="s">
        <v>480</v>
      </c>
      <c r="U264" s="53" t="s">
        <v>480</v>
      </c>
      <c r="V264" s="53" t="s">
        <v>480</v>
      </c>
      <c r="W264" s="53" t="s">
        <v>480</v>
      </c>
      <c r="X264" s="53" t="s">
        <v>480</v>
      </c>
      <c r="Y264" s="53" t="s">
        <v>480</v>
      </c>
      <c r="Z264" s="53" t="s">
        <v>480</v>
      </c>
      <c r="AA264" s="53" t="s">
        <v>480</v>
      </c>
      <c r="AB264" s="53" t="s">
        <v>480</v>
      </c>
      <c r="AC264" s="53" t="s">
        <v>480</v>
      </c>
      <c r="AD264" s="53" t="s">
        <v>480</v>
      </c>
      <c r="AE264" s="53" t="s">
        <v>480</v>
      </c>
      <c r="AF264" s="53" t="s">
        <v>480</v>
      </c>
      <c r="AG264" s="53" t="s">
        <v>480</v>
      </c>
      <c r="AH264" s="53" t="s">
        <v>480</v>
      </c>
      <c r="AI264" s="53" t="s">
        <v>480</v>
      </c>
      <c r="AJ264" s="53" t="s">
        <v>480</v>
      </c>
      <c r="AK264" s="53" t="s">
        <v>480</v>
      </c>
      <c r="AL264" s="53" t="s">
        <v>480</v>
      </c>
      <c r="AM264" s="53" t="s">
        <v>480</v>
      </c>
      <c r="AQ264">
        <f t="shared" si="9"/>
        <v>1</v>
      </c>
      <c r="AR264" t="s">
        <v>351</v>
      </c>
    </row>
    <row r="265" spans="1:44" x14ac:dyDescent="0.25">
      <c r="A265" s="1">
        <f>COUNTIF('Value Matchup'!$D$356:$D$423,PASE!B265)</f>
        <v>0</v>
      </c>
      <c r="B265" t="s">
        <v>352</v>
      </c>
      <c r="C265" s="64">
        <f t="shared" si="8"/>
        <v>-0.56470588235294117</v>
      </c>
      <c r="E265" s="91" t="s">
        <v>480</v>
      </c>
      <c r="F265" s="53" t="s">
        <v>480</v>
      </c>
      <c r="G265" s="53">
        <v>-1.0808823529411764</v>
      </c>
      <c r="H265" s="53" t="s">
        <v>480</v>
      </c>
      <c r="I265" s="53">
        <v>-1.0808823529411764</v>
      </c>
      <c r="J265" s="53" t="s">
        <v>480</v>
      </c>
      <c r="K265" s="53" t="s">
        <v>480</v>
      </c>
      <c r="L265" s="53" t="s">
        <v>480</v>
      </c>
      <c r="M265" s="53" t="s">
        <v>480</v>
      </c>
      <c r="N265" s="53" t="s">
        <v>480</v>
      </c>
      <c r="O265" s="53" t="s">
        <v>480</v>
      </c>
      <c r="P265" s="53" t="s">
        <v>480</v>
      </c>
      <c r="Q265" s="53" t="s">
        <v>480</v>
      </c>
      <c r="R265" s="53" t="s">
        <v>480</v>
      </c>
      <c r="S265" s="53" t="s">
        <v>480</v>
      </c>
      <c r="T265" s="53" t="s">
        <v>480</v>
      </c>
      <c r="U265" s="53" t="s">
        <v>480</v>
      </c>
      <c r="V265" s="53" t="s">
        <v>480</v>
      </c>
      <c r="W265" s="53" t="s">
        <v>480</v>
      </c>
      <c r="X265" s="53" t="s">
        <v>480</v>
      </c>
      <c r="Y265" s="53" t="s">
        <v>480</v>
      </c>
      <c r="Z265" s="53" t="s">
        <v>480</v>
      </c>
      <c r="AA265" s="53" t="s">
        <v>480</v>
      </c>
      <c r="AB265" s="53" t="s">
        <v>480</v>
      </c>
      <c r="AC265" s="53" t="s">
        <v>480</v>
      </c>
      <c r="AD265" s="53" t="s">
        <v>480</v>
      </c>
      <c r="AE265" s="53">
        <v>-0.61764705882352944</v>
      </c>
      <c r="AF265" s="53" t="s">
        <v>480</v>
      </c>
      <c r="AG265" s="53" t="s">
        <v>480</v>
      </c>
      <c r="AH265" s="53" t="s">
        <v>480</v>
      </c>
      <c r="AI265" s="53" t="s">
        <v>480</v>
      </c>
      <c r="AJ265" s="53">
        <v>7.3529411764705843E-2</v>
      </c>
      <c r="AK265" s="53" t="s">
        <v>480</v>
      </c>
      <c r="AL265" s="53" t="s">
        <v>480</v>
      </c>
      <c r="AM265" s="53">
        <v>-0.11764705882352944</v>
      </c>
      <c r="AQ265">
        <f t="shared" si="9"/>
        <v>1</v>
      </c>
      <c r="AR265" t="s">
        <v>352</v>
      </c>
    </row>
    <row r="266" spans="1:44" x14ac:dyDescent="0.25">
      <c r="A266" s="1">
        <f>COUNTIF('Value Matchup'!$D$356:$D$423,PASE!B266)</f>
        <v>0</v>
      </c>
      <c r="B266" t="s">
        <v>353</v>
      </c>
      <c r="C266" s="64">
        <f t="shared" si="8"/>
        <v>-0.23529411764705885</v>
      </c>
      <c r="E266" s="91" t="s">
        <v>480</v>
      </c>
      <c r="F266" s="53" t="s">
        <v>480</v>
      </c>
      <c r="G266" s="53" t="s">
        <v>480</v>
      </c>
      <c r="H266" s="53" t="s">
        <v>480</v>
      </c>
      <c r="I266" s="53" t="s">
        <v>480</v>
      </c>
      <c r="J266" s="53" t="s">
        <v>480</v>
      </c>
      <c r="K266" s="53" t="s">
        <v>480</v>
      </c>
      <c r="L266" s="53" t="s">
        <v>480</v>
      </c>
      <c r="M266" s="53" t="s">
        <v>480</v>
      </c>
      <c r="N266" s="53" t="s">
        <v>480</v>
      </c>
      <c r="O266" s="53" t="s">
        <v>480</v>
      </c>
      <c r="P266" s="53">
        <v>-0.61764705882352944</v>
      </c>
      <c r="Q266" s="53" t="s">
        <v>480</v>
      </c>
      <c r="R266" s="53">
        <v>-0.16911764705882354</v>
      </c>
      <c r="S266" s="53" t="s">
        <v>480</v>
      </c>
      <c r="T266" s="53" t="s">
        <v>480</v>
      </c>
      <c r="U266" s="53" t="s">
        <v>480</v>
      </c>
      <c r="V266" s="53" t="s">
        <v>480</v>
      </c>
      <c r="W266" s="53" t="s">
        <v>480</v>
      </c>
      <c r="X266" s="53" t="s">
        <v>480</v>
      </c>
      <c r="Y266" s="53" t="s">
        <v>480</v>
      </c>
      <c r="Z266" s="53">
        <v>-0.5</v>
      </c>
      <c r="AA266" s="53">
        <v>-0.25</v>
      </c>
      <c r="AB266" s="53" t="s">
        <v>480</v>
      </c>
      <c r="AC266" s="53" t="s">
        <v>480</v>
      </c>
      <c r="AD266" s="53" t="s">
        <v>480</v>
      </c>
      <c r="AE266" s="53" t="s">
        <v>480</v>
      </c>
      <c r="AF266" s="53" t="s">
        <v>480</v>
      </c>
      <c r="AG266" s="53">
        <v>-0.25</v>
      </c>
      <c r="AH266" s="53" t="s">
        <v>480</v>
      </c>
      <c r="AI266" s="53">
        <v>0.375</v>
      </c>
      <c r="AJ266" s="53" t="s">
        <v>480</v>
      </c>
      <c r="AK266" s="53" t="s">
        <v>480</v>
      </c>
      <c r="AL266" s="53" t="s">
        <v>480</v>
      </c>
      <c r="AM266" s="53" t="s">
        <v>480</v>
      </c>
      <c r="AQ266">
        <f t="shared" si="9"/>
        <v>1</v>
      </c>
      <c r="AR266" t="s">
        <v>353</v>
      </c>
    </row>
    <row r="267" spans="1:44" x14ac:dyDescent="0.25">
      <c r="A267" s="1">
        <f>COUNTIF('Value Matchup'!$D$356:$D$423,PASE!B267)</f>
        <v>0</v>
      </c>
      <c r="B267" t="s">
        <v>354</v>
      </c>
      <c r="C267" s="64">
        <f t="shared" si="8"/>
        <v>-0.44705882352941179</v>
      </c>
      <c r="E267" s="91" t="s">
        <v>480</v>
      </c>
      <c r="F267" s="53" t="s">
        <v>480</v>
      </c>
      <c r="G267" s="53">
        <v>3.0735294117647056</v>
      </c>
      <c r="H267" s="53" t="s">
        <v>480</v>
      </c>
      <c r="I267" s="53" t="s">
        <v>480</v>
      </c>
      <c r="J267" s="53" t="s">
        <v>480</v>
      </c>
      <c r="K267" s="53" t="s">
        <v>480</v>
      </c>
      <c r="L267" s="53" t="s">
        <v>480</v>
      </c>
      <c r="M267" s="53" t="s">
        <v>480</v>
      </c>
      <c r="N267" s="53" t="s">
        <v>480</v>
      </c>
      <c r="O267" s="53" t="s">
        <v>480</v>
      </c>
      <c r="P267" s="53" t="s">
        <v>480</v>
      </c>
      <c r="Q267" s="53" t="s">
        <v>480</v>
      </c>
      <c r="R267" s="53" t="s">
        <v>480</v>
      </c>
      <c r="S267" s="53" t="s">
        <v>480</v>
      </c>
      <c r="T267" s="53">
        <v>-0.61764705882352944</v>
      </c>
      <c r="U267" s="53" t="s">
        <v>480</v>
      </c>
      <c r="V267" s="53" t="s">
        <v>480</v>
      </c>
      <c r="W267" s="53" t="s">
        <v>480</v>
      </c>
      <c r="X267" s="53" t="s">
        <v>480</v>
      </c>
      <c r="Y267" s="53" t="s">
        <v>480</v>
      </c>
      <c r="Z267" s="53">
        <v>-1.8308823529411764</v>
      </c>
      <c r="AA267" s="53">
        <v>-2.3602941176470589</v>
      </c>
      <c r="AB267" s="53" t="s">
        <v>480</v>
      </c>
      <c r="AC267" s="53" t="s">
        <v>480</v>
      </c>
      <c r="AD267" s="53" t="s">
        <v>480</v>
      </c>
      <c r="AE267" s="53" t="s">
        <v>480</v>
      </c>
      <c r="AF267" s="53" t="s">
        <v>480</v>
      </c>
      <c r="AG267" s="53" t="s">
        <v>480</v>
      </c>
      <c r="AH267" s="53" t="s">
        <v>480</v>
      </c>
      <c r="AI267" s="53">
        <v>-0.5</v>
      </c>
      <c r="AJ267" s="53" t="s">
        <v>480</v>
      </c>
      <c r="AK267" s="53" t="s">
        <v>480</v>
      </c>
      <c r="AL267" s="53" t="s">
        <v>480</v>
      </c>
      <c r="AM267" s="53" t="s">
        <v>480</v>
      </c>
      <c r="AQ267">
        <f t="shared" si="9"/>
        <v>1</v>
      </c>
      <c r="AR267" t="s">
        <v>354</v>
      </c>
    </row>
    <row r="268" spans="1:44" x14ac:dyDescent="0.25">
      <c r="A268" s="1">
        <f>COUNTIF('Value Matchup'!$D$356:$D$423,PASE!B268)</f>
        <v>0</v>
      </c>
      <c r="B268" t="s">
        <v>355</v>
      </c>
      <c r="C268" s="64">
        <f t="shared" si="8"/>
        <v>-4.2647058823529413E-2</v>
      </c>
      <c r="E268" s="91" t="s">
        <v>480</v>
      </c>
      <c r="F268" s="53" t="s">
        <v>480</v>
      </c>
      <c r="G268" s="53" t="s">
        <v>480</v>
      </c>
      <c r="H268" s="53" t="s">
        <v>480</v>
      </c>
      <c r="I268" s="53" t="s">
        <v>480</v>
      </c>
      <c r="J268" s="53" t="s">
        <v>480</v>
      </c>
      <c r="K268" s="53" t="s">
        <v>480</v>
      </c>
      <c r="L268" s="53" t="s">
        <v>480</v>
      </c>
      <c r="M268" s="53" t="s">
        <v>480</v>
      </c>
      <c r="N268" s="53" t="s">
        <v>480</v>
      </c>
      <c r="O268" s="53" t="s">
        <v>480</v>
      </c>
      <c r="P268" s="53" t="s">
        <v>480</v>
      </c>
      <c r="Q268" s="53" t="s">
        <v>480</v>
      </c>
      <c r="R268" s="53" t="s">
        <v>480</v>
      </c>
      <c r="S268" s="53" t="s">
        <v>480</v>
      </c>
      <c r="T268" s="53" t="s">
        <v>480</v>
      </c>
      <c r="U268" s="53">
        <v>-7.3529411764705881E-3</v>
      </c>
      <c r="V268" s="53" t="s">
        <v>480</v>
      </c>
      <c r="W268" s="53" t="s">
        <v>480</v>
      </c>
      <c r="X268" s="53">
        <v>-7.3529411764705881E-3</v>
      </c>
      <c r="Y268" s="53" t="s">
        <v>480</v>
      </c>
      <c r="Z268" s="53">
        <v>-6.6176470588235295E-2</v>
      </c>
      <c r="AA268" s="53" t="s">
        <v>480</v>
      </c>
      <c r="AB268" s="53">
        <v>-6.6176470588235295E-2</v>
      </c>
      <c r="AC268" s="53" t="s">
        <v>480</v>
      </c>
      <c r="AD268" s="53" t="s">
        <v>480</v>
      </c>
      <c r="AE268" s="53" t="s">
        <v>480</v>
      </c>
      <c r="AF268" s="53" t="s">
        <v>480</v>
      </c>
      <c r="AG268" s="53" t="s">
        <v>480</v>
      </c>
      <c r="AH268" s="53" t="s">
        <v>480</v>
      </c>
      <c r="AI268" s="53">
        <v>-6.6176470588235295E-2</v>
      </c>
      <c r="AJ268" s="53" t="s">
        <v>480</v>
      </c>
      <c r="AK268" s="53" t="s">
        <v>480</v>
      </c>
      <c r="AL268" s="53" t="s">
        <v>480</v>
      </c>
      <c r="AM268" s="53" t="s">
        <v>480</v>
      </c>
      <c r="AQ268">
        <f t="shared" si="9"/>
        <v>1</v>
      </c>
      <c r="AR268" t="s">
        <v>355</v>
      </c>
    </row>
    <row r="269" spans="1:44" x14ac:dyDescent="0.25">
      <c r="A269" s="1">
        <f>COUNTIF('Value Matchup'!$D$356:$D$423,PASE!B269)</f>
        <v>0</v>
      </c>
      <c r="B269" t="s">
        <v>356</v>
      </c>
      <c r="C269" s="64">
        <f t="shared" si="8"/>
        <v>0</v>
      </c>
      <c r="E269" s="91" t="s">
        <v>480</v>
      </c>
      <c r="F269" s="53" t="s">
        <v>480</v>
      </c>
      <c r="G269" s="53" t="s">
        <v>480</v>
      </c>
      <c r="H269" s="53" t="s">
        <v>480</v>
      </c>
      <c r="I269" s="53" t="s">
        <v>480</v>
      </c>
      <c r="J269" s="53" t="s">
        <v>480</v>
      </c>
      <c r="K269" s="53" t="s">
        <v>480</v>
      </c>
      <c r="L269" s="53" t="s">
        <v>480</v>
      </c>
      <c r="M269" s="53" t="s">
        <v>480</v>
      </c>
      <c r="N269" s="53" t="s">
        <v>480</v>
      </c>
      <c r="O269" s="53" t="s">
        <v>480</v>
      </c>
      <c r="P269" s="53" t="s">
        <v>480</v>
      </c>
      <c r="Q269" s="53" t="s">
        <v>480</v>
      </c>
      <c r="R269" s="53" t="s">
        <v>480</v>
      </c>
      <c r="S269" s="53" t="s">
        <v>480</v>
      </c>
      <c r="T269" s="53" t="s">
        <v>480</v>
      </c>
      <c r="U269" s="53" t="s">
        <v>480</v>
      </c>
      <c r="V269" s="53" t="s">
        <v>480</v>
      </c>
      <c r="W269" s="53" t="s">
        <v>480</v>
      </c>
      <c r="X269" s="53" t="s">
        <v>480</v>
      </c>
      <c r="Y269" s="53" t="s">
        <v>480</v>
      </c>
      <c r="Z269" s="53" t="s">
        <v>480</v>
      </c>
      <c r="AA269" s="53" t="s">
        <v>480</v>
      </c>
      <c r="AB269" s="53" t="s">
        <v>480</v>
      </c>
      <c r="AC269" s="53" t="s">
        <v>480</v>
      </c>
      <c r="AD269" s="53" t="s">
        <v>480</v>
      </c>
      <c r="AE269" s="53" t="s">
        <v>480</v>
      </c>
      <c r="AF269" s="53" t="s">
        <v>480</v>
      </c>
      <c r="AG269" s="53" t="s">
        <v>480</v>
      </c>
      <c r="AH269" s="53" t="s">
        <v>480</v>
      </c>
      <c r="AI269" s="53" t="s">
        <v>480</v>
      </c>
      <c r="AJ269" s="53" t="s">
        <v>480</v>
      </c>
      <c r="AK269" s="53" t="s">
        <v>480</v>
      </c>
      <c r="AL269" s="53" t="s">
        <v>480</v>
      </c>
      <c r="AM269" s="53" t="s">
        <v>480</v>
      </c>
      <c r="AQ269">
        <f t="shared" si="9"/>
        <v>1</v>
      </c>
      <c r="AR269" t="s">
        <v>356</v>
      </c>
    </row>
    <row r="270" spans="1:44" x14ac:dyDescent="0.25">
      <c r="A270" s="1">
        <f>COUNTIF('Value Matchup'!$D$356:$D$423,PASE!B270)</f>
        <v>0</v>
      </c>
      <c r="B270" t="s">
        <v>357</v>
      </c>
      <c r="C270" s="64">
        <f t="shared" si="8"/>
        <v>-0.3547794117647059</v>
      </c>
      <c r="E270" s="91" t="s">
        <v>480</v>
      </c>
      <c r="F270" s="53">
        <v>-0.5</v>
      </c>
      <c r="G270" s="53" t="s">
        <v>480</v>
      </c>
      <c r="H270" s="53">
        <v>-0.5</v>
      </c>
      <c r="I270" s="53" t="s">
        <v>480</v>
      </c>
      <c r="J270" s="53" t="s">
        <v>480</v>
      </c>
      <c r="K270" s="53">
        <v>-0.25</v>
      </c>
      <c r="L270" s="53">
        <v>-0.16911764705882354</v>
      </c>
      <c r="M270" s="53" t="s">
        <v>480</v>
      </c>
      <c r="N270" s="53" t="s">
        <v>480</v>
      </c>
      <c r="O270" s="53" t="s">
        <v>480</v>
      </c>
      <c r="P270" s="53" t="s">
        <v>480</v>
      </c>
      <c r="Q270" s="53" t="s">
        <v>480</v>
      </c>
      <c r="R270" s="53" t="s">
        <v>480</v>
      </c>
      <c r="S270" s="53" t="s">
        <v>480</v>
      </c>
      <c r="T270" s="53" t="s">
        <v>480</v>
      </c>
      <c r="U270" s="53" t="s">
        <v>480</v>
      </c>
      <c r="V270" s="53" t="s">
        <v>480</v>
      </c>
      <c r="W270" s="53" t="s">
        <v>480</v>
      </c>
      <c r="X270" s="53" t="s">
        <v>480</v>
      </c>
      <c r="Y270" s="53" t="s">
        <v>480</v>
      </c>
      <c r="Z270" s="53" t="s">
        <v>480</v>
      </c>
      <c r="AA270" s="53" t="s">
        <v>480</v>
      </c>
      <c r="AB270" s="53" t="s">
        <v>480</v>
      </c>
      <c r="AC270" s="53" t="s">
        <v>480</v>
      </c>
      <c r="AD270" s="53" t="s">
        <v>480</v>
      </c>
      <c r="AE270" s="53" t="s">
        <v>480</v>
      </c>
      <c r="AF270" s="53" t="s">
        <v>480</v>
      </c>
      <c r="AG270" s="53" t="s">
        <v>480</v>
      </c>
      <c r="AH270" s="53" t="s">
        <v>480</v>
      </c>
      <c r="AI270" s="53" t="s">
        <v>480</v>
      </c>
      <c r="AJ270" s="53" t="s">
        <v>480</v>
      </c>
      <c r="AK270" s="53" t="s">
        <v>480</v>
      </c>
      <c r="AL270" s="53" t="s">
        <v>480</v>
      </c>
      <c r="AM270" s="53" t="s">
        <v>480</v>
      </c>
      <c r="AQ270">
        <f t="shared" si="9"/>
        <v>1</v>
      </c>
      <c r="AR270" t="s">
        <v>357</v>
      </c>
    </row>
    <row r="271" spans="1:44" x14ac:dyDescent="0.25">
      <c r="A271" s="1">
        <f>COUNTIF('Value Matchup'!$D$356:$D$423,PASE!B271)</f>
        <v>0</v>
      </c>
      <c r="B271" t="s">
        <v>358</v>
      </c>
      <c r="C271" s="64">
        <f t="shared" si="8"/>
        <v>-6.3725490196078427E-2</v>
      </c>
      <c r="E271" s="91" t="s">
        <v>480</v>
      </c>
      <c r="F271" s="53" t="s">
        <v>480</v>
      </c>
      <c r="G271" s="53" t="s">
        <v>480</v>
      </c>
      <c r="H271" s="53" t="s">
        <v>480</v>
      </c>
      <c r="I271" s="53" t="s">
        <v>480</v>
      </c>
      <c r="J271" s="53" t="s">
        <v>480</v>
      </c>
      <c r="K271" s="53" t="s">
        <v>480</v>
      </c>
      <c r="L271" s="53">
        <v>0.5</v>
      </c>
      <c r="M271" s="53" t="s">
        <v>480</v>
      </c>
      <c r="N271" s="53" t="s">
        <v>480</v>
      </c>
      <c r="O271" s="53" t="s">
        <v>480</v>
      </c>
      <c r="P271" s="53" t="s">
        <v>480</v>
      </c>
      <c r="Q271" s="53" t="s">
        <v>480</v>
      </c>
      <c r="R271" s="53" t="s">
        <v>480</v>
      </c>
      <c r="S271" s="53" t="s">
        <v>480</v>
      </c>
      <c r="T271" s="53" t="s">
        <v>480</v>
      </c>
      <c r="U271" s="53" t="s">
        <v>480</v>
      </c>
      <c r="V271" s="53" t="s">
        <v>480</v>
      </c>
      <c r="W271" s="53" t="s">
        <v>480</v>
      </c>
      <c r="X271" s="53" t="s">
        <v>480</v>
      </c>
      <c r="Y271" s="53" t="s">
        <v>480</v>
      </c>
      <c r="Z271" s="53" t="s">
        <v>480</v>
      </c>
      <c r="AA271" s="53" t="s">
        <v>480</v>
      </c>
      <c r="AB271" s="53" t="s">
        <v>480</v>
      </c>
      <c r="AC271" s="53" t="s">
        <v>480</v>
      </c>
      <c r="AD271" s="53" t="s">
        <v>480</v>
      </c>
      <c r="AE271" s="53" t="s">
        <v>480</v>
      </c>
      <c r="AF271" s="53">
        <v>-0.625</v>
      </c>
      <c r="AG271" s="53" t="s">
        <v>480</v>
      </c>
      <c r="AH271" s="53">
        <v>-6.6176470588235295E-2</v>
      </c>
      <c r="AI271" s="53" t="s">
        <v>480</v>
      </c>
      <c r="AJ271" s="53" t="s">
        <v>480</v>
      </c>
      <c r="AK271" s="53" t="s">
        <v>480</v>
      </c>
      <c r="AL271" s="53" t="s">
        <v>480</v>
      </c>
      <c r="AM271" s="53" t="s">
        <v>480</v>
      </c>
      <c r="AQ271">
        <f t="shared" si="9"/>
        <v>1</v>
      </c>
      <c r="AR271" t="s">
        <v>358</v>
      </c>
    </row>
    <row r="272" spans="1:44" x14ac:dyDescent="0.25">
      <c r="A272" s="1">
        <f>COUNTIF('Value Matchup'!$D$356:$D$423,PASE!B272)</f>
        <v>0</v>
      </c>
      <c r="B272" t="s">
        <v>359</v>
      </c>
      <c r="C272" s="64">
        <f t="shared" si="8"/>
        <v>-0.25</v>
      </c>
      <c r="E272" s="91" t="s">
        <v>480</v>
      </c>
      <c r="F272" s="53" t="s">
        <v>480</v>
      </c>
      <c r="G272" s="53" t="s">
        <v>480</v>
      </c>
      <c r="H272" s="53" t="s">
        <v>480</v>
      </c>
      <c r="I272" s="53" t="s">
        <v>480</v>
      </c>
      <c r="J272" s="53" t="s">
        <v>480</v>
      </c>
      <c r="K272" s="53" t="s">
        <v>480</v>
      </c>
      <c r="L272" s="53" t="s">
        <v>480</v>
      </c>
      <c r="M272" s="53" t="s">
        <v>480</v>
      </c>
      <c r="N272" s="53" t="s">
        <v>480</v>
      </c>
      <c r="O272" s="53" t="s">
        <v>480</v>
      </c>
      <c r="P272" s="53" t="s">
        <v>480</v>
      </c>
      <c r="Q272" s="53" t="s">
        <v>480</v>
      </c>
      <c r="R272" s="53" t="s">
        <v>480</v>
      </c>
      <c r="S272" s="53" t="s">
        <v>480</v>
      </c>
      <c r="T272" s="53" t="s">
        <v>480</v>
      </c>
      <c r="U272" s="53" t="s">
        <v>480</v>
      </c>
      <c r="V272" s="53" t="s">
        <v>480</v>
      </c>
      <c r="W272" s="53" t="s">
        <v>480</v>
      </c>
      <c r="X272" s="53">
        <v>-0.25</v>
      </c>
      <c r="Y272" s="53" t="s">
        <v>480</v>
      </c>
      <c r="Z272" s="53" t="s">
        <v>480</v>
      </c>
      <c r="AA272" s="53" t="s">
        <v>480</v>
      </c>
      <c r="AB272" s="53" t="s">
        <v>480</v>
      </c>
      <c r="AC272" s="53" t="s">
        <v>480</v>
      </c>
      <c r="AD272" s="53" t="s">
        <v>480</v>
      </c>
      <c r="AE272" s="53" t="s">
        <v>480</v>
      </c>
      <c r="AF272" s="53" t="s">
        <v>480</v>
      </c>
      <c r="AG272" s="53" t="s">
        <v>480</v>
      </c>
      <c r="AH272" s="53" t="s">
        <v>480</v>
      </c>
      <c r="AI272" s="53" t="s">
        <v>480</v>
      </c>
      <c r="AJ272" s="53" t="s">
        <v>480</v>
      </c>
      <c r="AK272" s="53" t="s">
        <v>480</v>
      </c>
      <c r="AL272" s="53" t="s">
        <v>480</v>
      </c>
      <c r="AM272" s="53" t="s">
        <v>480</v>
      </c>
      <c r="AQ272">
        <f t="shared" si="9"/>
        <v>1</v>
      </c>
      <c r="AR272" t="s">
        <v>359</v>
      </c>
    </row>
    <row r="273" spans="1:44" x14ac:dyDescent="0.25">
      <c r="A273" s="1">
        <f>COUNTIF('Value Matchup'!$D$356:$D$423,PASE!B273)</f>
        <v>0</v>
      </c>
      <c r="B273" t="s">
        <v>360</v>
      </c>
      <c r="C273" s="64">
        <f t="shared" si="8"/>
        <v>-6.6176470588235295E-2</v>
      </c>
      <c r="E273" s="91" t="s">
        <v>480</v>
      </c>
      <c r="F273" s="53" t="s">
        <v>480</v>
      </c>
      <c r="G273" s="53" t="s">
        <v>480</v>
      </c>
      <c r="H273" s="53" t="s">
        <v>480</v>
      </c>
      <c r="I273" s="53" t="s">
        <v>480</v>
      </c>
      <c r="J273" s="53" t="s">
        <v>480</v>
      </c>
      <c r="K273" s="53" t="s">
        <v>480</v>
      </c>
      <c r="L273" s="53" t="s">
        <v>480</v>
      </c>
      <c r="M273" s="53" t="s">
        <v>480</v>
      </c>
      <c r="N273" s="53" t="s">
        <v>480</v>
      </c>
      <c r="O273" s="53" t="s">
        <v>480</v>
      </c>
      <c r="P273" s="53" t="s">
        <v>480</v>
      </c>
      <c r="Q273" s="53" t="s">
        <v>480</v>
      </c>
      <c r="R273" s="53" t="s">
        <v>480</v>
      </c>
      <c r="S273" s="53">
        <v>-6.6176470588235295E-2</v>
      </c>
      <c r="T273" s="53" t="s">
        <v>480</v>
      </c>
      <c r="U273" s="53" t="s">
        <v>480</v>
      </c>
      <c r="V273" s="53" t="s">
        <v>480</v>
      </c>
      <c r="W273" s="53" t="s">
        <v>480</v>
      </c>
      <c r="X273" s="53" t="s">
        <v>480</v>
      </c>
      <c r="Y273" s="53" t="s">
        <v>480</v>
      </c>
      <c r="Z273" s="53" t="s">
        <v>480</v>
      </c>
      <c r="AA273" s="53" t="s">
        <v>480</v>
      </c>
      <c r="AB273" s="53" t="s">
        <v>480</v>
      </c>
      <c r="AC273" s="53" t="s">
        <v>480</v>
      </c>
      <c r="AD273" s="53" t="s">
        <v>480</v>
      </c>
      <c r="AE273" s="53" t="s">
        <v>480</v>
      </c>
      <c r="AF273" s="53" t="s">
        <v>480</v>
      </c>
      <c r="AG273" s="53" t="s">
        <v>480</v>
      </c>
      <c r="AH273" s="53" t="s">
        <v>480</v>
      </c>
      <c r="AI273" s="53" t="s">
        <v>480</v>
      </c>
      <c r="AJ273" s="53" t="s">
        <v>480</v>
      </c>
      <c r="AK273" s="53" t="s">
        <v>480</v>
      </c>
      <c r="AL273" s="53" t="s">
        <v>480</v>
      </c>
      <c r="AM273" s="53" t="s">
        <v>480</v>
      </c>
      <c r="AQ273">
        <f t="shared" si="9"/>
        <v>1</v>
      </c>
      <c r="AR273" t="s">
        <v>360</v>
      </c>
    </row>
    <row r="274" spans="1:44" x14ac:dyDescent="0.25">
      <c r="A274" s="1">
        <f>COUNTIF('Value Matchup'!$D$356:$D$423,PASE!B274)</f>
        <v>0</v>
      </c>
      <c r="B274" t="s">
        <v>361</v>
      </c>
      <c r="C274" s="64">
        <f t="shared" si="8"/>
        <v>6.5257352941176475E-2</v>
      </c>
      <c r="E274" s="91" t="s">
        <v>480</v>
      </c>
      <c r="F274" s="53" t="s">
        <v>480</v>
      </c>
      <c r="G274" s="53" t="s">
        <v>480</v>
      </c>
      <c r="H274" s="53">
        <v>-7.3529411764705881E-3</v>
      </c>
      <c r="I274" s="53" t="s">
        <v>480</v>
      </c>
      <c r="J274" s="53" t="s">
        <v>480</v>
      </c>
      <c r="K274" s="53">
        <v>-7.3529411764705881E-3</v>
      </c>
      <c r="L274" s="53" t="s">
        <v>480</v>
      </c>
      <c r="M274" s="53" t="s">
        <v>480</v>
      </c>
      <c r="N274" s="53" t="s">
        <v>480</v>
      </c>
      <c r="O274" s="53" t="s">
        <v>480</v>
      </c>
      <c r="P274" s="53" t="s">
        <v>480</v>
      </c>
      <c r="Q274" s="53" t="s">
        <v>480</v>
      </c>
      <c r="R274" s="53">
        <v>-7.3529411764705881E-3</v>
      </c>
      <c r="S274" s="53" t="s">
        <v>480</v>
      </c>
      <c r="T274" s="53" t="s">
        <v>480</v>
      </c>
      <c r="U274" s="53" t="s">
        <v>480</v>
      </c>
      <c r="V274" s="53" t="s">
        <v>480</v>
      </c>
      <c r="W274" s="53" t="s">
        <v>480</v>
      </c>
      <c r="X274" s="53" t="s">
        <v>480</v>
      </c>
      <c r="Y274" s="53" t="s">
        <v>480</v>
      </c>
      <c r="Z274" s="53" t="s">
        <v>480</v>
      </c>
      <c r="AA274" s="53" t="s">
        <v>480</v>
      </c>
      <c r="AB274" s="53" t="s">
        <v>480</v>
      </c>
      <c r="AC274" s="53" t="s">
        <v>480</v>
      </c>
      <c r="AD274" s="53" t="s">
        <v>480</v>
      </c>
      <c r="AE274" s="53">
        <v>0.75</v>
      </c>
      <c r="AF274" s="53" t="s">
        <v>480</v>
      </c>
      <c r="AG274" s="53" t="s">
        <v>480</v>
      </c>
      <c r="AH274" s="53" t="s">
        <v>480</v>
      </c>
      <c r="AI274" s="53">
        <v>-6.6176470588235295E-2</v>
      </c>
      <c r="AJ274" s="53">
        <v>-6.6176470588235295E-2</v>
      </c>
      <c r="AK274" s="53">
        <v>-6.6176470588235295E-2</v>
      </c>
      <c r="AL274" s="53" t="s">
        <v>480</v>
      </c>
      <c r="AM274" s="53">
        <v>-7.3529411764705881E-3</v>
      </c>
      <c r="AQ274">
        <f t="shared" si="9"/>
        <v>1</v>
      </c>
      <c r="AR274" t="s">
        <v>361</v>
      </c>
    </row>
    <row r="275" spans="1:44" x14ac:dyDescent="0.25">
      <c r="A275" s="1">
        <f>COUNTIF('Value Matchup'!$D$356:$D$423,PASE!B275)</f>
        <v>0</v>
      </c>
      <c r="B275" t="s">
        <v>362</v>
      </c>
      <c r="C275" s="64">
        <f t="shared" si="8"/>
        <v>-0.14950980392156865</v>
      </c>
      <c r="E275" s="91" t="s">
        <v>480</v>
      </c>
      <c r="F275" s="53" t="s">
        <v>480</v>
      </c>
      <c r="G275" s="53" t="s">
        <v>480</v>
      </c>
      <c r="H275" s="53" t="s">
        <v>480</v>
      </c>
      <c r="I275" s="53" t="s">
        <v>480</v>
      </c>
      <c r="J275" s="53" t="s">
        <v>480</v>
      </c>
      <c r="K275" s="53" t="s">
        <v>480</v>
      </c>
      <c r="L275" s="53" t="s">
        <v>480</v>
      </c>
      <c r="M275" s="53" t="s">
        <v>480</v>
      </c>
      <c r="N275" s="53" t="s">
        <v>480</v>
      </c>
      <c r="O275" s="53" t="s">
        <v>480</v>
      </c>
      <c r="P275" s="53" t="s">
        <v>480</v>
      </c>
      <c r="Q275" s="53">
        <v>0.45588235294117641</v>
      </c>
      <c r="R275" s="53">
        <v>-0.625</v>
      </c>
      <c r="S275" s="53">
        <v>7.3529411764705843E-2</v>
      </c>
      <c r="T275" s="53">
        <v>-0.58823529411764708</v>
      </c>
      <c r="U275" s="53">
        <v>-0.625</v>
      </c>
      <c r="V275" s="53">
        <v>1.375</v>
      </c>
      <c r="W275" s="53" t="s">
        <v>480</v>
      </c>
      <c r="X275" s="53" t="s">
        <v>480</v>
      </c>
      <c r="Y275" s="53" t="s">
        <v>480</v>
      </c>
      <c r="Z275" s="53" t="s">
        <v>480</v>
      </c>
      <c r="AA275" s="53" t="s">
        <v>480</v>
      </c>
      <c r="AB275" s="53" t="s">
        <v>480</v>
      </c>
      <c r="AC275" s="53">
        <v>-0.61764705882352944</v>
      </c>
      <c r="AD275" s="53">
        <v>-0.625</v>
      </c>
      <c r="AE275" s="53">
        <v>-0.16911764705882354</v>
      </c>
      <c r="AF275" s="53" t="s">
        <v>480</v>
      </c>
      <c r="AG275" s="53" t="s">
        <v>480</v>
      </c>
      <c r="AH275" s="53" t="s">
        <v>480</v>
      </c>
      <c r="AI275" s="53" t="s">
        <v>480</v>
      </c>
      <c r="AJ275" s="53" t="s">
        <v>480</v>
      </c>
      <c r="AK275" s="53" t="s">
        <v>480</v>
      </c>
      <c r="AL275" s="53" t="s">
        <v>480</v>
      </c>
      <c r="AM275" s="53" t="s">
        <v>480</v>
      </c>
      <c r="AQ275">
        <f t="shared" si="9"/>
        <v>1</v>
      </c>
      <c r="AR275" t="s">
        <v>362</v>
      </c>
    </row>
    <row r="276" spans="1:44" x14ac:dyDescent="0.25">
      <c r="A276" s="1">
        <f>COUNTIF('Value Matchup'!$D$356:$D$423,PASE!B276)</f>
        <v>0</v>
      </c>
      <c r="B276" t="s">
        <v>363</v>
      </c>
      <c r="C276" s="64">
        <f t="shared" si="8"/>
        <v>-0.48774509803921573</v>
      </c>
      <c r="E276" s="91" t="s">
        <v>480</v>
      </c>
      <c r="F276" s="53" t="s">
        <v>480</v>
      </c>
      <c r="G276" s="53" t="s">
        <v>480</v>
      </c>
      <c r="H276" s="53" t="s">
        <v>480</v>
      </c>
      <c r="I276" s="53" t="s">
        <v>480</v>
      </c>
      <c r="J276" s="53" t="s">
        <v>480</v>
      </c>
      <c r="K276" s="53" t="s">
        <v>480</v>
      </c>
      <c r="L276" s="53">
        <v>-0.58823529411764708</v>
      </c>
      <c r="M276" s="53" t="s">
        <v>480</v>
      </c>
      <c r="N276" s="53" t="s">
        <v>480</v>
      </c>
      <c r="O276" s="53" t="s">
        <v>480</v>
      </c>
      <c r="P276" s="53" t="s">
        <v>480</v>
      </c>
      <c r="Q276" s="53" t="s">
        <v>480</v>
      </c>
      <c r="R276" s="53" t="s">
        <v>480</v>
      </c>
      <c r="S276" s="53" t="s">
        <v>480</v>
      </c>
      <c r="T276" s="53" t="s">
        <v>480</v>
      </c>
      <c r="U276" s="53" t="s">
        <v>480</v>
      </c>
      <c r="V276" s="53" t="s">
        <v>480</v>
      </c>
      <c r="W276" s="53" t="s">
        <v>480</v>
      </c>
      <c r="X276" s="53" t="s">
        <v>480</v>
      </c>
      <c r="Y276" s="53" t="s">
        <v>480</v>
      </c>
      <c r="Z276" s="53" t="s">
        <v>480</v>
      </c>
      <c r="AA276" s="53" t="s">
        <v>480</v>
      </c>
      <c r="AB276" s="53" t="s">
        <v>480</v>
      </c>
      <c r="AC276" s="53" t="s">
        <v>480</v>
      </c>
      <c r="AD276" s="53" t="s">
        <v>480</v>
      </c>
      <c r="AE276" s="53" t="s">
        <v>480</v>
      </c>
      <c r="AF276" s="53" t="s">
        <v>480</v>
      </c>
      <c r="AG276" s="53">
        <v>-0.625</v>
      </c>
      <c r="AH276" s="53">
        <v>-0.25</v>
      </c>
      <c r="AI276" s="53" t="s">
        <v>480</v>
      </c>
      <c r="AJ276" s="53" t="s">
        <v>480</v>
      </c>
      <c r="AK276" s="53" t="s">
        <v>480</v>
      </c>
      <c r="AL276" s="53" t="s">
        <v>480</v>
      </c>
      <c r="AM276" s="53" t="s">
        <v>480</v>
      </c>
      <c r="AQ276">
        <f t="shared" si="9"/>
        <v>1</v>
      </c>
      <c r="AR276" t="s">
        <v>363</v>
      </c>
    </row>
    <row r="277" spans="1:44" x14ac:dyDescent="0.25">
      <c r="A277" s="1">
        <f>COUNTIF('Value Matchup'!$D$356:$D$423,PASE!B277)</f>
        <v>0</v>
      </c>
      <c r="B277" t="s">
        <v>364</v>
      </c>
      <c r="C277" s="64">
        <f t="shared" si="8"/>
        <v>-0.16911764705882354</v>
      </c>
      <c r="E277" s="91" t="s">
        <v>480</v>
      </c>
      <c r="F277" s="53" t="s">
        <v>480</v>
      </c>
      <c r="G277" s="53" t="s">
        <v>480</v>
      </c>
      <c r="H277" s="53" t="s">
        <v>480</v>
      </c>
      <c r="I277" s="53" t="s">
        <v>480</v>
      </c>
      <c r="J277" s="53" t="s">
        <v>480</v>
      </c>
      <c r="K277" s="53" t="s">
        <v>480</v>
      </c>
      <c r="L277" s="53" t="s">
        <v>480</v>
      </c>
      <c r="M277" s="53" t="s">
        <v>480</v>
      </c>
      <c r="N277" s="53" t="s">
        <v>480</v>
      </c>
      <c r="O277" s="53" t="s">
        <v>480</v>
      </c>
      <c r="P277" s="53" t="s">
        <v>480</v>
      </c>
      <c r="Q277" s="53" t="s">
        <v>480</v>
      </c>
      <c r="R277" s="53" t="s">
        <v>480</v>
      </c>
      <c r="S277" s="53" t="s">
        <v>480</v>
      </c>
      <c r="T277" s="53" t="s">
        <v>480</v>
      </c>
      <c r="U277" s="53" t="s">
        <v>480</v>
      </c>
      <c r="V277" s="53" t="s">
        <v>480</v>
      </c>
      <c r="W277" s="53">
        <v>-0.16911764705882354</v>
      </c>
      <c r="X277" s="53" t="s">
        <v>480</v>
      </c>
      <c r="Y277" s="53" t="s">
        <v>480</v>
      </c>
      <c r="Z277" s="53" t="s">
        <v>480</v>
      </c>
      <c r="AA277" s="53" t="s">
        <v>480</v>
      </c>
      <c r="AB277" s="53" t="s">
        <v>480</v>
      </c>
      <c r="AC277" s="53" t="s">
        <v>480</v>
      </c>
      <c r="AD277" s="53" t="s">
        <v>480</v>
      </c>
      <c r="AE277" s="53" t="s">
        <v>480</v>
      </c>
      <c r="AF277" s="53" t="s">
        <v>480</v>
      </c>
      <c r="AG277" s="53" t="s">
        <v>480</v>
      </c>
      <c r="AH277" s="53" t="s">
        <v>480</v>
      </c>
      <c r="AI277" s="53" t="s">
        <v>480</v>
      </c>
      <c r="AJ277" s="53" t="s">
        <v>480</v>
      </c>
      <c r="AK277" s="53" t="s">
        <v>480</v>
      </c>
      <c r="AL277" s="53" t="s">
        <v>480</v>
      </c>
      <c r="AM277" s="53" t="s">
        <v>480</v>
      </c>
      <c r="AQ277">
        <f t="shared" si="9"/>
        <v>1</v>
      </c>
      <c r="AR277" t="s">
        <v>364</v>
      </c>
    </row>
    <row r="278" spans="1:44" x14ac:dyDescent="0.25">
      <c r="A278" s="1">
        <f>COUNTIF('Value Matchup'!$D$356:$D$423,PASE!B278)</f>
        <v>1</v>
      </c>
      <c r="B278" t="s">
        <v>365</v>
      </c>
      <c r="C278" s="64">
        <f t="shared" si="8"/>
        <v>-0.43137254901960786</v>
      </c>
      <c r="E278" s="91" t="s">
        <v>480</v>
      </c>
      <c r="F278" s="53">
        <v>-0.625</v>
      </c>
      <c r="G278" s="53" t="s">
        <v>480</v>
      </c>
      <c r="H278" s="53" t="s">
        <v>480</v>
      </c>
      <c r="I278" s="53" t="s">
        <v>480</v>
      </c>
      <c r="J278" s="53" t="s">
        <v>480</v>
      </c>
      <c r="K278" s="53" t="s">
        <v>480</v>
      </c>
      <c r="L278" s="53">
        <v>-0.16911764705882354</v>
      </c>
      <c r="M278" s="53" t="s">
        <v>480</v>
      </c>
      <c r="N278" s="53" t="s">
        <v>480</v>
      </c>
      <c r="O278" s="53" t="s">
        <v>480</v>
      </c>
      <c r="P278" s="53" t="s">
        <v>480</v>
      </c>
      <c r="Q278" s="53" t="s">
        <v>480</v>
      </c>
      <c r="R278" s="53" t="s">
        <v>480</v>
      </c>
      <c r="S278" s="53" t="s">
        <v>480</v>
      </c>
      <c r="T278" s="53" t="s">
        <v>480</v>
      </c>
      <c r="U278" s="53" t="s">
        <v>480</v>
      </c>
      <c r="V278" s="53" t="s">
        <v>480</v>
      </c>
      <c r="W278" s="53" t="s">
        <v>480</v>
      </c>
      <c r="X278" s="53">
        <v>-0.5</v>
      </c>
      <c r="Y278" s="53" t="s">
        <v>480</v>
      </c>
      <c r="Z278" s="53" t="s">
        <v>480</v>
      </c>
      <c r="AA278" s="53" t="s">
        <v>480</v>
      </c>
      <c r="AB278" s="53" t="s">
        <v>480</v>
      </c>
      <c r="AC278" s="53" t="s">
        <v>480</v>
      </c>
      <c r="AD278" s="53" t="s">
        <v>480</v>
      </c>
      <c r="AE278" s="53" t="s">
        <v>480</v>
      </c>
      <c r="AF278" s="53" t="s">
        <v>480</v>
      </c>
      <c r="AG278" s="53" t="s">
        <v>480</v>
      </c>
      <c r="AH278" s="53" t="s">
        <v>480</v>
      </c>
      <c r="AI278" s="53" t="s">
        <v>480</v>
      </c>
      <c r="AJ278" s="53" t="s">
        <v>480</v>
      </c>
      <c r="AK278" s="53" t="s">
        <v>480</v>
      </c>
      <c r="AL278" s="53" t="s">
        <v>480</v>
      </c>
      <c r="AM278" s="53" t="s">
        <v>480</v>
      </c>
      <c r="AQ278">
        <f t="shared" si="9"/>
        <v>1</v>
      </c>
      <c r="AR278" t="s">
        <v>365</v>
      </c>
    </row>
    <row r="279" spans="1:44" x14ac:dyDescent="0.25">
      <c r="A279" s="1">
        <f>COUNTIF('Value Matchup'!$D$356:$D$423,PASE!B279)</f>
        <v>0</v>
      </c>
      <c r="B279" t="s">
        <v>366</v>
      </c>
      <c r="C279" s="64">
        <f t="shared" si="8"/>
        <v>0</v>
      </c>
      <c r="E279" s="91" t="s">
        <v>480</v>
      </c>
      <c r="F279" s="53" t="s">
        <v>480</v>
      </c>
      <c r="G279" s="53" t="s">
        <v>480</v>
      </c>
      <c r="H279" s="53" t="s">
        <v>480</v>
      </c>
      <c r="I279" s="53" t="s">
        <v>480</v>
      </c>
      <c r="J279" s="53" t="s">
        <v>480</v>
      </c>
      <c r="K279" s="53" t="s">
        <v>480</v>
      </c>
      <c r="L279" s="53" t="s">
        <v>480</v>
      </c>
      <c r="M279" s="53" t="s">
        <v>480</v>
      </c>
      <c r="N279" s="53" t="s">
        <v>480</v>
      </c>
      <c r="O279" s="53" t="s">
        <v>480</v>
      </c>
      <c r="P279" s="53" t="s">
        <v>480</v>
      </c>
      <c r="Q279" s="53" t="s">
        <v>480</v>
      </c>
      <c r="R279" s="53" t="s">
        <v>480</v>
      </c>
      <c r="S279" s="53" t="s">
        <v>480</v>
      </c>
      <c r="T279" s="53" t="s">
        <v>480</v>
      </c>
      <c r="U279" s="53" t="s">
        <v>480</v>
      </c>
      <c r="V279" s="53" t="s">
        <v>480</v>
      </c>
      <c r="W279" s="53" t="s">
        <v>480</v>
      </c>
      <c r="X279" s="53" t="s">
        <v>480</v>
      </c>
      <c r="Y279" s="53" t="s">
        <v>480</v>
      </c>
      <c r="Z279" s="53" t="s">
        <v>480</v>
      </c>
      <c r="AA279" s="53" t="s">
        <v>480</v>
      </c>
      <c r="AB279" s="53" t="s">
        <v>480</v>
      </c>
      <c r="AC279" s="53" t="s">
        <v>480</v>
      </c>
      <c r="AD279" s="53" t="s">
        <v>480</v>
      </c>
      <c r="AE279" s="53" t="s">
        <v>480</v>
      </c>
      <c r="AF279" s="53" t="s">
        <v>480</v>
      </c>
      <c r="AG279" s="53" t="s">
        <v>480</v>
      </c>
      <c r="AH279" s="53" t="s">
        <v>480</v>
      </c>
      <c r="AI279" s="53" t="s">
        <v>480</v>
      </c>
      <c r="AJ279" s="53" t="s">
        <v>480</v>
      </c>
      <c r="AK279" s="53" t="s">
        <v>480</v>
      </c>
      <c r="AL279" s="53" t="s">
        <v>480</v>
      </c>
      <c r="AM279" s="53" t="s">
        <v>480</v>
      </c>
      <c r="AQ279">
        <f t="shared" si="9"/>
        <v>1</v>
      </c>
      <c r="AR279" t="s">
        <v>366</v>
      </c>
    </row>
    <row r="280" spans="1:44" x14ac:dyDescent="0.25">
      <c r="A280" s="1">
        <f>COUNTIF('Value Matchup'!$D$356:$D$423,PASE!B280)</f>
        <v>0</v>
      </c>
      <c r="B280" t="s">
        <v>367</v>
      </c>
      <c r="C280" s="64">
        <f t="shared" si="8"/>
        <v>-6.6176470588235295E-2</v>
      </c>
      <c r="E280" s="91" t="s">
        <v>480</v>
      </c>
      <c r="F280" s="53" t="s">
        <v>480</v>
      </c>
      <c r="G280" s="53" t="s">
        <v>480</v>
      </c>
      <c r="H280" s="53" t="s">
        <v>480</v>
      </c>
      <c r="I280" s="53" t="s">
        <v>480</v>
      </c>
      <c r="J280" s="53" t="s">
        <v>480</v>
      </c>
      <c r="K280" s="53" t="s">
        <v>480</v>
      </c>
      <c r="L280" s="53" t="s">
        <v>480</v>
      </c>
      <c r="M280" s="53" t="s">
        <v>480</v>
      </c>
      <c r="N280" s="53" t="s">
        <v>480</v>
      </c>
      <c r="O280" s="53" t="s">
        <v>480</v>
      </c>
      <c r="P280" s="53" t="s">
        <v>480</v>
      </c>
      <c r="Q280" s="53" t="s">
        <v>480</v>
      </c>
      <c r="R280" s="53" t="s">
        <v>480</v>
      </c>
      <c r="S280" s="53" t="s">
        <v>480</v>
      </c>
      <c r="T280" s="53" t="s">
        <v>480</v>
      </c>
      <c r="U280" s="53" t="s">
        <v>480</v>
      </c>
      <c r="V280" s="53" t="s">
        <v>480</v>
      </c>
      <c r="W280" s="53" t="s">
        <v>480</v>
      </c>
      <c r="X280" s="53" t="s">
        <v>480</v>
      </c>
      <c r="Y280" s="53" t="s">
        <v>480</v>
      </c>
      <c r="Z280" s="53" t="s">
        <v>480</v>
      </c>
      <c r="AA280" s="53" t="s">
        <v>480</v>
      </c>
      <c r="AB280" s="53" t="s">
        <v>480</v>
      </c>
      <c r="AC280" s="53" t="s">
        <v>480</v>
      </c>
      <c r="AD280" s="53" t="s">
        <v>480</v>
      </c>
      <c r="AE280" s="53" t="s">
        <v>480</v>
      </c>
      <c r="AF280" s="53" t="s">
        <v>480</v>
      </c>
      <c r="AG280" s="53">
        <v>-6.6176470588235295E-2</v>
      </c>
      <c r="AH280" s="53" t="s">
        <v>480</v>
      </c>
      <c r="AI280" s="53" t="s">
        <v>480</v>
      </c>
      <c r="AJ280" s="53" t="s">
        <v>480</v>
      </c>
      <c r="AK280" s="53" t="s">
        <v>480</v>
      </c>
      <c r="AL280" s="53" t="s">
        <v>480</v>
      </c>
      <c r="AM280" s="53" t="s">
        <v>480</v>
      </c>
      <c r="AQ280">
        <f t="shared" si="9"/>
        <v>1</v>
      </c>
      <c r="AR280" t="s">
        <v>367</v>
      </c>
    </row>
    <row r="281" spans="1:44" x14ac:dyDescent="0.25">
      <c r="A281" s="1">
        <f>COUNTIF('Value Matchup'!$D$356:$D$423,PASE!B281)</f>
        <v>0</v>
      </c>
      <c r="B281" t="s">
        <v>368</v>
      </c>
      <c r="C281" s="64">
        <f t="shared" si="8"/>
        <v>-0.40369747899159675</v>
      </c>
      <c r="E281" s="91">
        <v>-0.61428571428571432</v>
      </c>
      <c r="F281" s="53" t="s">
        <v>480</v>
      </c>
      <c r="G281" s="53" t="s">
        <v>480</v>
      </c>
      <c r="H281" s="53" t="s">
        <v>480</v>
      </c>
      <c r="I281" s="53">
        <v>-0.58823529411764708</v>
      </c>
      <c r="J281" s="53" t="s">
        <v>480</v>
      </c>
      <c r="K281" s="53" t="s">
        <v>480</v>
      </c>
      <c r="L281" s="53" t="s">
        <v>480</v>
      </c>
      <c r="M281" s="53">
        <v>-1.0808823529411764</v>
      </c>
      <c r="N281" s="53" t="s">
        <v>480</v>
      </c>
      <c r="O281" s="53" t="s">
        <v>480</v>
      </c>
      <c r="P281" s="53" t="s">
        <v>480</v>
      </c>
      <c r="Q281" s="53" t="s">
        <v>480</v>
      </c>
      <c r="R281" s="53" t="s">
        <v>480</v>
      </c>
      <c r="S281" s="53" t="s">
        <v>480</v>
      </c>
      <c r="T281" s="53" t="s">
        <v>480</v>
      </c>
      <c r="U281" s="53" t="s">
        <v>480</v>
      </c>
      <c r="V281" s="53">
        <v>-0.58823529411764708</v>
      </c>
      <c r="W281" s="53" t="s">
        <v>480</v>
      </c>
      <c r="X281" s="53">
        <v>-1.3602941176470589</v>
      </c>
      <c r="Y281" s="53">
        <v>1.1691176470588236</v>
      </c>
      <c r="Z281" s="53">
        <v>-0.92647058823529416</v>
      </c>
      <c r="AA281" s="53" t="s">
        <v>480</v>
      </c>
      <c r="AB281" s="53" t="s">
        <v>480</v>
      </c>
      <c r="AC281" s="53" t="s">
        <v>480</v>
      </c>
      <c r="AD281" s="53" t="s">
        <v>480</v>
      </c>
      <c r="AE281" s="53">
        <v>-0.11764705882352944</v>
      </c>
      <c r="AF281" s="53">
        <v>-0.92647058823529416</v>
      </c>
      <c r="AG281" s="53">
        <v>1.4558823529411764</v>
      </c>
      <c r="AH281" s="53">
        <v>-8.0882352941176405E-2</v>
      </c>
      <c r="AI281" s="53" t="s">
        <v>480</v>
      </c>
      <c r="AJ281" s="53">
        <v>-0.625</v>
      </c>
      <c r="AK281" s="53">
        <v>-8.0882352941176405E-2</v>
      </c>
      <c r="AL281" s="53">
        <v>-2.3455882352941178</v>
      </c>
      <c r="AM281" s="53">
        <v>0.65441176470588225</v>
      </c>
      <c r="AQ281">
        <f t="shared" si="9"/>
        <v>1</v>
      </c>
      <c r="AR281" t="s">
        <v>368</v>
      </c>
    </row>
    <row r="282" spans="1:44" x14ac:dyDescent="0.25">
      <c r="A282" s="1">
        <f>COUNTIF('Value Matchup'!$D$356:$D$423,PASE!B282)</f>
        <v>0</v>
      </c>
      <c r="B282" t="s">
        <v>369</v>
      </c>
      <c r="C282" s="64">
        <f t="shared" si="8"/>
        <v>-0.3065257352941177</v>
      </c>
      <c r="E282" s="91" t="s">
        <v>480</v>
      </c>
      <c r="F282" s="53" t="s">
        <v>480</v>
      </c>
      <c r="G282" s="53" t="s">
        <v>480</v>
      </c>
      <c r="H282" s="53" t="s">
        <v>480</v>
      </c>
      <c r="I282" s="53" t="s">
        <v>480</v>
      </c>
      <c r="J282" s="53">
        <v>1.3823529411764706</v>
      </c>
      <c r="K282" s="53" t="s">
        <v>480</v>
      </c>
      <c r="L282" s="53" t="s">
        <v>480</v>
      </c>
      <c r="M282" s="53" t="s">
        <v>480</v>
      </c>
      <c r="N282" s="53" t="s">
        <v>480</v>
      </c>
      <c r="O282" s="53" t="s">
        <v>480</v>
      </c>
      <c r="P282" s="53">
        <v>0.16911764705882359</v>
      </c>
      <c r="Q282" s="53">
        <v>-0.625</v>
      </c>
      <c r="R282" s="53" t="s">
        <v>480</v>
      </c>
      <c r="S282" s="53">
        <v>-0.72058823529411764</v>
      </c>
      <c r="T282" s="53">
        <v>-2.3455882352941178</v>
      </c>
      <c r="U282" s="53">
        <v>-0.54411764705882359</v>
      </c>
      <c r="V282" s="53">
        <v>0.27941176470588236</v>
      </c>
      <c r="W282" s="53">
        <v>-0.34558823529411775</v>
      </c>
      <c r="X282" s="53">
        <v>-2.3455882352941178</v>
      </c>
      <c r="Y282" s="53">
        <v>-1.3602941176470589</v>
      </c>
      <c r="Z282" s="53">
        <v>2.1691176470588234</v>
      </c>
      <c r="AA282" s="53">
        <v>0.91911764705882359</v>
      </c>
      <c r="AB282" s="53">
        <v>0.41176470588235292</v>
      </c>
      <c r="AC282" s="53">
        <v>0.38235294117647056</v>
      </c>
      <c r="AD282" s="53" t="s">
        <v>480</v>
      </c>
      <c r="AE282" s="53" t="s">
        <v>480</v>
      </c>
      <c r="AF282" s="53">
        <v>-0.5</v>
      </c>
      <c r="AG282" s="53" t="s">
        <v>480</v>
      </c>
      <c r="AH282" s="53" t="s">
        <v>480</v>
      </c>
      <c r="AI282" s="53">
        <v>-1.8308823529411764</v>
      </c>
      <c r="AJ282" s="53" t="s">
        <v>480</v>
      </c>
      <c r="AK282" s="53" t="s">
        <v>480</v>
      </c>
      <c r="AL282" s="53" t="s">
        <v>480</v>
      </c>
      <c r="AM282" s="53" t="s">
        <v>480</v>
      </c>
      <c r="AQ282">
        <f t="shared" si="9"/>
        <v>1</v>
      </c>
      <c r="AR282" t="s">
        <v>369</v>
      </c>
    </row>
    <row r="283" spans="1:44" x14ac:dyDescent="0.25">
      <c r="A283" s="1">
        <f>COUNTIF('Value Matchup'!$D$356:$D$423,PASE!B283)</f>
        <v>0</v>
      </c>
      <c r="B283" t="s">
        <v>370</v>
      </c>
      <c r="C283" s="64">
        <f t="shared" si="8"/>
        <v>9.8529411764705851E-2</v>
      </c>
      <c r="E283" s="91" t="s">
        <v>480</v>
      </c>
      <c r="F283" s="53">
        <v>-0.16911764705882354</v>
      </c>
      <c r="G283" s="53" t="s">
        <v>480</v>
      </c>
      <c r="H283" s="53">
        <v>0.83088235294117641</v>
      </c>
      <c r="I283" s="53">
        <v>-0.5</v>
      </c>
      <c r="J283" s="53">
        <v>0.5</v>
      </c>
      <c r="K283" s="53" t="s">
        <v>480</v>
      </c>
      <c r="L283" s="53" t="s">
        <v>480</v>
      </c>
      <c r="M283" s="53" t="s">
        <v>480</v>
      </c>
      <c r="N283" s="53" t="s">
        <v>480</v>
      </c>
      <c r="O283" s="53">
        <v>-0.16911764705882354</v>
      </c>
      <c r="P283" s="53" t="s">
        <v>480</v>
      </c>
      <c r="Q283" s="53" t="s">
        <v>480</v>
      </c>
      <c r="R283" s="53" t="s">
        <v>480</v>
      </c>
      <c r="S283" s="53" t="s">
        <v>480</v>
      </c>
      <c r="T283" s="53" t="s">
        <v>480</v>
      </c>
      <c r="U283" s="53" t="s">
        <v>480</v>
      </c>
      <c r="V283" s="53" t="s">
        <v>480</v>
      </c>
      <c r="W283" s="53" t="s">
        <v>480</v>
      </c>
      <c r="X283" s="53" t="s">
        <v>480</v>
      </c>
      <c r="Y283" s="53" t="s">
        <v>480</v>
      </c>
      <c r="Z283" s="53" t="s">
        <v>480</v>
      </c>
      <c r="AA283" s="53" t="s">
        <v>480</v>
      </c>
      <c r="AB283" s="53" t="s">
        <v>480</v>
      </c>
      <c r="AC283" s="53" t="s">
        <v>480</v>
      </c>
      <c r="AD283" s="53" t="s">
        <v>480</v>
      </c>
      <c r="AE283" s="53" t="s">
        <v>480</v>
      </c>
      <c r="AF283" s="53" t="s">
        <v>480</v>
      </c>
      <c r="AG283" s="53" t="s">
        <v>480</v>
      </c>
      <c r="AH283" s="53" t="s">
        <v>480</v>
      </c>
      <c r="AI283" s="53" t="s">
        <v>480</v>
      </c>
      <c r="AJ283" s="53" t="s">
        <v>480</v>
      </c>
      <c r="AK283" s="53" t="s">
        <v>480</v>
      </c>
      <c r="AL283" s="53" t="s">
        <v>480</v>
      </c>
      <c r="AM283" s="53" t="s">
        <v>480</v>
      </c>
      <c r="AQ283">
        <f t="shared" si="9"/>
        <v>1</v>
      </c>
      <c r="AR283" t="s">
        <v>370</v>
      </c>
    </row>
    <row r="284" spans="1:44" x14ac:dyDescent="0.25">
      <c r="A284" s="1">
        <f>COUNTIF('Value Matchup'!$D$356:$D$423,PASE!B284)</f>
        <v>0</v>
      </c>
      <c r="B284" t="s">
        <v>371</v>
      </c>
      <c r="C284" s="64">
        <f t="shared" si="8"/>
        <v>0</v>
      </c>
      <c r="E284" s="91" t="s">
        <v>480</v>
      </c>
      <c r="F284" s="53" t="s">
        <v>480</v>
      </c>
      <c r="G284" s="53" t="s">
        <v>480</v>
      </c>
      <c r="H284" s="53" t="s">
        <v>480</v>
      </c>
      <c r="I284" s="53" t="s">
        <v>480</v>
      </c>
      <c r="J284" s="53" t="s">
        <v>480</v>
      </c>
      <c r="K284" s="53" t="s">
        <v>480</v>
      </c>
      <c r="L284" s="53" t="s">
        <v>480</v>
      </c>
      <c r="M284" s="53" t="s">
        <v>480</v>
      </c>
      <c r="N284" s="53" t="s">
        <v>480</v>
      </c>
      <c r="O284" s="53" t="s">
        <v>480</v>
      </c>
      <c r="P284" s="53" t="s">
        <v>480</v>
      </c>
      <c r="Q284" s="53" t="s">
        <v>480</v>
      </c>
      <c r="R284" s="53" t="s">
        <v>480</v>
      </c>
      <c r="S284" s="53" t="s">
        <v>480</v>
      </c>
      <c r="T284" s="53" t="s">
        <v>480</v>
      </c>
      <c r="U284" s="53" t="s">
        <v>480</v>
      </c>
      <c r="V284" s="53" t="s">
        <v>480</v>
      </c>
      <c r="W284" s="53" t="s">
        <v>480</v>
      </c>
      <c r="X284" s="53" t="s">
        <v>480</v>
      </c>
      <c r="Y284" s="53" t="s">
        <v>480</v>
      </c>
      <c r="Z284" s="53" t="s">
        <v>480</v>
      </c>
      <c r="AA284" s="53" t="s">
        <v>480</v>
      </c>
      <c r="AB284" s="53" t="s">
        <v>480</v>
      </c>
      <c r="AC284" s="53" t="s">
        <v>480</v>
      </c>
      <c r="AD284" s="53" t="s">
        <v>480</v>
      </c>
      <c r="AE284" s="53" t="s">
        <v>480</v>
      </c>
      <c r="AF284" s="53" t="s">
        <v>480</v>
      </c>
      <c r="AG284" s="53" t="s">
        <v>480</v>
      </c>
      <c r="AH284" s="53" t="s">
        <v>480</v>
      </c>
      <c r="AI284" s="53" t="s">
        <v>480</v>
      </c>
      <c r="AJ284" s="53" t="s">
        <v>480</v>
      </c>
      <c r="AK284" s="53" t="s">
        <v>480</v>
      </c>
      <c r="AL284" s="53" t="s">
        <v>480</v>
      </c>
      <c r="AM284" s="53" t="s">
        <v>480</v>
      </c>
      <c r="AQ284">
        <f t="shared" si="9"/>
        <v>1</v>
      </c>
      <c r="AR284" t="s">
        <v>371</v>
      </c>
    </row>
    <row r="285" spans="1:44" x14ac:dyDescent="0.25">
      <c r="A285" s="1">
        <f>COUNTIF('Value Matchup'!$D$356:$D$423,PASE!B285)</f>
        <v>0</v>
      </c>
      <c r="B285" t="s">
        <v>90</v>
      </c>
      <c r="C285" s="64">
        <f t="shared" si="8"/>
        <v>-0.25</v>
      </c>
      <c r="E285" s="91" t="s">
        <v>480</v>
      </c>
      <c r="F285" s="53" t="s">
        <v>480</v>
      </c>
      <c r="G285" s="53" t="s">
        <v>480</v>
      </c>
      <c r="H285" s="53">
        <v>-0.25</v>
      </c>
      <c r="I285" s="53" t="s">
        <v>480</v>
      </c>
      <c r="J285" s="53" t="s">
        <v>480</v>
      </c>
      <c r="K285" s="53" t="s">
        <v>480</v>
      </c>
      <c r="L285" s="53" t="s">
        <v>480</v>
      </c>
      <c r="M285" s="53" t="s">
        <v>480</v>
      </c>
      <c r="N285" s="53" t="s">
        <v>480</v>
      </c>
      <c r="O285" s="53" t="s">
        <v>480</v>
      </c>
      <c r="P285" s="53" t="s">
        <v>480</v>
      </c>
      <c r="Q285" s="53" t="s">
        <v>480</v>
      </c>
      <c r="R285" s="53" t="s">
        <v>480</v>
      </c>
      <c r="S285" s="53" t="s">
        <v>480</v>
      </c>
      <c r="T285" s="53" t="s">
        <v>480</v>
      </c>
      <c r="U285" s="53" t="s">
        <v>480</v>
      </c>
      <c r="V285" s="53" t="s">
        <v>480</v>
      </c>
      <c r="W285" s="53" t="s">
        <v>480</v>
      </c>
      <c r="X285" s="53" t="s">
        <v>480</v>
      </c>
      <c r="Y285" s="53" t="s">
        <v>480</v>
      </c>
      <c r="Z285" s="53" t="s">
        <v>480</v>
      </c>
      <c r="AA285" s="53" t="s">
        <v>480</v>
      </c>
      <c r="AB285" s="53" t="s">
        <v>480</v>
      </c>
      <c r="AC285" s="53" t="s">
        <v>480</v>
      </c>
      <c r="AD285" s="53" t="s">
        <v>480</v>
      </c>
      <c r="AE285" s="53" t="s">
        <v>480</v>
      </c>
      <c r="AF285" s="53" t="s">
        <v>480</v>
      </c>
      <c r="AG285" s="53" t="s">
        <v>480</v>
      </c>
      <c r="AH285" s="53" t="s">
        <v>480</v>
      </c>
      <c r="AI285" s="53" t="s">
        <v>480</v>
      </c>
      <c r="AJ285" s="53" t="s">
        <v>480</v>
      </c>
      <c r="AK285" s="53" t="s">
        <v>480</v>
      </c>
      <c r="AL285" s="53" t="s">
        <v>480</v>
      </c>
      <c r="AM285" s="53" t="s">
        <v>480</v>
      </c>
      <c r="AQ285">
        <f t="shared" si="9"/>
        <v>1</v>
      </c>
      <c r="AR285" t="s">
        <v>90</v>
      </c>
    </row>
    <row r="286" spans="1:44" x14ac:dyDescent="0.25">
      <c r="A286" s="1">
        <f>COUNTIF('Value Matchup'!$D$356:$D$423,PASE!B286)</f>
        <v>1</v>
      </c>
      <c r="B286" t="s">
        <v>86</v>
      </c>
      <c r="C286" s="64">
        <f t="shared" si="8"/>
        <v>0.16279956427015246</v>
      </c>
      <c r="E286" s="91">
        <v>-0.7</v>
      </c>
      <c r="F286" s="53">
        <v>1.375</v>
      </c>
      <c r="G286" s="53" t="s">
        <v>480</v>
      </c>
      <c r="H286" s="53">
        <v>3.3823529411764706</v>
      </c>
      <c r="I286" s="53" t="s">
        <v>480</v>
      </c>
      <c r="J286" s="53">
        <v>-0.83088235294117641</v>
      </c>
      <c r="K286" s="53">
        <v>2.4558823529411766</v>
      </c>
      <c r="L286" s="53">
        <v>-0.34558823529411775</v>
      </c>
      <c r="M286" s="53">
        <v>-0.83088235294117641</v>
      </c>
      <c r="N286" s="53">
        <v>-1.3455882352941178</v>
      </c>
      <c r="O286" s="53">
        <v>0.16911764705882359</v>
      </c>
      <c r="P286" s="53" t="s">
        <v>480</v>
      </c>
      <c r="Q286" s="53" t="s">
        <v>480</v>
      </c>
      <c r="R286" s="53">
        <v>-1.1176470588235294</v>
      </c>
      <c r="S286" s="53">
        <v>-1.5441176470588236</v>
      </c>
      <c r="T286" s="53">
        <v>0.88235294117647056</v>
      </c>
      <c r="U286" s="53" t="s">
        <v>480</v>
      </c>
      <c r="V286" s="53" t="s">
        <v>480</v>
      </c>
      <c r="W286" s="53">
        <v>-0.11764705882352944</v>
      </c>
      <c r="X286" s="53">
        <v>0.45588235294117641</v>
      </c>
      <c r="Y286" s="53">
        <v>-0.72058823529411764</v>
      </c>
      <c r="Z286" s="53">
        <v>0.88235294117647056</v>
      </c>
      <c r="AA286" s="53" t="s">
        <v>480</v>
      </c>
      <c r="AB286" s="53">
        <v>3.4558823529411766</v>
      </c>
      <c r="AC286" s="53">
        <v>7.3529411764705843E-2</v>
      </c>
      <c r="AD286" s="53">
        <v>0.45588235294117641</v>
      </c>
      <c r="AE286" s="53" t="s">
        <v>480</v>
      </c>
      <c r="AF286" s="53">
        <v>-8.0882352941176405E-2</v>
      </c>
      <c r="AG286" s="53">
        <v>-2.3602941176470589</v>
      </c>
      <c r="AH286" s="53">
        <v>-0.36029411764705888</v>
      </c>
      <c r="AI286" s="53">
        <v>0.63970588235294112</v>
      </c>
      <c r="AJ286" s="53">
        <v>-0.83088235294117641</v>
      </c>
      <c r="AK286" s="53">
        <v>2.6397058823529411</v>
      </c>
      <c r="AL286" s="53">
        <v>-1.3602941176470589</v>
      </c>
      <c r="AM286" s="53">
        <v>7.3529411764705843E-2</v>
      </c>
      <c r="AQ286">
        <f t="shared" si="9"/>
        <v>1</v>
      </c>
      <c r="AR286" t="s">
        <v>86</v>
      </c>
    </row>
    <row r="287" spans="1:44" x14ac:dyDescent="0.25">
      <c r="A287" s="1">
        <f>COUNTIF('Value Matchup'!$D$356:$D$423,PASE!B287)</f>
        <v>0</v>
      </c>
      <c r="B287" t="s">
        <v>372</v>
      </c>
      <c r="C287" s="64">
        <f t="shared" si="8"/>
        <v>-0.91421568627450966</v>
      </c>
      <c r="E287" s="91" t="s">
        <v>480</v>
      </c>
      <c r="F287" s="53">
        <v>-1.0808823529411764</v>
      </c>
      <c r="G287" s="53" t="s">
        <v>480</v>
      </c>
      <c r="H287" s="53" t="s">
        <v>480</v>
      </c>
      <c r="I287" s="53" t="s">
        <v>480</v>
      </c>
      <c r="J287" s="53" t="s">
        <v>480</v>
      </c>
      <c r="K287" s="53" t="s">
        <v>480</v>
      </c>
      <c r="L287" s="53" t="s">
        <v>480</v>
      </c>
      <c r="M287" s="53" t="s">
        <v>480</v>
      </c>
      <c r="N287" s="53" t="s">
        <v>480</v>
      </c>
      <c r="O287" s="53" t="s">
        <v>480</v>
      </c>
      <c r="P287" s="53" t="s">
        <v>480</v>
      </c>
      <c r="Q287" s="53" t="s">
        <v>480</v>
      </c>
      <c r="R287" s="53" t="s">
        <v>480</v>
      </c>
      <c r="S287" s="53" t="s">
        <v>480</v>
      </c>
      <c r="T287" s="53" t="s">
        <v>480</v>
      </c>
      <c r="U287" s="53" t="s">
        <v>480</v>
      </c>
      <c r="V287" s="53" t="s">
        <v>480</v>
      </c>
      <c r="W287" s="53" t="s">
        <v>480</v>
      </c>
      <c r="X287" s="53" t="s">
        <v>480</v>
      </c>
      <c r="Y287" s="53" t="s">
        <v>480</v>
      </c>
      <c r="Z287" s="53">
        <v>-1.1176470588235294</v>
      </c>
      <c r="AA287" s="53" t="s">
        <v>480</v>
      </c>
      <c r="AB287" s="53" t="s">
        <v>480</v>
      </c>
      <c r="AC287" s="53" t="s">
        <v>480</v>
      </c>
      <c r="AD287" s="53" t="s">
        <v>480</v>
      </c>
      <c r="AE287" s="53" t="s">
        <v>480</v>
      </c>
      <c r="AF287" s="53" t="s">
        <v>480</v>
      </c>
      <c r="AG287" s="53" t="s">
        <v>480</v>
      </c>
      <c r="AH287" s="53" t="s">
        <v>480</v>
      </c>
      <c r="AI287" s="53" t="s">
        <v>480</v>
      </c>
      <c r="AJ287" s="53" t="s">
        <v>480</v>
      </c>
      <c r="AK287" s="53">
        <v>-0.54411764705882359</v>
      </c>
      <c r="AL287" s="53" t="s">
        <v>480</v>
      </c>
      <c r="AM287" s="53" t="s">
        <v>480</v>
      </c>
      <c r="AQ287">
        <f t="shared" si="9"/>
        <v>1</v>
      </c>
      <c r="AR287" t="s">
        <v>372</v>
      </c>
    </row>
    <row r="288" spans="1:44" x14ac:dyDescent="0.25">
      <c r="A288" s="1">
        <f>COUNTIF('Value Matchup'!$D$356:$D$423,PASE!B288)</f>
        <v>0</v>
      </c>
      <c r="B288" t="s">
        <v>373</v>
      </c>
      <c r="C288" s="64">
        <f t="shared" si="8"/>
        <v>-2.4369747899159678E-2</v>
      </c>
      <c r="E288" s="91">
        <v>-0.61428571428571432</v>
      </c>
      <c r="F288" s="53" t="s">
        <v>480</v>
      </c>
      <c r="G288" s="53" t="s">
        <v>480</v>
      </c>
      <c r="H288" s="53">
        <v>-0.61764705882352944</v>
      </c>
      <c r="I288" s="53" t="s">
        <v>480</v>
      </c>
      <c r="J288" s="53" t="s">
        <v>480</v>
      </c>
      <c r="K288" s="53">
        <v>0.41176470588235292</v>
      </c>
      <c r="L288" s="53">
        <v>-1.1176470588235294</v>
      </c>
      <c r="M288" s="53">
        <v>7.3529411764705843E-2</v>
      </c>
      <c r="N288" s="53">
        <v>-1.1176470588235294</v>
      </c>
      <c r="O288" s="53">
        <v>-0.625</v>
      </c>
      <c r="P288" s="53">
        <v>-0.5</v>
      </c>
      <c r="Q288" s="53" t="s">
        <v>480</v>
      </c>
      <c r="R288" s="53" t="s">
        <v>480</v>
      </c>
      <c r="S288" s="53" t="s">
        <v>480</v>
      </c>
      <c r="T288" s="53" t="s">
        <v>480</v>
      </c>
      <c r="U288" s="53" t="s">
        <v>480</v>
      </c>
      <c r="V288" s="53" t="s">
        <v>480</v>
      </c>
      <c r="W288" s="53">
        <v>2.375</v>
      </c>
      <c r="X288" s="53">
        <v>-1.3602941176470589</v>
      </c>
      <c r="Y288" s="53">
        <v>1.9191176470588236</v>
      </c>
      <c r="Z288" s="53">
        <v>-0.92647058823529416</v>
      </c>
      <c r="AA288" s="53">
        <v>0.41176470588235292</v>
      </c>
      <c r="AB288" s="53">
        <v>7.3529411764705843E-2</v>
      </c>
      <c r="AC288" s="53">
        <v>-0.61764705882352944</v>
      </c>
      <c r="AD288" s="53">
        <v>-0.54411764705882359</v>
      </c>
      <c r="AE288" s="53">
        <v>2.0735294117647056</v>
      </c>
      <c r="AF288" s="53">
        <v>-0.625</v>
      </c>
      <c r="AG288" s="53">
        <v>2.3823529411764706</v>
      </c>
      <c r="AH288" s="53">
        <v>-0.625</v>
      </c>
      <c r="AI288" s="53" t="s">
        <v>480</v>
      </c>
      <c r="AJ288" s="53">
        <v>-0.34558823529411775</v>
      </c>
      <c r="AK288" s="53">
        <v>-1.3602941176470589</v>
      </c>
      <c r="AL288" s="53">
        <v>0.41176470588235292</v>
      </c>
      <c r="AM288" s="53">
        <v>0.27941176470588236</v>
      </c>
      <c r="AQ288">
        <f t="shared" si="9"/>
        <v>1</v>
      </c>
      <c r="AR288" t="s">
        <v>373</v>
      </c>
    </row>
    <row r="289" spans="1:44" x14ac:dyDescent="0.25">
      <c r="A289" s="1">
        <f>COUNTIF('Value Matchup'!$D$356:$D$423,PASE!B289)</f>
        <v>1</v>
      </c>
      <c r="B289" t="s">
        <v>374</v>
      </c>
      <c r="C289" s="64">
        <f t="shared" si="8"/>
        <v>-0.14785414165666269</v>
      </c>
      <c r="E289" s="91">
        <v>-0.37142857142857144</v>
      </c>
      <c r="F289" s="53">
        <v>-0.83088235294117641</v>
      </c>
      <c r="G289" s="53" t="s">
        <v>480</v>
      </c>
      <c r="H289" s="53" t="s">
        <v>480</v>
      </c>
      <c r="I289" s="53" t="s">
        <v>480</v>
      </c>
      <c r="J289" s="53">
        <v>1.375</v>
      </c>
      <c r="K289" s="53" t="s">
        <v>480</v>
      </c>
      <c r="L289" s="53" t="s">
        <v>480</v>
      </c>
      <c r="M289" s="53">
        <v>-0.58823529411764708</v>
      </c>
      <c r="N289" s="53">
        <v>1.9191176470588236</v>
      </c>
      <c r="O289" s="53">
        <v>-0.58823529411764708</v>
      </c>
      <c r="P289" s="53">
        <v>-0.36029411764705888</v>
      </c>
      <c r="Q289" s="53">
        <v>0.88235294117647056</v>
      </c>
      <c r="R289" s="53">
        <v>-1.3602941176470589</v>
      </c>
      <c r="S289" s="53" t="s">
        <v>480</v>
      </c>
      <c r="T289" s="53" t="s">
        <v>480</v>
      </c>
      <c r="U289" s="53" t="s">
        <v>480</v>
      </c>
      <c r="V289" s="53" t="s">
        <v>480</v>
      </c>
      <c r="W289" s="53">
        <v>-0.72058823529411764</v>
      </c>
      <c r="X289" s="53">
        <v>0.45588235294117641</v>
      </c>
      <c r="Y289" s="53">
        <v>-0.54411764705882359</v>
      </c>
      <c r="Z289" s="53">
        <v>-0.72058823529411764</v>
      </c>
      <c r="AA289" s="53" t="s">
        <v>480</v>
      </c>
      <c r="AB289" s="53" t="s">
        <v>480</v>
      </c>
      <c r="AC289" s="53" t="s">
        <v>480</v>
      </c>
      <c r="AD289" s="53" t="s">
        <v>480</v>
      </c>
      <c r="AE289" s="53" t="s">
        <v>480</v>
      </c>
      <c r="AF289" s="53" t="s">
        <v>480</v>
      </c>
      <c r="AG289" s="53" t="s">
        <v>480</v>
      </c>
      <c r="AH289" s="53" t="s">
        <v>480</v>
      </c>
      <c r="AI289" s="53">
        <v>-0.61764705882352944</v>
      </c>
      <c r="AJ289" s="53" t="s">
        <v>480</v>
      </c>
      <c r="AK289" s="53" t="s">
        <v>480</v>
      </c>
      <c r="AL289" s="53" t="s">
        <v>480</v>
      </c>
      <c r="AM289" s="53" t="s">
        <v>480</v>
      </c>
      <c r="AQ289">
        <f t="shared" si="9"/>
        <v>1</v>
      </c>
      <c r="AR289" t="s">
        <v>374</v>
      </c>
    </row>
    <row r="290" spans="1:44" x14ac:dyDescent="0.25">
      <c r="A290" s="1">
        <f>COUNTIF('Value Matchup'!$D$356:$D$423,PASE!B290)</f>
        <v>0</v>
      </c>
      <c r="B290" t="s">
        <v>375</v>
      </c>
      <c r="C290" s="64">
        <f t="shared" si="8"/>
        <v>0</v>
      </c>
      <c r="E290" s="91" t="s">
        <v>480</v>
      </c>
      <c r="F290" s="53" t="s">
        <v>480</v>
      </c>
      <c r="G290" s="53" t="s">
        <v>480</v>
      </c>
      <c r="H290" s="53" t="s">
        <v>480</v>
      </c>
      <c r="I290" s="53" t="s">
        <v>480</v>
      </c>
      <c r="J290" s="53" t="s">
        <v>480</v>
      </c>
      <c r="K290" s="53" t="s">
        <v>480</v>
      </c>
      <c r="L290" s="53" t="s">
        <v>480</v>
      </c>
      <c r="M290" s="53" t="s">
        <v>480</v>
      </c>
      <c r="N290" s="53" t="s">
        <v>480</v>
      </c>
      <c r="O290" s="53" t="s">
        <v>480</v>
      </c>
      <c r="P290" s="53" t="s">
        <v>480</v>
      </c>
      <c r="Q290" s="53" t="s">
        <v>480</v>
      </c>
      <c r="R290" s="53" t="s">
        <v>480</v>
      </c>
      <c r="S290" s="53" t="s">
        <v>480</v>
      </c>
      <c r="T290" s="53" t="s">
        <v>480</v>
      </c>
      <c r="U290" s="53" t="s">
        <v>480</v>
      </c>
      <c r="V290" s="53" t="s">
        <v>480</v>
      </c>
      <c r="W290" s="53" t="s">
        <v>480</v>
      </c>
      <c r="X290" s="53" t="s">
        <v>480</v>
      </c>
      <c r="Y290" s="53" t="s">
        <v>480</v>
      </c>
      <c r="Z290" s="53" t="s">
        <v>480</v>
      </c>
      <c r="AA290" s="53" t="s">
        <v>480</v>
      </c>
      <c r="AB290" s="53" t="s">
        <v>480</v>
      </c>
      <c r="AC290" s="53" t="s">
        <v>480</v>
      </c>
      <c r="AD290" s="53" t="s">
        <v>480</v>
      </c>
      <c r="AE290" s="53" t="s">
        <v>480</v>
      </c>
      <c r="AF290" s="53" t="s">
        <v>480</v>
      </c>
      <c r="AG290" s="53" t="s">
        <v>480</v>
      </c>
      <c r="AH290" s="53" t="s">
        <v>480</v>
      </c>
      <c r="AI290" s="53" t="s">
        <v>480</v>
      </c>
      <c r="AJ290" s="53" t="s">
        <v>480</v>
      </c>
      <c r="AK290" s="53" t="s">
        <v>480</v>
      </c>
      <c r="AL290" s="53" t="s">
        <v>480</v>
      </c>
      <c r="AM290" s="53" t="s">
        <v>480</v>
      </c>
      <c r="AQ290">
        <f t="shared" si="9"/>
        <v>1</v>
      </c>
      <c r="AR290" t="s">
        <v>375</v>
      </c>
    </row>
    <row r="291" spans="1:44" x14ac:dyDescent="0.25">
      <c r="A291" s="1">
        <f>COUNTIF('Value Matchup'!$D$356:$D$423,PASE!B291)</f>
        <v>0</v>
      </c>
      <c r="B291" t="s">
        <v>376</v>
      </c>
      <c r="C291" s="64">
        <f t="shared" si="8"/>
        <v>-0.11764705882352941</v>
      </c>
      <c r="E291" s="91" t="s">
        <v>480</v>
      </c>
      <c r="F291" s="53" t="s">
        <v>480</v>
      </c>
      <c r="G291" s="53" t="s">
        <v>480</v>
      </c>
      <c r="H291" s="53" t="s">
        <v>480</v>
      </c>
      <c r="I291" s="53" t="s">
        <v>480</v>
      </c>
      <c r="J291" s="53" t="s">
        <v>480</v>
      </c>
      <c r="K291" s="53" t="s">
        <v>480</v>
      </c>
      <c r="L291" s="53" t="s">
        <v>480</v>
      </c>
      <c r="M291" s="53" t="s">
        <v>480</v>
      </c>
      <c r="N291" s="53" t="s">
        <v>480</v>
      </c>
      <c r="O291" s="53" t="s">
        <v>480</v>
      </c>
      <c r="P291" s="53" t="s">
        <v>480</v>
      </c>
      <c r="Q291" s="53" t="s">
        <v>480</v>
      </c>
      <c r="R291" s="53" t="s">
        <v>480</v>
      </c>
      <c r="S291" s="53" t="s">
        <v>480</v>
      </c>
      <c r="T291" s="53" t="s">
        <v>480</v>
      </c>
      <c r="U291" s="53" t="s">
        <v>480</v>
      </c>
      <c r="V291" s="53" t="s">
        <v>480</v>
      </c>
      <c r="W291" s="53" t="s">
        <v>480</v>
      </c>
      <c r="X291" s="53" t="s">
        <v>480</v>
      </c>
      <c r="Y291" s="53" t="s">
        <v>480</v>
      </c>
      <c r="Z291" s="53" t="s">
        <v>480</v>
      </c>
      <c r="AA291" s="53" t="s">
        <v>480</v>
      </c>
      <c r="AB291" s="53" t="s">
        <v>480</v>
      </c>
      <c r="AC291" s="53" t="s">
        <v>480</v>
      </c>
      <c r="AD291" s="53">
        <v>-0.16911764705882354</v>
      </c>
      <c r="AE291" s="53">
        <v>-6.6176470588235295E-2</v>
      </c>
      <c r="AF291" s="53" t="s">
        <v>480</v>
      </c>
      <c r="AG291" s="53" t="s">
        <v>480</v>
      </c>
      <c r="AH291" s="53" t="s">
        <v>480</v>
      </c>
      <c r="AI291" s="53" t="s">
        <v>480</v>
      </c>
      <c r="AJ291" s="53" t="s">
        <v>480</v>
      </c>
      <c r="AK291" s="53" t="s">
        <v>480</v>
      </c>
      <c r="AL291" s="53" t="s">
        <v>480</v>
      </c>
      <c r="AM291" s="53" t="s">
        <v>480</v>
      </c>
      <c r="AQ291">
        <f t="shared" si="9"/>
        <v>1</v>
      </c>
      <c r="AR291" t="s">
        <v>376</v>
      </c>
    </row>
    <row r="292" spans="1:44" x14ac:dyDescent="0.25">
      <c r="A292" s="1">
        <f>COUNTIF('Value Matchup'!$D$356:$D$423,PASE!B292)</f>
        <v>0</v>
      </c>
      <c r="B292" t="s">
        <v>377</v>
      </c>
      <c r="C292" s="64">
        <f t="shared" si="8"/>
        <v>0</v>
      </c>
      <c r="E292" s="91" t="s">
        <v>480</v>
      </c>
      <c r="F292" s="53" t="s">
        <v>480</v>
      </c>
      <c r="G292" s="53" t="s">
        <v>480</v>
      </c>
      <c r="H292" s="53" t="s">
        <v>480</v>
      </c>
      <c r="I292" s="53" t="s">
        <v>480</v>
      </c>
      <c r="J292" s="53" t="s">
        <v>480</v>
      </c>
      <c r="K292" s="53" t="s">
        <v>480</v>
      </c>
      <c r="L292" s="53" t="s">
        <v>480</v>
      </c>
      <c r="M292" s="53" t="s">
        <v>480</v>
      </c>
      <c r="N292" s="53" t="s">
        <v>480</v>
      </c>
      <c r="O292" s="53" t="s">
        <v>480</v>
      </c>
      <c r="P292" s="53" t="s">
        <v>480</v>
      </c>
      <c r="Q292" s="53" t="s">
        <v>480</v>
      </c>
      <c r="R292" s="53" t="s">
        <v>480</v>
      </c>
      <c r="S292" s="53" t="s">
        <v>480</v>
      </c>
      <c r="T292" s="53" t="s">
        <v>480</v>
      </c>
      <c r="U292" s="53" t="s">
        <v>480</v>
      </c>
      <c r="V292" s="53" t="s">
        <v>480</v>
      </c>
      <c r="W292" s="53" t="s">
        <v>480</v>
      </c>
      <c r="X292" s="53" t="s">
        <v>480</v>
      </c>
      <c r="Y292" s="53" t="s">
        <v>480</v>
      </c>
      <c r="Z292" s="53" t="s">
        <v>480</v>
      </c>
      <c r="AA292" s="53" t="s">
        <v>480</v>
      </c>
      <c r="AB292" s="53" t="s">
        <v>480</v>
      </c>
      <c r="AC292" s="53" t="s">
        <v>480</v>
      </c>
      <c r="AD292" s="53" t="s">
        <v>480</v>
      </c>
      <c r="AE292" s="53" t="s">
        <v>480</v>
      </c>
      <c r="AF292" s="53" t="s">
        <v>480</v>
      </c>
      <c r="AG292" s="53" t="s">
        <v>480</v>
      </c>
      <c r="AH292" s="53" t="s">
        <v>480</v>
      </c>
      <c r="AI292" s="53" t="s">
        <v>480</v>
      </c>
      <c r="AJ292" s="53" t="s">
        <v>480</v>
      </c>
      <c r="AK292" s="53" t="s">
        <v>480</v>
      </c>
      <c r="AL292" s="53" t="s">
        <v>480</v>
      </c>
      <c r="AM292" s="53" t="s">
        <v>480</v>
      </c>
      <c r="AQ292">
        <f t="shared" si="9"/>
        <v>1</v>
      </c>
      <c r="AR292" t="s">
        <v>377</v>
      </c>
    </row>
    <row r="293" spans="1:44" x14ac:dyDescent="0.25">
      <c r="A293" s="1">
        <f>COUNTIF('Value Matchup'!$D$356:$D$423,PASE!B293)</f>
        <v>1</v>
      </c>
      <c r="B293" t="s">
        <v>34</v>
      </c>
      <c r="C293" s="64">
        <f t="shared" si="8"/>
        <v>-1.7533936651583752E-2</v>
      </c>
      <c r="E293" s="91" t="s">
        <v>480</v>
      </c>
      <c r="F293" s="53">
        <v>-0.61764705882352944</v>
      </c>
      <c r="G293" s="53" t="s">
        <v>480</v>
      </c>
      <c r="H293" s="53">
        <v>-1.0808823529411764</v>
      </c>
      <c r="I293" s="53">
        <v>-0.625</v>
      </c>
      <c r="J293" s="53">
        <v>7.3529411764705843E-2</v>
      </c>
      <c r="K293" s="53" t="s">
        <v>480</v>
      </c>
      <c r="L293" s="53">
        <v>-0.625</v>
      </c>
      <c r="M293" s="53">
        <v>-0.54411764705882359</v>
      </c>
      <c r="N293" s="53">
        <v>-0.72058823529411764</v>
      </c>
      <c r="O293" s="53">
        <v>7.3529411764705843E-2</v>
      </c>
      <c r="P293" s="53">
        <v>0.63970588235294112</v>
      </c>
      <c r="Q293" s="53">
        <v>-0.54411764705882359</v>
      </c>
      <c r="R293" s="53">
        <v>0.63970588235294112</v>
      </c>
      <c r="S293" s="53">
        <v>-0.72058823529411764</v>
      </c>
      <c r="T293" s="53">
        <v>0.16911764705882359</v>
      </c>
      <c r="U293" s="53">
        <v>0.65441176470588225</v>
      </c>
      <c r="V293" s="53">
        <v>0.91911764705882359</v>
      </c>
      <c r="W293" s="53">
        <v>-1.0808823529411764</v>
      </c>
      <c r="X293" s="53">
        <v>-0.11764705882352944</v>
      </c>
      <c r="Y293" s="53">
        <v>-0.92647058823529416</v>
      </c>
      <c r="Z293" s="53" t="s">
        <v>480</v>
      </c>
      <c r="AA293" s="53">
        <v>1.3823529411764706</v>
      </c>
      <c r="AB293" s="53">
        <v>0.38235294117647056</v>
      </c>
      <c r="AC293" s="53">
        <v>0.375</v>
      </c>
      <c r="AD293" s="53">
        <v>-8.0882352941176405E-2</v>
      </c>
      <c r="AE293" s="53" t="s">
        <v>480</v>
      </c>
      <c r="AF293" s="53">
        <v>-0.72058823529411764</v>
      </c>
      <c r="AG293" s="53">
        <v>-0.11764705882352944</v>
      </c>
      <c r="AH293" s="53">
        <v>2.3823529411764706</v>
      </c>
      <c r="AI293" s="53">
        <v>0.375</v>
      </c>
      <c r="AJ293" s="53" t="s">
        <v>480</v>
      </c>
      <c r="AK293" s="53" t="s">
        <v>480</v>
      </c>
      <c r="AL293" s="53" t="s">
        <v>480</v>
      </c>
      <c r="AM293" s="53" t="s">
        <v>480</v>
      </c>
      <c r="AQ293">
        <f t="shared" si="9"/>
        <v>1</v>
      </c>
      <c r="AR293" t="s">
        <v>34</v>
      </c>
    </row>
    <row r="294" spans="1:44" x14ac:dyDescent="0.25">
      <c r="A294" s="1">
        <f>COUNTIF('Value Matchup'!$D$356:$D$423,PASE!B294)</f>
        <v>0</v>
      </c>
      <c r="B294" t="s">
        <v>79</v>
      </c>
      <c r="C294" s="64">
        <f t="shared" si="8"/>
        <v>0.13235294117647059</v>
      </c>
      <c r="E294" s="91" t="s">
        <v>480</v>
      </c>
      <c r="F294" s="53">
        <v>1.0735294117647058</v>
      </c>
      <c r="G294" s="53" t="s">
        <v>480</v>
      </c>
      <c r="H294" s="53">
        <v>0.16911764705882359</v>
      </c>
      <c r="I294" s="53" t="s">
        <v>480</v>
      </c>
      <c r="J294" s="53" t="s">
        <v>480</v>
      </c>
      <c r="K294" s="53" t="s">
        <v>480</v>
      </c>
      <c r="L294" s="53" t="s">
        <v>480</v>
      </c>
      <c r="M294" s="53">
        <v>-0.92647058823529416</v>
      </c>
      <c r="N294" s="53">
        <v>-0.11764705882352944</v>
      </c>
      <c r="O294" s="53">
        <v>0.41176470588235292</v>
      </c>
      <c r="P294" s="53">
        <v>0.41176470588235292</v>
      </c>
      <c r="Q294" s="53">
        <v>0.16911764705882359</v>
      </c>
      <c r="R294" s="53">
        <v>0.5</v>
      </c>
      <c r="S294" s="53" t="s">
        <v>480</v>
      </c>
      <c r="T294" s="53" t="s">
        <v>480</v>
      </c>
      <c r="U294" s="53" t="s">
        <v>480</v>
      </c>
      <c r="V294" s="53" t="s">
        <v>480</v>
      </c>
      <c r="W294" s="53" t="s">
        <v>480</v>
      </c>
      <c r="X294" s="53" t="s">
        <v>480</v>
      </c>
      <c r="Y294" s="53" t="s">
        <v>480</v>
      </c>
      <c r="Z294" s="53" t="s">
        <v>480</v>
      </c>
      <c r="AA294" s="53" t="s">
        <v>480</v>
      </c>
      <c r="AB294" s="53" t="s">
        <v>480</v>
      </c>
      <c r="AC294" s="53" t="s">
        <v>480</v>
      </c>
      <c r="AD294" s="53" t="s">
        <v>480</v>
      </c>
      <c r="AE294" s="53" t="s">
        <v>480</v>
      </c>
      <c r="AF294" s="53" t="s">
        <v>480</v>
      </c>
      <c r="AG294" s="53" t="s">
        <v>480</v>
      </c>
      <c r="AH294" s="53" t="s">
        <v>480</v>
      </c>
      <c r="AI294" s="53" t="s">
        <v>480</v>
      </c>
      <c r="AJ294" s="53" t="s">
        <v>480</v>
      </c>
      <c r="AK294" s="53">
        <v>-0.5</v>
      </c>
      <c r="AL294" s="53" t="s">
        <v>480</v>
      </c>
      <c r="AM294" s="53" t="s">
        <v>480</v>
      </c>
      <c r="AQ294">
        <f t="shared" si="9"/>
        <v>1</v>
      </c>
      <c r="AR294" t="s">
        <v>79</v>
      </c>
    </row>
    <row r="295" spans="1:44" x14ac:dyDescent="0.25">
      <c r="A295" s="1">
        <f>COUNTIF('Value Matchup'!$D$356:$D$423,PASE!B295)</f>
        <v>0</v>
      </c>
      <c r="B295" t="s">
        <v>378</v>
      </c>
      <c r="C295" s="64">
        <f t="shared" si="8"/>
        <v>-6.6176470588235295E-2</v>
      </c>
      <c r="E295" s="91" t="s">
        <v>480</v>
      </c>
      <c r="F295" s="53" t="s">
        <v>480</v>
      </c>
      <c r="G295" s="53" t="s">
        <v>480</v>
      </c>
      <c r="H295" s="53" t="s">
        <v>480</v>
      </c>
      <c r="I295" s="53" t="s">
        <v>480</v>
      </c>
      <c r="J295" s="53" t="s">
        <v>480</v>
      </c>
      <c r="K295" s="53" t="s">
        <v>480</v>
      </c>
      <c r="L295" s="53" t="s">
        <v>480</v>
      </c>
      <c r="M295" s="53" t="s">
        <v>480</v>
      </c>
      <c r="N295" s="53" t="s">
        <v>480</v>
      </c>
      <c r="O295" s="53" t="s">
        <v>480</v>
      </c>
      <c r="P295" s="53" t="s">
        <v>480</v>
      </c>
      <c r="Q295" s="53">
        <v>-6.6176470588235295E-2</v>
      </c>
      <c r="R295" s="53" t="s">
        <v>480</v>
      </c>
      <c r="S295" s="53" t="s">
        <v>480</v>
      </c>
      <c r="T295" s="53" t="s">
        <v>480</v>
      </c>
      <c r="U295" s="53" t="s">
        <v>480</v>
      </c>
      <c r="V295" s="53" t="s">
        <v>480</v>
      </c>
      <c r="W295" s="53" t="s">
        <v>480</v>
      </c>
      <c r="X295" s="53" t="s">
        <v>480</v>
      </c>
      <c r="Y295" s="53" t="s">
        <v>480</v>
      </c>
      <c r="Z295" s="53" t="s">
        <v>480</v>
      </c>
      <c r="AA295" s="53" t="s">
        <v>480</v>
      </c>
      <c r="AB295" s="53" t="s">
        <v>480</v>
      </c>
      <c r="AC295" s="53" t="s">
        <v>480</v>
      </c>
      <c r="AD295" s="53" t="s">
        <v>480</v>
      </c>
      <c r="AE295" s="53" t="s">
        <v>480</v>
      </c>
      <c r="AF295" s="53" t="s">
        <v>480</v>
      </c>
      <c r="AG295" s="53" t="s">
        <v>480</v>
      </c>
      <c r="AH295" s="53" t="s">
        <v>480</v>
      </c>
      <c r="AI295" s="53" t="s">
        <v>480</v>
      </c>
      <c r="AJ295" s="53" t="s">
        <v>480</v>
      </c>
      <c r="AK295" s="53" t="s">
        <v>480</v>
      </c>
      <c r="AL295" s="53" t="s">
        <v>480</v>
      </c>
      <c r="AM295" s="53" t="s">
        <v>480</v>
      </c>
      <c r="AQ295">
        <f t="shared" si="9"/>
        <v>1</v>
      </c>
      <c r="AR295" t="s">
        <v>378</v>
      </c>
    </row>
    <row r="296" spans="1:44" x14ac:dyDescent="0.25">
      <c r="A296" s="1">
        <f>COUNTIF('Value Matchup'!$D$356:$D$423,PASE!B296)</f>
        <v>1</v>
      </c>
      <c r="B296" t="s">
        <v>379</v>
      </c>
      <c r="C296" s="64">
        <f t="shared" si="8"/>
        <v>-4.9632352941176475E-2</v>
      </c>
      <c r="E296" s="91" t="s">
        <v>480</v>
      </c>
      <c r="F296" s="53">
        <v>-7.3529411764705881E-3</v>
      </c>
      <c r="G296" s="53">
        <v>-7.3529411764705881E-3</v>
      </c>
      <c r="H296" s="53" t="s">
        <v>480</v>
      </c>
      <c r="I296" s="53">
        <v>-6.6176470588235295E-2</v>
      </c>
      <c r="J296" s="53">
        <v>-7.3529411764705881E-3</v>
      </c>
      <c r="K296" s="53" t="s">
        <v>480</v>
      </c>
      <c r="L296" s="53" t="s">
        <v>480</v>
      </c>
      <c r="M296" s="53" t="s">
        <v>480</v>
      </c>
      <c r="N296" s="53" t="s">
        <v>480</v>
      </c>
      <c r="O296" s="53" t="s">
        <v>480</v>
      </c>
      <c r="P296" s="53" t="s">
        <v>480</v>
      </c>
      <c r="Q296" s="53" t="s">
        <v>480</v>
      </c>
      <c r="R296" s="53" t="s">
        <v>480</v>
      </c>
      <c r="S296" s="53" t="s">
        <v>480</v>
      </c>
      <c r="T296" s="53" t="s">
        <v>480</v>
      </c>
      <c r="U296" s="53">
        <v>-7.3529411764705881E-3</v>
      </c>
      <c r="V296" s="53" t="s">
        <v>480</v>
      </c>
      <c r="W296" s="53" t="s">
        <v>480</v>
      </c>
      <c r="X296" s="53" t="s">
        <v>480</v>
      </c>
      <c r="Y296" s="53" t="s">
        <v>480</v>
      </c>
      <c r="Z296" s="53" t="s">
        <v>480</v>
      </c>
      <c r="AA296" s="53" t="s">
        <v>480</v>
      </c>
      <c r="AB296" s="53" t="s">
        <v>480</v>
      </c>
      <c r="AC296" s="53">
        <v>-6.6176470588235295E-2</v>
      </c>
      <c r="AD296" s="53">
        <v>-6.6176470588235295E-2</v>
      </c>
      <c r="AE296" s="53" t="s">
        <v>480</v>
      </c>
      <c r="AF296" s="53" t="s">
        <v>480</v>
      </c>
      <c r="AG296" s="53" t="s">
        <v>480</v>
      </c>
      <c r="AH296" s="53">
        <v>-0.16911764705882354</v>
      </c>
      <c r="AI296" s="53" t="s">
        <v>480</v>
      </c>
      <c r="AJ296" s="53" t="s">
        <v>480</v>
      </c>
      <c r="AK296" s="53" t="s">
        <v>480</v>
      </c>
      <c r="AL296" s="53" t="s">
        <v>480</v>
      </c>
      <c r="AM296" s="53" t="s">
        <v>480</v>
      </c>
      <c r="AQ296">
        <f t="shared" si="9"/>
        <v>1</v>
      </c>
      <c r="AR296" t="s">
        <v>379</v>
      </c>
    </row>
    <row r="297" spans="1:44" x14ac:dyDescent="0.25">
      <c r="A297" s="1">
        <f>COUNTIF('Value Matchup'!$D$356:$D$423,PASE!B297)</f>
        <v>0</v>
      </c>
      <c r="B297" t="s">
        <v>380</v>
      </c>
      <c r="C297" s="64">
        <f t="shared" si="8"/>
        <v>-3.6764705882352942E-2</v>
      </c>
      <c r="E297" s="91" t="s">
        <v>480</v>
      </c>
      <c r="F297" s="53" t="s">
        <v>480</v>
      </c>
      <c r="G297" s="53" t="s">
        <v>480</v>
      </c>
      <c r="H297" s="53" t="s">
        <v>480</v>
      </c>
      <c r="I297" s="53" t="s">
        <v>480</v>
      </c>
      <c r="J297" s="53" t="s">
        <v>480</v>
      </c>
      <c r="K297" s="53" t="s">
        <v>480</v>
      </c>
      <c r="L297" s="53" t="s">
        <v>480</v>
      </c>
      <c r="M297" s="53" t="s">
        <v>480</v>
      </c>
      <c r="N297" s="53" t="s">
        <v>480</v>
      </c>
      <c r="O297" s="53" t="s">
        <v>480</v>
      </c>
      <c r="P297" s="53" t="s">
        <v>480</v>
      </c>
      <c r="Q297" s="53" t="s">
        <v>480</v>
      </c>
      <c r="R297" s="53" t="s">
        <v>480</v>
      </c>
      <c r="S297" s="53" t="s">
        <v>480</v>
      </c>
      <c r="T297" s="53" t="s">
        <v>480</v>
      </c>
      <c r="U297" s="53" t="s">
        <v>480</v>
      </c>
      <c r="V297" s="53" t="s">
        <v>480</v>
      </c>
      <c r="W297" s="53" t="s">
        <v>480</v>
      </c>
      <c r="X297" s="53" t="s">
        <v>480</v>
      </c>
      <c r="Y297" s="53" t="s">
        <v>480</v>
      </c>
      <c r="Z297" s="53" t="s">
        <v>480</v>
      </c>
      <c r="AA297" s="53">
        <v>-7.3529411764705881E-3</v>
      </c>
      <c r="AB297" s="53" t="s">
        <v>480</v>
      </c>
      <c r="AC297" s="53" t="s">
        <v>480</v>
      </c>
      <c r="AD297" s="53">
        <v>-6.6176470588235295E-2</v>
      </c>
      <c r="AE297" s="53" t="s">
        <v>480</v>
      </c>
      <c r="AF297" s="53" t="s">
        <v>480</v>
      </c>
      <c r="AG297" s="53" t="s">
        <v>480</v>
      </c>
      <c r="AH297" s="53" t="s">
        <v>480</v>
      </c>
      <c r="AI297" s="53" t="s">
        <v>480</v>
      </c>
      <c r="AJ297" s="53" t="s">
        <v>480</v>
      </c>
      <c r="AK297" s="53" t="s">
        <v>480</v>
      </c>
      <c r="AL297" s="53" t="s">
        <v>480</v>
      </c>
      <c r="AM297" s="53" t="s">
        <v>480</v>
      </c>
      <c r="AQ297">
        <f t="shared" si="9"/>
        <v>1</v>
      </c>
      <c r="AR297" t="s">
        <v>380</v>
      </c>
    </row>
    <row r="298" spans="1:44" x14ac:dyDescent="0.25">
      <c r="A298" s="1">
        <f>COUNTIF('Value Matchup'!$D$356:$D$423,PASE!B298)</f>
        <v>1</v>
      </c>
      <c r="B298" t="s">
        <v>92</v>
      </c>
      <c r="C298" s="64">
        <f t="shared" si="8"/>
        <v>0.12931627196333079</v>
      </c>
      <c r="E298" s="91">
        <v>3.1357142857142857</v>
      </c>
      <c r="F298" s="53">
        <v>1.1691176470588236</v>
      </c>
      <c r="G298" s="53" t="s">
        <v>480</v>
      </c>
      <c r="H298" s="53">
        <v>-0.72058823529411764</v>
      </c>
      <c r="I298" s="53" t="s">
        <v>480</v>
      </c>
      <c r="J298" s="53" t="s">
        <v>480</v>
      </c>
      <c r="K298" s="53" t="s">
        <v>480</v>
      </c>
      <c r="L298" s="53" t="s">
        <v>480</v>
      </c>
      <c r="M298" s="53" t="s">
        <v>480</v>
      </c>
      <c r="N298" s="53" t="s">
        <v>480</v>
      </c>
      <c r="O298" s="53" t="s">
        <v>480</v>
      </c>
      <c r="P298" s="53" t="s">
        <v>480</v>
      </c>
      <c r="Q298" s="53">
        <v>-0.61764705882352944</v>
      </c>
      <c r="R298" s="53" t="s">
        <v>480</v>
      </c>
      <c r="S298" s="53">
        <v>0.91911764705882359</v>
      </c>
      <c r="T298" s="53">
        <v>0.27941176470588236</v>
      </c>
      <c r="U298" s="53" t="s">
        <v>480</v>
      </c>
      <c r="V298" s="53">
        <v>-1.0808823529411764</v>
      </c>
      <c r="W298" s="53" t="s">
        <v>480</v>
      </c>
      <c r="X298" s="53" t="s">
        <v>480</v>
      </c>
      <c r="Y298" s="53" t="s">
        <v>480</v>
      </c>
      <c r="Z298" s="53" t="s">
        <v>480</v>
      </c>
      <c r="AA298" s="53" t="s">
        <v>480</v>
      </c>
      <c r="AB298" s="53">
        <v>0.16911764705882359</v>
      </c>
      <c r="AC298" s="53" t="s">
        <v>480</v>
      </c>
      <c r="AD298" s="53" t="s">
        <v>480</v>
      </c>
      <c r="AE298" s="53">
        <v>-0.5</v>
      </c>
      <c r="AF298" s="53" t="s">
        <v>480</v>
      </c>
      <c r="AG298" s="53" t="s">
        <v>480</v>
      </c>
      <c r="AH298" s="53" t="s">
        <v>480</v>
      </c>
      <c r="AI298" s="53" t="s">
        <v>480</v>
      </c>
      <c r="AJ298" s="53" t="s">
        <v>480</v>
      </c>
      <c r="AK298" s="53" t="s">
        <v>480</v>
      </c>
      <c r="AL298" s="53">
        <v>-0.25</v>
      </c>
      <c r="AM298" s="53">
        <v>-1.0808823529411764</v>
      </c>
      <c r="AQ298">
        <f t="shared" si="9"/>
        <v>1</v>
      </c>
      <c r="AR298" t="s">
        <v>92</v>
      </c>
    </row>
    <row r="299" spans="1:44" x14ac:dyDescent="0.25">
      <c r="A299" s="1">
        <f>COUNTIF('Value Matchup'!$D$356:$D$423,PASE!B299)</f>
        <v>0</v>
      </c>
      <c r="B299" t="s">
        <v>381</v>
      </c>
      <c r="C299" s="64">
        <f t="shared" si="8"/>
        <v>0</v>
      </c>
      <c r="E299" s="91" t="s">
        <v>480</v>
      </c>
      <c r="F299" s="53" t="s">
        <v>480</v>
      </c>
      <c r="G299" s="53" t="s">
        <v>480</v>
      </c>
      <c r="H299" s="53" t="s">
        <v>480</v>
      </c>
      <c r="I299" s="53" t="s">
        <v>480</v>
      </c>
      <c r="J299" s="53" t="s">
        <v>480</v>
      </c>
      <c r="K299" s="53" t="s">
        <v>480</v>
      </c>
      <c r="L299" s="53" t="s">
        <v>480</v>
      </c>
      <c r="M299" s="53" t="s">
        <v>480</v>
      </c>
      <c r="N299" s="53" t="s">
        <v>480</v>
      </c>
      <c r="O299" s="53" t="s">
        <v>480</v>
      </c>
      <c r="P299" s="53" t="s">
        <v>480</v>
      </c>
      <c r="Q299" s="53" t="s">
        <v>480</v>
      </c>
      <c r="R299" s="53" t="s">
        <v>480</v>
      </c>
      <c r="S299" s="53" t="s">
        <v>480</v>
      </c>
      <c r="T299" s="53" t="s">
        <v>480</v>
      </c>
      <c r="U299" s="53" t="s">
        <v>480</v>
      </c>
      <c r="V299" s="53" t="s">
        <v>480</v>
      </c>
      <c r="W299" s="53" t="s">
        <v>480</v>
      </c>
      <c r="X299" s="53" t="s">
        <v>480</v>
      </c>
      <c r="Y299" s="53" t="s">
        <v>480</v>
      </c>
      <c r="Z299" s="53" t="s">
        <v>480</v>
      </c>
      <c r="AA299" s="53" t="s">
        <v>480</v>
      </c>
      <c r="AB299" s="53" t="s">
        <v>480</v>
      </c>
      <c r="AC299" s="53" t="s">
        <v>480</v>
      </c>
      <c r="AD299" s="53" t="s">
        <v>480</v>
      </c>
      <c r="AE299" s="53" t="s">
        <v>480</v>
      </c>
      <c r="AF299" s="53" t="s">
        <v>480</v>
      </c>
      <c r="AG299" s="53" t="s">
        <v>480</v>
      </c>
      <c r="AH299" s="53" t="s">
        <v>480</v>
      </c>
      <c r="AI299" s="53" t="s">
        <v>480</v>
      </c>
      <c r="AJ299" s="53" t="s">
        <v>480</v>
      </c>
      <c r="AK299" s="53" t="s">
        <v>480</v>
      </c>
      <c r="AL299" s="53" t="s">
        <v>480</v>
      </c>
      <c r="AM299" s="53" t="s">
        <v>480</v>
      </c>
      <c r="AQ299">
        <f t="shared" si="9"/>
        <v>1</v>
      </c>
      <c r="AR299" t="s">
        <v>381</v>
      </c>
    </row>
    <row r="300" spans="1:44" x14ac:dyDescent="0.25">
      <c r="A300" s="1">
        <f>COUNTIF('Value Matchup'!$D$356:$D$423,PASE!B300)</f>
        <v>0</v>
      </c>
      <c r="B300" t="s">
        <v>382</v>
      </c>
      <c r="C300" s="64">
        <f t="shared" si="8"/>
        <v>0</v>
      </c>
      <c r="E300" s="91" t="s">
        <v>480</v>
      </c>
      <c r="F300" s="53" t="s">
        <v>480</v>
      </c>
      <c r="G300" s="53" t="s">
        <v>480</v>
      </c>
      <c r="H300" s="53" t="s">
        <v>480</v>
      </c>
      <c r="I300" s="53" t="s">
        <v>480</v>
      </c>
      <c r="J300" s="53" t="s">
        <v>480</v>
      </c>
      <c r="K300" s="53" t="s">
        <v>480</v>
      </c>
      <c r="L300" s="53" t="s">
        <v>480</v>
      </c>
      <c r="M300" s="53" t="s">
        <v>480</v>
      </c>
      <c r="N300" s="53" t="s">
        <v>480</v>
      </c>
      <c r="O300" s="53" t="s">
        <v>480</v>
      </c>
      <c r="P300" s="53" t="s">
        <v>480</v>
      </c>
      <c r="Q300" s="53" t="s">
        <v>480</v>
      </c>
      <c r="R300" s="53" t="s">
        <v>480</v>
      </c>
      <c r="S300" s="53" t="s">
        <v>480</v>
      </c>
      <c r="T300" s="53" t="s">
        <v>480</v>
      </c>
      <c r="U300" s="53" t="s">
        <v>480</v>
      </c>
      <c r="V300" s="53" t="s">
        <v>480</v>
      </c>
      <c r="W300" s="53" t="s">
        <v>480</v>
      </c>
      <c r="X300" s="53" t="s">
        <v>480</v>
      </c>
      <c r="Y300" s="53" t="s">
        <v>480</v>
      </c>
      <c r="Z300" s="53" t="s">
        <v>480</v>
      </c>
      <c r="AA300" s="53" t="s">
        <v>480</v>
      </c>
      <c r="AB300" s="53" t="s">
        <v>480</v>
      </c>
      <c r="AC300" s="53" t="s">
        <v>480</v>
      </c>
      <c r="AD300" s="53" t="s">
        <v>480</v>
      </c>
      <c r="AE300" s="53" t="s">
        <v>480</v>
      </c>
      <c r="AF300" s="53" t="s">
        <v>480</v>
      </c>
      <c r="AG300" s="53" t="s">
        <v>480</v>
      </c>
      <c r="AH300" s="53" t="s">
        <v>480</v>
      </c>
      <c r="AI300" s="53" t="s">
        <v>480</v>
      </c>
      <c r="AJ300" s="53" t="s">
        <v>480</v>
      </c>
      <c r="AK300" s="53" t="s">
        <v>480</v>
      </c>
      <c r="AL300" s="53" t="s">
        <v>480</v>
      </c>
      <c r="AM300" s="53" t="s">
        <v>480</v>
      </c>
      <c r="AQ300">
        <f t="shared" si="9"/>
        <v>1</v>
      </c>
      <c r="AR300" t="s">
        <v>382</v>
      </c>
    </row>
    <row r="301" spans="1:44" x14ac:dyDescent="0.25">
      <c r="A301" s="1">
        <f>COUNTIF('Value Matchup'!$D$356:$D$423,PASE!B301)</f>
        <v>0</v>
      </c>
      <c r="B301" t="s">
        <v>383</v>
      </c>
      <c r="C301" s="64">
        <f t="shared" si="8"/>
        <v>-7.3529411764705881E-3</v>
      </c>
      <c r="E301" s="91" t="s">
        <v>480</v>
      </c>
      <c r="F301" s="53" t="s">
        <v>480</v>
      </c>
      <c r="G301" s="53" t="s">
        <v>480</v>
      </c>
      <c r="H301" s="53" t="s">
        <v>480</v>
      </c>
      <c r="I301" s="53" t="s">
        <v>480</v>
      </c>
      <c r="J301" s="53" t="s">
        <v>480</v>
      </c>
      <c r="K301" s="53" t="s">
        <v>480</v>
      </c>
      <c r="L301" s="53" t="s">
        <v>480</v>
      </c>
      <c r="M301" s="53" t="s">
        <v>480</v>
      </c>
      <c r="N301" s="53" t="s">
        <v>480</v>
      </c>
      <c r="O301" s="53" t="s">
        <v>480</v>
      </c>
      <c r="P301" s="53" t="s">
        <v>480</v>
      </c>
      <c r="Q301" s="53" t="s">
        <v>480</v>
      </c>
      <c r="R301" s="53" t="s">
        <v>480</v>
      </c>
      <c r="S301" s="53" t="s">
        <v>480</v>
      </c>
      <c r="T301" s="53" t="s">
        <v>480</v>
      </c>
      <c r="U301" s="53" t="s">
        <v>480</v>
      </c>
      <c r="V301" s="53" t="s">
        <v>480</v>
      </c>
      <c r="W301" s="53" t="s">
        <v>480</v>
      </c>
      <c r="X301" s="53" t="s">
        <v>480</v>
      </c>
      <c r="Y301" s="53" t="s">
        <v>480</v>
      </c>
      <c r="Z301" s="53" t="s">
        <v>480</v>
      </c>
      <c r="AA301" s="53" t="s">
        <v>480</v>
      </c>
      <c r="AB301" s="53" t="s">
        <v>480</v>
      </c>
      <c r="AC301" s="53" t="s">
        <v>480</v>
      </c>
      <c r="AD301" s="53" t="s">
        <v>480</v>
      </c>
      <c r="AE301" s="53" t="s">
        <v>480</v>
      </c>
      <c r="AF301" s="53" t="s">
        <v>480</v>
      </c>
      <c r="AG301" s="53">
        <v>-7.3529411764705881E-3</v>
      </c>
      <c r="AH301" s="53">
        <v>-7.3529411764705881E-3</v>
      </c>
      <c r="AI301" s="53" t="s">
        <v>480</v>
      </c>
      <c r="AJ301" s="53" t="s">
        <v>480</v>
      </c>
      <c r="AK301" s="53" t="s">
        <v>480</v>
      </c>
      <c r="AL301" s="53" t="s">
        <v>480</v>
      </c>
      <c r="AM301" s="53" t="s">
        <v>480</v>
      </c>
      <c r="AQ301">
        <f t="shared" si="9"/>
        <v>1</v>
      </c>
      <c r="AR301" t="s">
        <v>383</v>
      </c>
    </row>
    <row r="302" spans="1:44" x14ac:dyDescent="0.25">
      <c r="A302" s="1">
        <f>COUNTIF('Value Matchup'!$D$356:$D$423,PASE!B302)</f>
        <v>0</v>
      </c>
      <c r="B302" t="s">
        <v>384</v>
      </c>
      <c r="C302" s="64">
        <f t="shared" si="8"/>
        <v>-0.11764705882352941</v>
      </c>
      <c r="E302" s="91" t="s">
        <v>480</v>
      </c>
      <c r="F302" s="53" t="s">
        <v>480</v>
      </c>
      <c r="G302" s="53">
        <v>-6.6176470588235295E-2</v>
      </c>
      <c r="H302" s="53" t="s">
        <v>480</v>
      </c>
      <c r="I302" s="53" t="s">
        <v>480</v>
      </c>
      <c r="J302" s="53" t="s">
        <v>480</v>
      </c>
      <c r="K302" s="53" t="s">
        <v>480</v>
      </c>
      <c r="L302" s="53" t="s">
        <v>480</v>
      </c>
      <c r="M302" s="53" t="s">
        <v>480</v>
      </c>
      <c r="N302" s="53" t="s">
        <v>480</v>
      </c>
      <c r="O302" s="53" t="s">
        <v>480</v>
      </c>
      <c r="P302" s="53" t="s">
        <v>480</v>
      </c>
      <c r="Q302" s="53" t="s">
        <v>480</v>
      </c>
      <c r="R302" s="53" t="s">
        <v>480</v>
      </c>
      <c r="S302" s="53" t="s">
        <v>480</v>
      </c>
      <c r="T302" s="53" t="s">
        <v>480</v>
      </c>
      <c r="U302" s="53">
        <v>-0.16911764705882354</v>
      </c>
      <c r="V302" s="53" t="s">
        <v>480</v>
      </c>
      <c r="W302" s="53" t="s">
        <v>480</v>
      </c>
      <c r="X302" s="53" t="s">
        <v>480</v>
      </c>
      <c r="Y302" s="53" t="s">
        <v>480</v>
      </c>
      <c r="Z302" s="53" t="s">
        <v>480</v>
      </c>
      <c r="AA302" s="53" t="s">
        <v>480</v>
      </c>
      <c r="AB302" s="53" t="s">
        <v>480</v>
      </c>
      <c r="AC302" s="53" t="s">
        <v>480</v>
      </c>
      <c r="AD302" s="53" t="s">
        <v>480</v>
      </c>
      <c r="AE302" s="53" t="s">
        <v>480</v>
      </c>
      <c r="AF302" s="53" t="s">
        <v>480</v>
      </c>
      <c r="AG302" s="53" t="s">
        <v>480</v>
      </c>
      <c r="AH302" s="53" t="s">
        <v>480</v>
      </c>
      <c r="AI302" s="53" t="s">
        <v>480</v>
      </c>
      <c r="AJ302" s="53" t="s">
        <v>480</v>
      </c>
      <c r="AK302" s="53" t="s">
        <v>480</v>
      </c>
      <c r="AL302" s="53" t="s">
        <v>480</v>
      </c>
      <c r="AM302" s="53" t="s">
        <v>480</v>
      </c>
      <c r="AQ302">
        <f t="shared" si="9"/>
        <v>1</v>
      </c>
      <c r="AR302" t="s">
        <v>384</v>
      </c>
    </row>
    <row r="303" spans="1:44" x14ac:dyDescent="0.25">
      <c r="A303" s="1">
        <f>COUNTIF('Value Matchup'!$D$356:$D$423,PASE!B303)</f>
        <v>0</v>
      </c>
      <c r="B303" t="s">
        <v>385</v>
      </c>
      <c r="C303" s="64">
        <f t="shared" si="8"/>
        <v>0.38970588235294112</v>
      </c>
      <c r="E303" s="91" t="s">
        <v>480</v>
      </c>
      <c r="F303" s="53" t="s">
        <v>480</v>
      </c>
      <c r="G303" s="53" t="s">
        <v>480</v>
      </c>
      <c r="H303" s="53" t="s">
        <v>480</v>
      </c>
      <c r="I303" s="53" t="s">
        <v>480</v>
      </c>
      <c r="J303" s="53" t="s">
        <v>480</v>
      </c>
      <c r="K303" s="53" t="s">
        <v>480</v>
      </c>
      <c r="L303" s="53" t="s">
        <v>480</v>
      </c>
      <c r="M303" s="53" t="s">
        <v>480</v>
      </c>
      <c r="N303" s="53" t="s">
        <v>480</v>
      </c>
      <c r="O303" s="53" t="s">
        <v>480</v>
      </c>
      <c r="P303" s="53" t="s">
        <v>480</v>
      </c>
      <c r="Q303" s="53" t="s">
        <v>480</v>
      </c>
      <c r="R303" s="53" t="s">
        <v>480</v>
      </c>
      <c r="S303" s="53" t="s">
        <v>480</v>
      </c>
      <c r="T303" s="53" t="s">
        <v>480</v>
      </c>
      <c r="U303" s="53" t="s">
        <v>480</v>
      </c>
      <c r="V303" s="53" t="s">
        <v>480</v>
      </c>
      <c r="W303" s="53" t="s">
        <v>480</v>
      </c>
      <c r="X303" s="53" t="s">
        <v>480</v>
      </c>
      <c r="Y303" s="53" t="s">
        <v>480</v>
      </c>
      <c r="Z303" s="53" t="s">
        <v>480</v>
      </c>
      <c r="AA303" s="53" t="s">
        <v>480</v>
      </c>
      <c r="AB303" s="53" t="s">
        <v>480</v>
      </c>
      <c r="AC303" s="53">
        <v>0.41176470588235292</v>
      </c>
      <c r="AD303" s="53" t="s">
        <v>480</v>
      </c>
      <c r="AE303" s="53">
        <v>0.375</v>
      </c>
      <c r="AF303" s="53">
        <v>0.38235294117647056</v>
      </c>
      <c r="AG303" s="53" t="s">
        <v>480</v>
      </c>
      <c r="AH303" s="53" t="s">
        <v>480</v>
      </c>
      <c r="AI303" s="53" t="s">
        <v>480</v>
      </c>
      <c r="AJ303" s="53" t="s">
        <v>480</v>
      </c>
      <c r="AK303" s="53" t="s">
        <v>480</v>
      </c>
      <c r="AL303" s="53" t="s">
        <v>480</v>
      </c>
      <c r="AM303" s="53" t="s">
        <v>480</v>
      </c>
      <c r="AQ303">
        <f t="shared" si="9"/>
        <v>1</v>
      </c>
      <c r="AR303" t="s">
        <v>385</v>
      </c>
    </row>
    <row r="304" spans="1:44" x14ac:dyDescent="0.25">
      <c r="A304" s="1">
        <f>COUNTIF('Value Matchup'!$D$356:$D$423,PASE!B304)</f>
        <v>0</v>
      </c>
      <c r="B304" t="s">
        <v>94</v>
      </c>
      <c r="C304" s="64">
        <f t="shared" si="8"/>
        <v>0.17024886877828052</v>
      </c>
      <c r="E304" s="91" t="s">
        <v>480</v>
      </c>
      <c r="F304" s="53" t="s">
        <v>480</v>
      </c>
      <c r="G304" s="53" t="s">
        <v>480</v>
      </c>
      <c r="H304" s="53">
        <v>-0.625</v>
      </c>
      <c r="I304" s="53" t="s">
        <v>480</v>
      </c>
      <c r="J304" s="53">
        <v>-0.25</v>
      </c>
      <c r="K304" s="53" t="s">
        <v>480</v>
      </c>
      <c r="L304" s="53" t="s">
        <v>480</v>
      </c>
      <c r="M304" s="53" t="s">
        <v>480</v>
      </c>
      <c r="N304" s="53" t="s">
        <v>480</v>
      </c>
      <c r="O304" s="53" t="s">
        <v>480</v>
      </c>
      <c r="P304" s="53" t="s">
        <v>480</v>
      </c>
      <c r="Q304" s="53" t="s">
        <v>480</v>
      </c>
      <c r="R304" s="53" t="s">
        <v>480</v>
      </c>
      <c r="S304" s="53" t="s">
        <v>480</v>
      </c>
      <c r="T304" s="53" t="s">
        <v>480</v>
      </c>
      <c r="U304" s="53">
        <v>0.75</v>
      </c>
      <c r="V304" s="53">
        <v>0.5</v>
      </c>
      <c r="W304" s="53" t="s">
        <v>480</v>
      </c>
      <c r="X304" s="53">
        <v>2.0735294117647056</v>
      </c>
      <c r="Y304" s="53">
        <v>0.41176470588235292</v>
      </c>
      <c r="Z304" s="53" t="s">
        <v>480</v>
      </c>
      <c r="AA304" s="53">
        <v>-0.11764705882352944</v>
      </c>
      <c r="AB304" s="53">
        <v>-0.625</v>
      </c>
      <c r="AC304" s="53">
        <v>0.91911764705882359</v>
      </c>
      <c r="AD304" s="53">
        <v>1.5</v>
      </c>
      <c r="AE304" s="53" t="s">
        <v>480</v>
      </c>
      <c r="AF304" s="53" t="s">
        <v>480</v>
      </c>
      <c r="AG304" s="53" t="s">
        <v>480</v>
      </c>
      <c r="AH304" s="53" t="s">
        <v>480</v>
      </c>
      <c r="AI304" s="53" t="s">
        <v>480</v>
      </c>
      <c r="AJ304" s="53" t="s">
        <v>480</v>
      </c>
      <c r="AK304" s="53">
        <v>-0.625</v>
      </c>
      <c r="AL304" s="53">
        <v>-0.61764705882352944</v>
      </c>
      <c r="AM304" s="53">
        <v>-1.0808823529411764</v>
      </c>
      <c r="AQ304">
        <f t="shared" si="9"/>
        <v>1</v>
      </c>
      <c r="AR304" t="s">
        <v>94</v>
      </c>
    </row>
    <row r="305" spans="1:44" x14ac:dyDescent="0.25">
      <c r="A305" s="1">
        <f>COUNTIF('Value Matchup'!$D$356:$D$423,PASE!B305)</f>
        <v>0</v>
      </c>
      <c r="B305" t="s">
        <v>68</v>
      </c>
      <c r="C305" s="64">
        <f t="shared" si="8"/>
        <v>-0.10427807486631017</v>
      </c>
      <c r="E305" s="91" t="s">
        <v>480</v>
      </c>
      <c r="F305" s="53" t="s">
        <v>480</v>
      </c>
      <c r="G305" s="53" t="s">
        <v>480</v>
      </c>
      <c r="H305" s="53" t="s">
        <v>480</v>
      </c>
      <c r="I305" s="53">
        <v>0.83088235294117641</v>
      </c>
      <c r="J305" s="53" t="s">
        <v>480</v>
      </c>
      <c r="K305" s="53" t="s">
        <v>480</v>
      </c>
      <c r="L305" s="53" t="s">
        <v>480</v>
      </c>
      <c r="M305" s="53">
        <v>-0.5</v>
      </c>
      <c r="N305" s="53" t="s">
        <v>480</v>
      </c>
      <c r="O305" s="53" t="s">
        <v>480</v>
      </c>
      <c r="P305" s="53" t="s">
        <v>480</v>
      </c>
      <c r="Q305" s="53" t="s">
        <v>480</v>
      </c>
      <c r="R305" s="53">
        <v>-0.58823529411764708</v>
      </c>
      <c r="S305" s="53">
        <v>0.375</v>
      </c>
      <c r="T305" s="53">
        <v>1.4117647058823528</v>
      </c>
      <c r="U305" s="53" t="s">
        <v>480</v>
      </c>
      <c r="V305" s="53" t="s">
        <v>480</v>
      </c>
      <c r="W305" s="53" t="s">
        <v>480</v>
      </c>
      <c r="X305" s="53" t="s">
        <v>480</v>
      </c>
      <c r="Y305" s="53">
        <v>-0.5</v>
      </c>
      <c r="Z305" s="53" t="s">
        <v>480</v>
      </c>
      <c r="AA305" s="53" t="s">
        <v>480</v>
      </c>
      <c r="AB305" s="53" t="s">
        <v>480</v>
      </c>
      <c r="AC305" s="53" t="s">
        <v>480</v>
      </c>
      <c r="AD305" s="53">
        <v>-0.92647058823529416</v>
      </c>
      <c r="AE305" s="53" t="s">
        <v>480</v>
      </c>
      <c r="AF305" s="53" t="s">
        <v>480</v>
      </c>
      <c r="AG305" s="53" t="s">
        <v>480</v>
      </c>
      <c r="AH305" s="53">
        <v>-0.61764705882352944</v>
      </c>
      <c r="AI305" s="53" t="s">
        <v>480</v>
      </c>
      <c r="AJ305" s="53" t="s">
        <v>480</v>
      </c>
      <c r="AK305" s="53">
        <v>-0.625</v>
      </c>
      <c r="AL305" s="53">
        <v>-8.0882352941176405E-2</v>
      </c>
      <c r="AM305" s="53">
        <v>7.3529411764705843E-2</v>
      </c>
      <c r="AQ305">
        <f t="shared" si="9"/>
        <v>1</v>
      </c>
      <c r="AR305" t="s">
        <v>68</v>
      </c>
    </row>
    <row r="306" spans="1:44" x14ac:dyDescent="0.25">
      <c r="A306" s="1">
        <f>COUNTIF('Value Matchup'!$D$356:$D$423,PASE!B306)</f>
        <v>0</v>
      </c>
      <c r="B306" t="s">
        <v>386</v>
      </c>
      <c r="C306" s="64">
        <f t="shared" si="8"/>
        <v>-7.3529411764705881E-3</v>
      </c>
      <c r="E306" s="91" t="s">
        <v>480</v>
      </c>
      <c r="F306" s="53" t="s">
        <v>480</v>
      </c>
      <c r="G306" s="53">
        <v>-7.3529411764705881E-3</v>
      </c>
      <c r="H306" s="53" t="s">
        <v>480</v>
      </c>
      <c r="I306" s="53" t="s">
        <v>480</v>
      </c>
      <c r="J306" s="53" t="s">
        <v>480</v>
      </c>
      <c r="K306" s="53" t="s">
        <v>480</v>
      </c>
      <c r="L306" s="53" t="s">
        <v>480</v>
      </c>
      <c r="M306" s="53" t="s">
        <v>480</v>
      </c>
      <c r="N306" s="53" t="s">
        <v>480</v>
      </c>
      <c r="O306" s="53" t="s">
        <v>480</v>
      </c>
      <c r="P306" s="53" t="s">
        <v>480</v>
      </c>
      <c r="Q306" s="53" t="s">
        <v>480</v>
      </c>
      <c r="R306" s="53" t="s">
        <v>480</v>
      </c>
      <c r="S306" s="53" t="s">
        <v>480</v>
      </c>
      <c r="T306" s="53" t="s">
        <v>480</v>
      </c>
      <c r="U306" s="53" t="s">
        <v>480</v>
      </c>
      <c r="V306" s="53" t="s">
        <v>480</v>
      </c>
      <c r="W306" s="53" t="s">
        <v>480</v>
      </c>
      <c r="X306" s="53" t="s">
        <v>480</v>
      </c>
      <c r="Y306" s="53" t="s">
        <v>480</v>
      </c>
      <c r="Z306" s="53" t="s">
        <v>480</v>
      </c>
      <c r="AA306" s="53" t="s">
        <v>480</v>
      </c>
      <c r="AB306" s="53" t="s">
        <v>480</v>
      </c>
      <c r="AC306" s="53" t="s">
        <v>480</v>
      </c>
      <c r="AD306" s="53" t="s">
        <v>480</v>
      </c>
      <c r="AE306" s="53" t="s">
        <v>480</v>
      </c>
      <c r="AF306" s="53" t="s">
        <v>480</v>
      </c>
      <c r="AG306" s="53" t="s">
        <v>480</v>
      </c>
      <c r="AH306" s="53" t="s">
        <v>480</v>
      </c>
      <c r="AI306" s="53" t="s">
        <v>480</v>
      </c>
      <c r="AJ306" s="53" t="s">
        <v>480</v>
      </c>
      <c r="AK306" s="53" t="s">
        <v>480</v>
      </c>
      <c r="AL306" s="53" t="s">
        <v>480</v>
      </c>
      <c r="AM306" s="53" t="s">
        <v>480</v>
      </c>
      <c r="AQ306">
        <f t="shared" si="9"/>
        <v>1</v>
      </c>
      <c r="AR306" t="s">
        <v>386</v>
      </c>
    </row>
    <row r="307" spans="1:44" x14ac:dyDescent="0.25">
      <c r="A307" s="1">
        <f>COUNTIF('Value Matchup'!$D$356:$D$423,PASE!B307)</f>
        <v>0</v>
      </c>
      <c r="B307" t="s">
        <v>55</v>
      </c>
      <c r="C307" s="64">
        <f t="shared" si="8"/>
        <v>0.25</v>
      </c>
      <c r="E307" s="91">
        <v>0.75</v>
      </c>
      <c r="F307" s="53" t="s">
        <v>480</v>
      </c>
      <c r="G307" s="53" t="s">
        <v>480</v>
      </c>
      <c r="H307" s="53" t="s">
        <v>480</v>
      </c>
      <c r="I307" s="53">
        <v>-0.25</v>
      </c>
      <c r="J307" s="53" t="s">
        <v>480</v>
      </c>
      <c r="K307" s="53" t="s">
        <v>480</v>
      </c>
      <c r="L307" s="53" t="s">
        <v>480</v>
      </c>
      <c r="M307" s="53" t="s">
        <v>480</v>
      </c>
      <c r="N307" s="53" t="s">
        <v>480</v>
      </c>
      <c r="O307" s="53" t="s">
        <v>480</v>
      </c>
      <c r="P307" s="53" t="s">
        <v>480</v>
      </c>
      <c r="Q307" s="53" t="s">
        <v>480</v>
      </c>
      <c r="R307" s="53" t="s">
        <v>480</v>
      </c>
      <c r="S307" s="53" t="s">
        <v>480</v>
      </c>
      <c r="T307" s="53" t="s">
        <v>480</v>
      </c>
      <c r="U307" s="53" t="s">
        <v>480</v>
      </c>
      <c r="V307" s="53" t="s">
        <v>480</v>
      </c>
      <c r="W307" s="53" t="s">
        <v>480</v>
      </c>
      <c r="X307" s="53" t="s">
        <v>480</v>
      </c>
      <c r="Y307" s="53" t="s">
        <v>480</v>
      </c>
      <c r="Z307" s="53" t="s">
        <v>480</v>
      </c>
      <c r="AA307" s="53" t="s">
        <v>480</v>
      </c>
      <c r="AB307" s="53" t="s">
        <v>480</v>
      </c>
      <c r="AC307" s="53" t="s">
        <v>480</v>
      </c>
      <c r="AD307" s="53" t="s">
        <v>480</v>
      </c>
      <c r="AE307" s="53" t="s">
        <v>480</v>
      </c>
      <c r="AF307" s="53" t="s">
        <v>480</v>
      </c>
      <c r="AG307" s="53" t="s">
        <v>480</v>
      </c>
      <c r="AH307" s="53" t="s">
        <v>480</v>
      </c>
      <c r="AI307" s="53" t="s">
        <v>480</v>
      </c>
      <c r="AJ307" s="53" t="s">
        <v>480</v>
      </c>
      <c r="AK307" s="53" t="s">
        <v>480</v>
      </c>
      <c r="AL307" s="53" t="s">
        <v>480</v>
      </c>
      <c r="AM307" s="53" t="s">
        <v>480</v>
      </c>
      <c r="AQ307">
        <f t="shared" si="9"/>
        <v>1</v>
      </c>
      <c r="AR307" t="s">
        <v>55</v>
      </c>
    </row>
    <row r="308" spans="1:44" x14ac:dyDescent="0.25">
      <c r="A308" s="1">
        <f>COUNTIF('Value Matchup'!$D$356:$D$423,PASE!B308)</f>
        <v>0</v>
      </c>
      <c r="B308" t="s">
        <v>387</v>
      </c>
      <c r="C308" s="64">
        <f t="shared" si="8"/>
        <v>0</v>
      </c>
      <c r="E308" s="91" t="s">
        <v>480</v>
      </c>
      <c r="F308" s="53" t="s">
        <v>480</v>
      </c>
      <c r="G308" s="53" t="s">
        <v>480</v>
      </c>
      <c r="H308" s="53" t="s">
        <v>480</v>
      </c>
      <c r="I308" s="53" t="s">
        <v>480</v>
      </c>
      <c r="J308" s="53" t="s">
        <v>480</v>
      </c>
      <c r="K308" s="53" t="s">
        <v>480</v>
      </c>
      <c r="L308" s="53" t="s">
        <v>480</v>
      </c>
      <c r="M308" s="53" t="s">
        <v>480</v>
      </c>
      <c r="N308" s="53" t="s">
        <v>480</v>
      </c>
      <c r="O308" s="53" t="s">
        <v>480</v>
      </c>
      <c r="P308" s="53" t="s">
        <v>480</v>
      </c>
      <c r="Q308" s="53" t="s">
        <v>480</v>
      </c>
      <c r="R308" s="53" t="s">
        <v>480</v>
      </c>
      <c r="S308" s="53" t="s">
        <v>480</v>
      </c>
      <c r="T308" s="53" t="s">
        <v>480</v>
      </c>
      <c r="U308" s="53" t="s">
        <v>480</v>
      </c>
      <c r="V308" s="53" t="s">
        <v>480</v>
      </c>
      <c r="W308" s="53" t="s">
        <v>480</v>
      </c>
      <c r="X308" s="53" t="s">
        <v>480</v>
      </c>
      <c r="Y308" s="53" t="s">
        <v>480</v>
      </c>
      <c r="Z308" s="53" t="s">
        <v>480</v>
      </c>
      <c r="AA308" s="53" t="s">
        <v>480</v>
      </c>
      <c r="AB308" s="53" t="s">
        <v>480</v>
      </c>
      <c r="AC308" s="53" t="s">
        <v>480</v>
      </c>
      <c r="AD308" s="53" t="s">
        <v>480</v>
      </c>
      <c r="AE308" s="53" t="s">
        <v>480</v>
      </c>
      <c r="AF308" s="53" t="s">
        <v>480</v>
      </c>
      <c r="AG308" s="53" t="s">
        <v>480</v>
      </c>
      <c r="AH308" s="53" t="s">
        <v>480</v>
      </c>
      <c r="AI308" s="53" t="s">
        <v>480</v>
      </c>
      <c r="AJ308" s="53" t="s">
        <v>480</v>
      </c>
      <c r="AK308" s="53" t="s">
        <v>480</v>
      </c>
      <c r="AL308" s="53" t="s">
        <v>480</v>
      </c>
      <c r="AM308" s="53" t="s">
        <v>480</v>
      </c>
      <c r="AQ308">
        <f t="shared" si="9"/>
        <v>1</v>
      </c>
      <c r="AR308" t="s">
        <v>387</v>
      </c>
    </row>
    <row r="309" spans="1:44" x14ac:dyDescent="0.25">
      <c r="A309" s="1">
        <f>COUNTIF('Value Matchup'!$D$356:$D$423,PASE!B309)</f>
        <v>1</v>
      </c>
      <c r="B309" t="s">
        <v>388</v>
      </c>
      <c r="C309" s="64">
        <f t="shared" si="8"/>
        <v>-0.10147058823529413</v>
      </c>
      <c r="E309" s="91" t="s">
        <v>480</v>
      </c>
      <c r="F309" s="53" t="s">
        <v>480</v>
      </c>
      <c r="G309" s="53" t="s">
        <v>480</v>
      </c>
      <c r="H309" s="53" t="s">
        <v>480</v>
      </c>
      <c r="I309" s="53" t="s">
        <v>480</v>
      </c>
      <c r="J309" s="53" t="s">
        <v>480</v>
      </c>
      <c r="K309" s="53" t="s">
        <v>480</v>
      </c>
      <c r="L309" s="53" t="s">
        <v>480</v>
      </c>
      <c r="M309" s="53">
        <v>-6.6176470588235295E-2</v>
      </c>
      <c r="N309" s="53">
        <v>-6.6176470588235295E-2</v>
      </c>
      <c r="O309" s="53" t="s">
        <v>480</v>
      </c>
      <c r="P309" s="53" t="s">
        <v>480</v>
      </c>
      <c r="Q309" s="53" t="s">
        <v>480</v>
      </c>
      <c r="R309" s="53" t="s">
        <v>480</v>
      </c>
      <c r="S309" s="53" t="s">
        <v>480</v>
      </c>
      <c r="T309" s="53" t="s">
        <v>480</v>
      </c>
      <c r="U309" s="53" t="s">
        <v>480</v>
      </c>
      <c r="V309" s="53">
        <v>-0.16911764705882354</v>
      </c>
      <c r="W309" s="53" t="s">
        <v>480</v>
      </c>
      <c r="X309" s="53" t="s">
        <v>480</v>
      </c>
      <c r="Y309" s="53" t="s">
        <v>480</v>
      </c>
      <c r="Z309" s="53" t="s">
        <v>480</v>
      </c>
      <c r="AA309" s="53" t="s">
        <v>480</v>
      </c>
      <c r="AB309" s="53" t="s">
        <v>480</v>
      </c>
      <c r="AC309" s="53" t="s">
        <v>480</v>
      </c>
      <c r="AD309" s="53" t="s">
        <v>480</v>
      </c>
      <c r="AE309" s="53" t="s">
        <v>480</v>
      </c>
      <c r="AF309" s="53" t="s">
        <v>480</v>
      </c>
      <c r="AG309" s="53" t="s">
        <v>480</v>
      </c>
      <c r="AH309" s="53">
        <v>0.41176470588235292</v>
      </c>
      <c r="AI309" s="53" t="s">
        <v>480</v>
      </c>
      <c r="AJ309" s="53">
        <v>-0.61764705882352944</v>
      </c>
      <c r="AK309" s="53" t="s">
        <v>480</v>
      </c>
      <c r="AL309" s="53" t="s">
        <v>480</v>
      </c>
      <c r="AM309" s="53" t="s">
        <v>480</v>
      </c>
      <c r="AQ309">
        <f t="shared" si="9"/>
        <v>1</v>
      </c>
      <c r="AR309" t="s">
        <v>388</v>
      </c>
    </row>
    <row r="310" spans="1:44" x14ac:dyDescent="0.25">
      <c r="A310" s="1">
        <f>COUNTIF('Value Matchup'!$D$356:$D$423,PASE!B310)</f>
        <v>0</v>
      </c>
      <c r="B310" t="s">
        <v>389</v>
      </c>
      <c r="C310" s="64">
        <f t="shared" si="8"/>
        <v>3.0000000000000006E-2</v>
      </c>
      <c r="E310" s="91">
        <v>0.4</v>
      </c>
      <c r="F310" s="53" t="s">
        <v>480</v>
      </c>
      <c r="G310" s="53" t="s">
        <v>480</v>
      </c>
      <c r="H310" s="53" t="s">
        <v>480</v>
      </c>
      <c r="I310" s="53" t="s">
        <v>480</v>
      </c>
      <c r="J310" s="53" t="s">
        <v>480</v>
      </c>
      <c r="K310" s="53" t="s">
        <v>480</v>
      </c>
      <c r="L310" s="53" t="s">
        <v>480</v>
      </c>
      <c r="M310" s="53" t="s">
        <v>480</v>
      </c>
      <c r="N310" s="53" t="s">
        <v>480</v>
      </c>
      <c r="O310" s="53" t="s">
        <v>480</v>
      </c>
      <c r="P310" s="53" t="s">
        <v>480</v>
      </c>
      <c r="Q310" s="53" t="s">
        <v>480</v>
      </c>
      <c r="R310" s="53" t="s">
        <v>480</v>
      </c>
      <c r="S310" s="53">
        <v>-6.6176470588235295E-2</v>
      </c>
      <c r="T310" s="53">
        <v>-0.16911764705882354</v>
      </c>
      <c r="U310" s="53" t="s">
        <v>480</v>
      </c>
      <c r="V310" s="53" t="s">
        <v>480</v>
      </c>
      <c r="W310" s="53" t="s">
        <v>480</v>
      </c>
      <c r="X310" s="53" t="s">
        <v>480</v>
      </c>
      <c r="Y310" s="53" t="s">
        <v>480</v>
      </c>
      <c r="Z310" s="53" t="s">
        <v>480</v>
      </c>
      <c r="AA310" s="53" t="s">
        <v>480</v>
      </c>
      <c r="AB310" s="53">
        <v>-7.3529411764705881E-3</v>
      </c>
      <c r="AC310" s="53" t="s">
        <v>480</v>
      </c>
      <c r="AD310" s="53">
        <v>-7.3529411764705881E-3</v>
      </c>
      <c r="AE310" s="53" t="s">
        <v>480</v>
      </c>
      <c r="AF310" s="53" t="s">
        <v>480</v>
      </c>
      <c r="AG310" s="53" t="s">
        <v>480</v>
      </c>
      <c r="AH310" s="53" t="s">
        <v>480</v>
      </c>
      <c r="AI310" s="53" t="s">
        <v>480</v>
      </c>
      <c r="AJ310" s="53" t="s">
        <v>480</v>
      </c>
      <c r="AK310" s="53" t="s">
        <v>480</v>
      </c>
      <c r="AL310" s="53" t="s">
        <v>480</v>
      </c>
      <c r="AM310" s="53" t="s">
        <v>480</v>
      </c>
      <c r="AQ310">
        <f t="shared" si="9"/>
        <v>1</v>
      </c>
      <c r="AR310" t="s">
        <v>389</v>
      </c>
    </row>
    <row r="311" spans="1:44" x14ac:dyDescent="0.25">
      <c r="A311" s="1">
        <f>COUNTIF('Value Matchup'!$D$356:$D$423,PASE!B311)</f>
        <v>1</v>
      </c>
      <c r="B311" t="s">
        <v>67</v>
      </c>
      <c r="C311" s="64">
        <f t="shared" si="8"/>
        <v>0.16617647058823529</v>
      </c>
      <c r="E311" s="91" t="s">
        <v>480</v>
      </c>
      <c r="F311" s="53">
        <v>-0.625</v>
      </c>
      <c r="G311" s="53">
        <v>0.16911764705882359</v>
      </c>
      <c r="H311" s="53" t="s">
        <v>480</v>
      </c>
      <c r="I311" s="53">
        <v>1.375</v>
      </c>
      <c r="J311" s="53">
        <v>0.45588235294117641</v>
      </c>
      <c r="K311" s="53">
        <v>-1.0808823529411764</v>
      </c>
      <c r="L311" s="53" t="s">
        <v>480</v>
      </c>
      <c r="M311" s="53">
        <v>7.3529411764705843E-2</v>
      </c>
      <c r="N311" s="53" t="s">
        <v>480</v>
      </c>
      <c r="O311" s="53">
        <v>-8.0882352941176405E-2</v>
      </c>
      <c r="P311" s="53">
        <v>0.65441176470588225</v>
      </c>
      <c r="Q311" s="53">
        <v>1.6397058823529411</v>
      </c>
      <c r="R311" s="53">
        <v>2.6397058823529411</v>
      </c>
      <c r="S311" s="53">
        <v>-0.625</v>
      </c>
      <c r="T311" s="53" t="s">
        <v>480</v>
      </c>
      <c r="U311" s="53" t="s">
        <v>480</v>
      </c>
      <c r="V311" s="53">
        <v>1.2794117647058822</v>
      </c>
      <c r="W311" s="53">
        <v>0.45588235294117641</v>
      </c>
      <c r="X311" s="53">
        <v>0.91911764705882359</v>
      </c>
      <c r="Y311" s="53">
        <v>-1.1176470588235294</v>
      </c>
      <c r="Z311" s="53">
        <v>0.91911764705882359</v>
      </c>
      <c r="AA311" s="53">
        <v>0.63970588235294112</v>
      </c>
      <c r="AB311" s="53">
        <v>-1.5441176470588236</v>
      </c>
      <c r="AC311" s="53" t="s">
        <v>480</v>
      </c>
      <c r="AD311" s="53">
        <v>-1.1176470588235294</v>
      </c>
      <c r="AE311" s="53">
        <v>0.41176470588235292</v>
      </c>
      <c r="AF311" s="53">
        <v>-0.34558823529411775</v>
      </c>
      <c r="AG311" s="53">
        <v>-1.5441176470588236</v>
      </c>
      <c r="AH311" s="53">
        <v>1.0735294117647058</v>
      </c>
      <c r="AI311" s="53">
        <v>7.3529411764705843E-2</v>
      </c>
      <c r="AJ311" s="53" t="s">
        <v>480</v>
      </c>
      <c r="AK311" s="53">
        <v>-0.54411764705882359</v>
      </c>
      <c r="AL311" s="53" t="s">
        <v>480</v>
      </c>
      <c r="AM311" s="53" t="s">
        <v>480</v>
      </c>
      <c r="AQ311">
        <f t="shared" si="9"/>
        <v>1</v>
      </c>
      <c r="AR311" t="s">
        <v>67</v>
      </c>
    </row>
    <row r="312" spans="1:44" x14ac:dyDescent="0.25">
      <c r="A312" s="1">
        <f>COUNTIF('Value Matchup'!$D$356:$D$423,PASE!B312)</f>
        <v>0</v>
      </c>
      <c r="B312" t="s">
        <v>390</v>
      </c>
      <c r="C312" s="64">
        <f t="shared" si="8"/>
        <v>0</v>
      </c>
      <c r="E312" s="91" t="s">
        <v>480</v>
      </c>
      <c r="F312" s="53" t="s">
        <v>480</v>
      </c>
      <c r="G312" s="53" t="s">
        <v>480</v>
      </c>
      <c r="H312" s="53" t="s">
        <v>480</v>
      </c>
      <c r="I312" s="53" t="s">
        <v>480</v>
      </c>
      <c r="J312" s="53" t="s">
        <v>480</v>
      </c>
      <c r="K312" s="53" t="s">
        <v>480</v>
      </c>
      <c r="L312" s="53" t="s">
        <v>480</v>
      </c>
      <c r="M312" s="53" t="s">
        <v>480</v>
      </c>
      <c r="N312" s="53" t="s">
        <v>480</v>
      </c>
      <c r="O312" s="53" t="s">
        <v>480</v>
      </c>
      <c r="P312" s="53" t="s">
        <v>480</v>
      </c>
      <c r="Q312" s="53" t="s">
        <v>480</v>
      </c>
      <c r="R312" s="53" t="s">
        <v>480</v>
      </c>
      <c r="S312" s="53" t="s">
        <v>480</v>
      </c>
      <c r="T312" s="53" t="s">
        <v>480</v>
      </c>
      <c r="U312" s="53" t="s">
        <v>480</v>
      </c>
      <c r="V312" s="53" t="s">
        <v>480</v>
      </c>
      <c r="W312" s="53" t="s">
        <v>480</v>
      </c>
      <c r="X312" s="53" t="s">
        <v>480</v>
      </c>
      <c r="Y312" s="53" t="s">
        <v>480</v>
      </c>
      <c r="Z312" s="53" t="s">
        <v>480</v>
      </c>
      <c r="AA312" s="53" t="s">
        <v>480</v>
      </c>
      <c r="AB312" s="53" t="s">
        <v>480</v>
      </c>
      <c r="AC312" s="53" t="s">
        <v>480</v>
      </c>
      <c r="AD312" s="53" t="s">
        <v>480</v>
      </c>
      <c r="AE312" s="53" t="s">
        <v>480</v>
      </c>
      <c r="AF312" s="53" t="s">
        <v>480</v>
      </c>
      <c r="AG312" s="53" t="s">
        <v>480</v>
      </c>
      <c r="AH312" s="53" t="s">
        <v>480</v>
      </c>
      <c r="AI312" s="53" t="s">
        <v>480</v>
      </c>
      <c r="AJ312" s="53" t="s">
        <v>480</v>
      </c>
      <c r="AK312" s="53" t="s">
        <v>480</v>
      </c>
      <c r="AL312" s="53" t="s">
        <v>480</v>
      </c>
      <c r="AM312" s="53" t="s">
        <v>480</v>
      </c>
      <c r="AQ312">
        <f t="shared" si="9"/>
        <v>1</v>
      </c>
      <c r="AR312" t="s">
        <v>390</v>
      </c>
    </row>
    <row r="313" spans="1:44" x14ac:dyDescent="0.25">
      <c r="A313" s="1">
        <f>COUNTIF('Value Matchup'!$D$356:$D$423,PASE!B313)</f>
        <v>0</v>
      </c>
      <c r="B313" t="s">
        <v>391</v>
      </c>
      <c r="C313" s="64">
        <f t="shared" si="8"/>
        <v>0.46323529411764708</v>
      </c>
      <c r="E313" s="91" t="s">
        <v>480</v>
      </c>
      <c r="F313" s="53">
        <v>0.99264705882352944</v>
      </c>
      <c r="G313" s="53" t="s">
        <v>480</v>
      </c>
      <c r="H313" s="53" t="s">
        <v>480</v>
      </c>
      <c r="I313" s="53" t="s">
        <v>480</v>
      </c>
      <c r="J313" s="53" t="s">
        <v>480</v>
      </c>
      <c r="K313" s="53" t="s">
        <v>480</v>
      </c>
      <c r="L313" s="53" t="s">
        <v>480</v>
      </c>
      <c r="M313" s="53" t="s">
        <v>480</v>
      </c>
      <c r="N313" s="53" t="s">
        <v>480</v>
      </c>
      <c r="O313" s="53" t="s">
        <v>480</v>
      </c>
      <c r="P313" s="53">
        <v>-6.6176470588235295E-2</v>
      </c>
      <c r="Q313" s="53" t="s">
        <v>480</v>
      </c>
      <c r="R313" s="53" t="s">
        <v>480</v>
      </c>
      <c r="S313" s="53" t="s">
        <v>480</v>
      </c>
      <c r="T313" s="53" t="s">
        <v>480</v>
      </c>
      <c r="U313" s="53" t="s">
        <v>480</v>
      </c>
      <c r="V313" s="53" t="s">
        <v>480</v>
      </c>
      <c r="W313" s="53" t="s">
        <v>480</v>
      </c>
      <c r="X313" s="53" t="s">
        <v>480</v>
      </c>
      <c r="Y313" s="53" t="s">
        <v>480</v>
      </c>
      <c r="Z313" s="53" t="s">
        <v>480</v>
      </c>
      <c r="AA313" s="53" t="s">
        <v>480</v>
      </c>
      <c r="AB313" s="53" t="s">
        <v>480</v>
      </c>
      <c r="AC313" s="53" t="s">
        <v>480</v>
      </c>
      <c r="AD313" s="53" t="s">
        <v>480</v>
      </c>
      <c r="AE313" s="53" t="s">
        <v>480</v>
      </c>
      <c r="AF313" s="53" t="s">
        <v>480</v>
      </c>
      <c r="AG313" s="53" t="s">
        <v>480</v>
      </c>
      <c r="AH313" s="53" t="s">
        <v>480</v>
      </c>
      <c r="AI313" s="53" t="s">
        <v>480</v>
      </c>
      <c r="AJ313" s="53" t="s">
        <v>480</v>
      </c>
      <c r="AK313" s="53" t="s">
        <v>480</v>
      </c>
      <c r="AL313" s="53" t="s">
        <v>480</v>
      </c>
      <c r="AM313" s="53" t="s">
        <v>480</v>
      </c>
      <c r="AQ313">
        <f t="shared" si="9"/>
        <v>1</v>
      </c>
      <c r="AR313" t="s">
        <v>391</v>
      </c>
    </row>
    <row r="314" spans="1:44" x14ac:dyDescent="0.25">
      <c r="A314" s="1">
        <f>COUNTIF('Value Matchup'!$D$356:$D$423,PASE!B314)</f>
        <v>0</v>
      </c>
      <c r="B314" t="s">
        <v>392</v>
      </c>
      <c r="C314" s="64">
        <f t="shared" si="8"/>
        <v>0</v>
      </c>
      <c r="E314" s="91" t="s">
        <v>480</v>
      </c>
      <c r="F314" s="53" t="s">
        <v>480</v>
      </c>
      <c r="G314" s="53" t="s">
        <v>480</v>
      </c>
      <c r="H314" s="53" t="s">
        <v>480</v>
      </c>
      <c r="I314" s="53" t="s">
        <v>480</v>
      </c>
      <c r="J314" s="53" t="s">
        <v>480</v>
      </c>
      <c r="K314" s="53" t="s">
        <v>480</v>
      </c>
      <c r="L314" s="53" t="s">
        <v>480</v>
      </c>
      <c r="M314" s="53" t="s">
        <v>480</v>
      </c>
      <c r="N314" s="53" t="s">
        <v>480</v>
      </c>
      <c r="O314" s="53" t="s">
        <v>480</v>
      </c>
      <c r="P314" s="53" t="s">
        <v>480</v>
      </c>
      <c r="Q314" s="53" t="s">
        <v>480</v>
      </c>
      <c r="R314" s="53" t="s">
        <v>480</v>
      </c>
      <c r="S314" s="53" t="s">
        <v>480</v>
      </c>
      <c r="T314" s="53" t="s">
        <v>480</v>
      </c>
      <c r="U314" s="53" t="s">
        <v>480</v>
      </c>
      <c r="V314" s="53" t="s">
        <v>480</v>
      </c>
      <c r="W314" s="53" t="s">
        <v>480</v>
      </c>
      <c r="X314" s="53" t="s">
        <v>480</v>
      </c>
      <c r="Y314" s="53" t="s">
        <v>480</v>
      </c>
      <c r="Z314" s="53" t="s">
        <v>480</v>
      </c>
      <c r="AA314" s="53" t="s">
        <v>480</v>
      </c>
      <c r="AB314" s="53" t="s">
        <v>480</v>
      </c>
      <c r="AC314" s="53" t="s">
        <v>480</v>
      </c>
      <c r="AD314" s="53" t="s">
        <v>480</v>
      </c>
      <c r="AE314" s="53" t="s">
        <v>480</v>
      </c>
      <c r="AF314" s="53" t="s">
        <v>480</v>
      </c>
      <c r="AG314" s="53" t="s">
        <v>480</v>
      </c>
      <c r="AH314" s="53" t="s">
        <v>480</v>
      </c>
      <c r="AI314" s="53" t="s">
        <v>480</v>
      </c>
      <c r="AJ314" s="53" t="s">
        <v>480</v>
      </c>
      <c r="AK314" s="53" t="s">
        <v>480</v>
      </c>
      <c r="AL314" s="53" t="s">
        <v>480</v>
      </c>
      <c r="AM314" s="53" t="s">
        <v>480</v>
      </c>
      <c r="AQ314">
        <f t="shared" si="9"/>
        <v>1</v>
      </c>
      <c r="AR314" t="s">
        <v>392</v>
      </c>
    </row>
    <row r="315" spans="1:44" x14ac:dyDescent="0.25">
      <c r="A315" s="1">
        <f>COUNTIF('Value Matchup'!$D$356:$D$423,PASE!B315)</f>
        <v>0</v>
      </c>
      <c r="B315" t="s">
        <v>393</v>
      </c>
      <c r="C315" s="64">
        <f t="shared" si="8"/>
        <v>-2.2058823529411766E-2</v>
      </c>
      <c r="E315" s="91" t="s">
        <v>480</v>
      </c>
      <c r="F315" s="53" t="s">
        <v>480</v>
      </c>
      <c r="G315" s="53" t="s">
        <v>480</v>
      </c>
      <c r="H315" s="53">
        <v>-6.6176470588235295E-2</v>
      </c>
      <c r="I315" s="53" t="s">
        <v>480</v>
      </c>
      <c r="J315" s="53" t="s">
        <v>480</v>
      </c>
      <c r="K315" s="53" t="s">
        <v>480</v>
      </c>
      <c r="L315" s="53">
        <v>-7.3529411764705881E-3</v>
      </c>
      <c r="M315" s="53">
        <v>-7.3529411764705881E-3</v>
      </c>
      <c r="N315" s="53" t="s">
        <v>480</v>
      </c>
      <c r="O315" s="53" t="s">
        <v>480</v>
      </c>
      <c r="P315" s="53" t="s">
        <v>480</v>
      </c>
      <c r="Q315" s="53" t="s">
        <v>480</v>
      </c>
      <c r="R315" s="53" t="s">
        <v>480</v>
      </c>
      <c r="S315" s="53" t="s">
        <v>480</v>
      </c>
      <c r="T315" s="53" t="s">
        <v>480</v>
      </c>
      <c r="U315" s="53">
        <v>-7.3529411764705881E-3</v>
      </c>
      <c r="V315" s="53" t="s">
        <v>480</v>
      </c>
      <c r="W315" s="53" t="s">
        <v>480</v>
      </c>
      <c r="X315" s="53" t="s">
        <v>480</v>
      </c>
      <c r="Y315" s="53" t="s">
        <v>480</v>
      </c>
      <c r="Z315" s="53" t="s">
        <v>480</v>
      </c>
      <c r="AA315" s="53" t="s">
        <v>480</v>
      </c>
      <c r="AB315" s="53" t="s">
        <v>480</v>
      </c>
      <c r="AC315" s="53" t="s">
        <v>480</v>
      </c>
      <c r="AD315" s="53" t="s">
        <v>480</v>
      </c>
      <c r="AE315" s="53" t="s">
        <v>480</v>
      </c>
      <c r="AF315" s="53" t="s">
        <v>480</v>
      </c>
      <c r="AG315" s="53" t="s">
        <v>480</v>
      </c>
      <c r="AH315" s="53" t="s">
        <v>480</v>
      </c>
      <c r="AI315" s="53" t="s">
        <v>480</v>
      </c>
      <c r="AJ315" s="53" t="s">
        <v>480</v>
      </c>
      <c r="AK315" s="53" t="s">
        <v>480</v>
      </c>
      <c r="AL315" s="53" t="s">
        <v>480</v>
      </c>
      <c r="AM315" s="53" t="s">
        <v>480</v>
      </c>
      <c r="AQ315">
        <f t="shared" si="9"/>
        <v>1</v>
      </c>
      <c r="AR315" t="s">
        <v>393</v>
      </c>
    </row>
    <row r="316" spans="1:44" x14ac:dyDescent="0.25">
      <c r="A316" s="1">
        <f>COUNTIF('Value Matchup'!$D$356:$D$423,PASE!B316)</f>
        <v>1</v>
      </c>
      <c r="B316" t="s">
        <v>394</v>
      </c>
      <c r="C316" s="64">
        <f t="shared" si="8"/>
        <v>-0.10784313725490195</v>
      </c>
      <c r="E316" s="91" t="s">
        <v>480</v>
      </c>
      <c r="F316" s="53">
        <v>-0.25</v>
      </c>
      <c r="G316" s="53" t="s">
        <v>480</v>
      </c>
      <c r="H316" s="53" t="s">
        <v>480</v>
      </c>
      <c r="I316" s="53" t="s">
        <v>480</v>
      </c>
      <c r="J316" s="53" t="s">
        <v>480</v>
      </c>
      <c r="K316" s="53" t="s">
        <v>480</v>
      </c>
      <c r="L316" s="53" t="s">
        <v>480</v>
      </c>
      <c r="M316" s="53" t="s">
        <v>480</v>
      </c>
      <c r="N316" s="53" t="s">
        <v>480</v>
      </c>
      <c r="O316" s="53" t="s">
        <v>480</v>
      </c>
      <c r="P316" s="53" t="s">
        <v>480</v>
      </c>
      <c r="Q316" s="53" t="s">
        <v>480</v>
      </c>
      <c r="R316" s="53" t="s">
        <v>480</v>
      </c>
      <c r="S316" s="53" t="s">
        <v>480</v>
      </c>
      <c r="T316" s="53" t="s">
        <v>480</v>
      </c>
      <c r="U316" s="53" t="s">
        <v>480</v>
      </c>
      <c r="V316" s="53" t="s">
        <v>480</v>
      </c>
      <c r="W316" s="53">
        <v>-7.3529411764705881E-3</v>
      </c>
      <c r="X316" s="53" t="s">
        <v>480</v>
      </c>
      <c r="Y316" s="53" t="s">
        <v>480</v>
      </c>
      <c r="Z316" s="53" t="s">
        <v>480</v>
      </c>
      <c r="AA316" s="53" t="s">
        <v>480</v>
      </c>
      <c r="AB316" s="53">
        <v>-6.6176470588235295E-2</v>
      </c>
      <c r="AC316" s="53" t="s">
        <v>480</v>
      </c>
      <c r="AD316" s="53" t="s">
        <v>480</v>
      </c>
      <c r="AE316" s="53" t="s">
        <v>480</v>
      </c>
      <c r="AF316" s="53" t="s">
        <v>480</v>
      </c>
      <c r="AG316" s="53" t="s">
        <v>480</v>
      </c>
      <c r="AH316" s="53" t="s">
        <v>480</v>
      </c>
      <c r="AI316" s="53" t="s">
        <v>480</v>
      </c>
      <c r="AJ316" s="53" t="s">
        <v>480</v>
      </c>
      <c r="AK316" s="53" t="s">
        <v>480</v>
      </c>
      <c r="AL316" s="53" t="s">
        <v>480</v>
      </c>
      <c r="AM316" s="53" t="s">
        <v>480</v>
      </c>
      <c r="AQ316">
        <f t="shared" si="9"/>
        <v>1</v>
      </c>
      <c r="AR316" t="s">
        <v>394</v>
      </c>
    </row>
    <row r="317" spans="1:44" x14ac:dyDescent="0.25">
      <c r="A317" s="1">
        <f>COUNTIF('Value Matchup'!$D$356:$D$423,PASE!B317)</f>
        <v>0</v>
      </c>
      <c r="B317" t="s">
        <v>395</v>
      </c>
      <c r="C317" s="64">
        <f t="shared" si="8"/>
        <v>-0.21323529411764708</v>
      </c>
      <c r="E317" s="91" t="s">
        <v>480</v>
      </c>
      <c r="F317" s="53" t="s">
        <v>480</v>
      </c>
      <c r="G317" s="53">
        <v>-0.5</v>
      </c>
      <c r="H317" s="53">
        <v>-0.25</v>
      </c>
      <c r="I317" s="53" t="s">
        <v>480</v>
      </c>
      <c r="J317" s="53" t="s">
        <v>480</v>
      </c>
      <c r="K317" s="53" t="s">
        <v>480</v>
      </c>
      <c r="L317" s="53" t="s">
        <v>480</v>
      </c>
      <c r="M317" s="53" t="s">
        <v>480</v>
      </c>
      <c r="N317" s="53" t="s">
        <v>480</v>
      </c>
      <c r="O317" s="53" t="s">
        <v>480</v>
      </c>
      <c r="P317" s="53" t="s">
        <v>480</v>
      </c>
      <c r="Q317" s="53" t="s">
        <v>480</v>
      </c>
      <c r="R317" s="53">
        <v>-0.58823529411764708</v>
      </c>
      <c r="S317" s="53" t="s">
        <v>480</v>
      </c>
      <c r="T317" s="53" t="s">
        <v>480</v>
      </c>
      <c r="U317" s="53">
        <v>-0.625</v>
      </c>
      <c r="V317" s="53">
        <v>0.75</v>
      </c>
      <c r="W317" s="53" t="s">
        <v>480</v>
      </c>
      <c r="X317" s="53">
        <v>-6.6176470588235295E-2</v>
      </c>
      <c r="Y317" s="53" t="s">
        <v>480</v>
      </c>
      <c r="Z317" s="53" t="s">
        <v>480</v>
      </c>
      <c r="AA317" s="53" t="s">
        <v>480</v>
      </c>
      <c r="AB317" s="53" t="s">
        <v>480</v>
      </c>
      <c r="AC317" s="53" t="s">
        <v>480</v>
      </c>
      <c r="AD317" s="53" t="s">
        <v>480</v>
      </c>
      <c r="AE317" s="53" t="s">
        <v>480</v>
      </c>
      <c r="AF317" s="53" t="s">
        <v>480</v>
      </c>
      <c r="AG317" s="53" t="s">
        <v>480</v>
      </c>
      <c r="AH317" s="53" t="s">
        <v>480</v>
      </c>
      <c r="AI317" s="53" t="s">
        <v>480</v>
      </c>
      <c r="AJ317" s="53" t="s">
        <v>480</v>
      </c>
      <c r="AK317" s="53" t="s">
        <v>480</v>
      </c>
      <c r="AL317" s="53" t="s">
        <v>480</v>
      </c>
      <c r="AM317" s="53" t="s">
        <v>480</v>
      </c>
      <c r="AQ317">
        <f t="shared" si="9"/>
        <v>1</v>
      </c>
      <c r="AR317" t="s">
        <v>395</v>
      </c>
    </row>
    <row r="318" spans="1:44" x14ac:dyDescent="0.25">
      <c r="A318" s="1">
        <f>COUNTIF('Value Matchup'!$D$356:$D$423,PASE!B318)</f>
        <v>0</v>
      </c>
      <c r="B318" t="s">
        <v>396</v>
      </c>
      <c r="C318" s="64">
        <f t="shared" si="8"/>
        <v>-9.0861344537815178E-2</v>
      </c>
      <c r="E318" s="91" t="s">
        <v>480</v>
      </c>
      <c r="F318" s="53" t="s">
        <v>480</v>
      </c>
      <c r="G318" s="53" t="s">
        <v>480</v>
      </c>
      <c r="H318" s="53" t="s">
        <v>480</v>
      </c>
      <c r="I318" s="53" t="s">
        <v>480</v>
      </c>
      <c r="J318" s="53" t="s">
        <v>480</v>
      </c>
      <c r="K318" s="53">
        <v>-1.1176470588235294</v>
      </c>
      <c r="L318" s="53">
        <v>-1.0808823529411764</v>
      </c>
      <c r="M318" s="53">
        <v>-0.72058823529411764</v>
      </c>
      <c r="N318" s="53">
        <v>-0.72058823529411764</v>
      </c>
      <c r="O318" s="53" t="s">
        <v>480</v>
      </c>
      <c r="P318" s="53">
        <v>0.27941176470588236</v>
      </c>
      <c r="Q318" s="53">
        <v>1.0735294117647058</v>
      </c>
      <c r="R318" s="53" t="s">
        <v>480</v>
      </c>
      <c r="S318" s="53" t="s">
        <v>480</v>
      </c>
      <c r="T318" s="53" t="s">
        <v>480</v>
      </c>
      <c r="U318" s="53" t="s">
        <v>480</v>
      </c>
      <c r="V318" s="53" t="s">
        <v>480</v>
      </c>
      <c r="W318" s="53" t="s">
        <v>480</v>
      </c>
      <c r="X318" s="53">
        <v>-0.61764705882352944</v>
      </c>
      <c r="Y318" s="53" t="s">
        <v>480</v>
      </c>
      <c r="Z318" s="53">
        <v>-0.5</v>
      </c>
      <c r="AA318" s="53" t="s">
        <v>480</v>
      </c>
      <c r="AB318" s="53" t="s">
        <v>480</v>
      </c>
      <c r="AC318" s="53" t="s">
        <v>480</v>
      </c>
      <c r="AD318" s="53" t="s">
        <v>480</v>
      </c>
      <c r="AE318" s="53" t="s">
        <v>480</v>
      </c>
      <c r="AF318" s="53" t="s">
        <v>480</v>
      </c>
      <c r="AG318" s="53">
        <v>0.65441176470588225</v>
      </c>
      <c r="AH318" s="53" t="s">
        <v>480</v>
      </c>
      <c r="AI318" s="53">
        <v>1.4558823529411764</v>
      </c>
      <c r="AJ318" s="53">
        <v>-0.54411764705882359</v>
      </c>
      <c r="AK318" s="53">
        <v>0.65441176470588225</v>
      </c>
      <c r="AL318" s="53">
        <v>0.45588235294117641</v>
      </c>
      <c r="AM318" s="53">
        <v>-0.54411764705882359</v>
      </c>
      <c r="AQ318">
        <f t="shared" si="9"/>
        <v>1</v>
      </c>
      <c r="AR318" t="s">
        <v>396</v>
      </c>
    </row>
    <row r="319" spans="1:44" x14ac:dyDescent="0.25">
      <c r="A319" s="1">
        <f>COUNTIF('Value Matchup'!$D$356:$D$423,PASE!B319)</f>
        <v>1</v>
      </c>
      <c r="B319" t="s">
        <v>85</v>
      </c>
      <c r="C319" s="64">
        <f t="shared" si="8"/>
        <v>-0.31127450980392163</v>
      </c>
      <c r="E319" s="91" t="s">
        <v>480</v>
      </c>
      <c r="F319" s="53" t="s">
        <v>480</v>
      </c>
      <c r="G319" s="53">
        <v>0.375</v>
      </c>
      <c r="H319" s="53">
        <v>-0.72058823529411764</v>
      </c>
      <c r="I319" s="53" t="s">
        <v>480</v>
      </c>
      <c r="J319" s="53" t="s">
        <v>480</v>
      </c>
      <c r="K319" s="53" t="s">
        <v>480</v>
      </c>
      <c r="L319" s="53" t="s">
        <v>480</v>
      </c>
      <c r="M319" s="53">
        <v>-0.625</v>
      </c>
      <c r="N319" s="53" t="s">
        <v>480</v>
      </c>
      <c r="O319" s="53">
        <v>0.38235294117647056</v>
      </c>
      <c r="P319" s="53">
        <v>-1.0808823529411764</v>
      </c>
      <c r="Q319" s="53">
        <v>0.88235294117647056</v>
      </c>
      <c r="R319" s="53" t="s">
        <v>480</v>
      </c>
      <c r="S319" s="53" t="s">
        <v>480</v>
      </c>
      <c r="T319" s="53" t="s">
        <v>480</v>
      </c>
      <c r="U319" s="53" t="s">
        <v>480</v>
      </c>
      <c r="V319" s="53">
        <v>-1.5441176470588236</v>
      </c>
      <c r="W319" s="53">
        <v>1.9191176470588236</v>
      </c>
      <c r="X319" s="53" t="s">
        <v>480</v>
      </c>
      <c r="Y319" s="53" t="s">
        <v>480</v>
      </c>
      <c r="Z319" s="53" t="s">
        <v>480</v>
      </c>
      <c r="AA319" s="53">
        <v>-0.625</v>
      </c>
      <c r="AB319" s="53" t="s">
        <v>480</v>
      </c>
      <c r="AC319" s="53" t="s">
        <v>480</v>
      </c>
      <c r="AD319" s="53" t="s">
        <v>480</v>
      </c>
      <c r="AE319" s="53" t="s">
        <v>480</v>
      </c>
      <c r="AF319" s="53">
        <v>-1.3602941176470589</v>
      </c>
      <c r="AG319" s="53">
        <v>-0.61764705882352944</v>
      </c>
      <c r="AH319" s="53" t="s">
        <v>480</v>
      </c>
      <c r="AI319" s="53" t="s">
        <v>480</v>
      </c>
      <c r="AJ319" s="53" t="s">
        <v>480</v>
      </c>
      <c r="AK319" s="53" t="s">
        <v>480</v>
      </c>
      <c r="AL319" s="53" t="s">
        <v>480</v>
      </c>
      <c r="AM319" s="53">
        <v>-0.72058823529411764</v>
      </c>
      <c r="AQ319">
        <f t="shared" si="9"/>
        <v>1</v>
      </c>
      <c r="AR319" t="s">
        <v>85</v>
      </c>
    </row>
    <row r="320" spans="1:44" x14ac:dyDescent="0.25">
      <c r="A320" s="1">
        <f>COUNTIF('Value Matchup'!$D$356:$D$423,PASE!B320)</f>
        <v>0</v>
      </c>
      <c r="B320" t="s">
        <v>397</v>
      </c>
      <c r="C320" s="64">
        <f t="shared" si="8"/>
        <v>0</v>
      </c>
      <c r="E320" s="91" t="s">
        <v>480</v>
      </c>
      <c r="F320" s="53" t="s">
        <v>480</v>
      </c>
      <c r="G320" s="53" t="s">
        <v>480</v>
      </c>
      <c r="H320" s="53" t="s">
        <v>480</v>
      </c>
      <c r="I320" s="53" t="s">
        <v>480</v>
      </c>
      <c r="J320" s="53" t="s">
        <v>480</v>
      </c>
      <c r="K320" s="53" t="s">
        <v>480</v>
      </c>
      <c r="L320" s="53" t="s">
        <v>480</v>
      </c>
      <c r="M320" s="53" t="s">
        <v>480</v>
      </c>
      <c r="N320" s="53" t="s">
        <v>480</v>
      </c>
      <c r="O320" s="53" t="s">
        <v>480</v>
      </c>
      <c r="P320" s="53" t="s">
        <v>480</v>
      </c>
      <c r="Q320" s="53" t="s">
        <v>480</v>
      </c>
      <c r="R320" s="53" t="s">
        <v>480</v>
      </c>
      <c r="S320" s="53" t="s">
        <v>480</v>
      </c>
      <c r="T320" s="53" t="s">
        <v>480</v>
      </c>
      <c r="U320" s="53" t="s">
        <v>480</v>
      </c>
      <c r="V320" s="53" t="s">
        <v>480</v>
      </c>
      <c r="W320" s="53" t="s">
        <v>480</v>
      </c>
      <c r="X320" s="53" t="s">
        <v>480</v>
      </c>
      <c r="Y320" s="53" t="s">
        <v>480</v>
      </c>
      <c r="Z320" s="53" t="s">
        <v>480</v>
      </c>
      <c r="AA320" s="53" t="s">
        <v>480</v>
      </c>
      <c r="AB320" s="53" t="s">
        <v>480</v>
      </c>
      <c r="AC320" s="53" t="s">
        <v>480</v>
      </c>
      <c r="AD320" s="53" t="s">
        <v>480</v>
      </c>
      <c r="AE320" s="53" t="s">
        <v>480</v>
      </c>
      <c r="AF320" s="53" t="s">
        <v>480</v>
      </c>
      <c r="AG320" s="53" t="s">
        <v>480</v>
      </c>
      <c r="AH320" s="53" t="s">
        <v>480</v>
      </c>
      <c r="AI320" s="53" t="s">
        <v>480</v>
      </c>
      <c r="AJ320" s="53" t="s">
        <v>480</v>
      </c>
      <c r="AK320" s="53" t="s">
        <v>480</v>
      </c>
      <c r="AL320" s="53" t="s">
        <v>480</v>
      </c>
      <c r="AM320" s="53" t="s">
        <v>480</v>
      </c>
      <c r="AQ320">
        <f t="shared" si="9"/>
        <v>1</v>
      </c>
      <c r="AR320" t="s">
        <v>397</v>
      </c>
    </row>
    <row r="321" spans="1:44" x14ac:dyDescent="0.25">
      <c r="A321" s="1">
        <f>COUNTIF('Value Matchup'!$D$356:$D$423,PASE!B321)</f>
        <v>0</v>
      </c>
      <c r="B321" t="s">
        <v>398</v>
      </c>
      <c r="C321" s="64">
        <f t="shared" si="8"/>
        <v>-7.3529411764705881E-3</v>
      </c>
      <c r="E321" s="91" t="s">
        <v>480</v>
      </c>
      <c r="F321" s="53" t="s">
        <v>480</v>
      </c>
      <c r="G321" s="53" t="s">
        <v>480</v>
      </c>
      <c r="H321" s="53" t="s">
        <v>480</v>
      </c>
      <c r="I321" s="53" t="s">
        <v>480</v>
      </c>
      <c r="J321" s="53" t="s">
        <v>480</v>
      </c>
      <c r="K321" s="53" t="s">
        <v>480</v>
      </c>
      <c r="L321" s="53" t="s">
        <v>480</v>
      </c>
      <c r="M321" s="53" t="s">
        <v>480</v>
      </c>
      <c r="N321" s="53" t="s">
        <v>480</v>
      </c>
      <c r="O321" s="53" t="s">
        <v>480</v>
      </c>
      <c r="P321" s="53">
        <v>-7.3529411764705881E-3</v>
      </c>
      <c r="Q321" s="53" t="s">
        <v>480</v>
      </c>
      <c r="R321" s="53" t="s">
        <v>480</v>
      </c>
      <c r="S321" s="53" t="s">
        <v>480</v>
      </c>
      <c r="T321" s="53" t="s">
        <v>480</v>
      </c>
      <c r="U321" s="53" t="s">
        <v>480</v>
      </c>
      <c r="V321" s="53" t="s">
        <v>480</v>
      </c>
      <c r="W321" s="53" t="s">
        <v>480</v>
      </c>
      <c r="X321" s="53" t="s">
        <v>480</v>
      </c>
      <c r="Y321" s="53" t="s">
        <v>480</v>
      </c>
      <c r="Z321" s="53" t="s">
        <v>480</v>
      </c>
      <c r="AA321" s="53" t="s">
        <v>480</v>
      </c>
      <c r="AB321" s="53" t="s">
        <v>480</v>
      </c>
      <c r="AC321" s="53" t="s">
        <v>480</v>
      </c>
      <c r="AD321" s="53" t="s">
        <v>480</v>
      </c>
      <c r="AE321" s="53" t="s">
        <v>480</v>
      </c>
      <c r="AF321" s="53" t="s">
        <v>480</v>
      </c>
      <c r="AG321" s="53" t="s">
        <v>480</v>
      </c>
      <c r="AH321" s="53" t="s">
        <v>480</v>
      </c>
      <c r="AI321" s="53" t="s">
        <v>480</v>
      </c>
      <c r="AJ321" s="53" t="s">
        <v>480</v>
      </c>
      <c r="AK321" s="53" t="s">
        <v>480</v>
      </c>
      <c r="AL321" s="53" t="s">
        <v>480</v>
      </c>
      <c r="AM321" s="53" t="s">
        <v>480</v>
      </c>
      <c r="AQ321">
        <f t="shared" si="9"/>
        <v>1</v>
      </c>
      <c r="AR321" t="s">
        <v>398</v>
      </c>
    </row>
    <row r="322" spans="1:44" x14ac:dyDescent="0.25">
      <c r="A322" s="1">
        <f>COUNTIF('Value Matchup'!$D$356:$D$423,PASE!B322)</f>
        <v>0</v>
      </c>
      <c r="B322" t="s">
        <v>399</v>
      </c>
      <c r="C322" s="64">
        <f t="shared" si="8"/>
        <v>0</v>
      </c>
      <c r="E322" s="91" t="s">
        <v>480</v>
      </c>
      <c r="F322" s="53" t="s">
        <v>480</v>
      </c>
      <c r="G322" s="53" t="s">
        <v>480</v>
      </c>
      <c r="H322" s="53" t="s">
        <v>480</v>
      </c>
      <c r="I322" s="53" t="s">
        <v>480</v>
      </c>
      <c r="J322" s="53" t="s">
        <v>480</v>
      </c>
      <c r="K322" s="53" t="s">
        <v>480</v>
      </c>
      <c r="L322" s="53" t="s">
        <v>480</v>
      </c>
      <c r="M322" s="53" t="s">
        <v>480</v>
      </c>
      <c r="N322" s="53" t="s">
        <v>480</v>
      </c>
      <c r="O322" s="53" t="s">
        <v>480</v>
      </c>
      <c r="P322" s="53" t="s">
        <v>480</v>
      </c>
      <c r="Q322" s="53" t="s">
        <v>480</v>
      </c>
      <c r="R322" s="53" t="s">
        <v>480</v>
      </c>
      <c r="S322" s="53" t="s">
        <v>480</v>
      </c>
      <c r="T322" s="53" t="s">
        <v>480</v>
      </c>
      <c r="U322" s="53" t="s">
        <v>480</v>
      </c>
      <c r="V322" s="53" t="s">
        <v>480</v>
      </c>
      <c r="W322" s="53" t="s">
        <v>480</v>
      </c>
      <c r="X322" s="53" t="s">
        <v>480</v>
      </c>
      <c r="Y322" s="53" t="s">
        <v>480</v>
      </c>
      <c r="Z322" s="53" t="s">
        <v>480</v>
      </c>
      <c r="AA322" s="53" t="s">
        <v>480</v>
      </c>
      <c r="AB322" s="53" t="s">
        <v>480</v>
      </c>
      <c r="AC322" s="53" t="s">
        <v>480</v>
      </c>
      <c r="AD322" s="53" t="s">
        <v>480</v>
      </c>
      <c r="AE322" s="53" t="s">
        <v>480</v>
      </c>
      <c r="AF322" s="53" t="s">
        <v>480</v>
      </c>
      <c r="AG322" s="53" t="s">
        <v>480</v>
      </c>
      <c r="AH322" s="53" t="s">
        <v>480</v>
      </c>
      <c r="AI322" s="53" t="s">
        <v>480</v>
      </c>
      <c r="AJ322" s="53" t="s">
        <v>480</v>
      </c>
      <c r="AK322" s="53" t="s">
        <v>480</v>
      </c>
      <c r="AL322" s="53" t="s">
        <v>480</v>
      </c>
      <c r="AM322" s="53" t="s">
        <v>480</v>
      </c>
      <c r="AQ322">
        <f t="shared" si="9"/>
        <v>1</v>
      </c>
      <c r="AR322" t="s">
        <v>399</v>
      </c>
    </row>
    <row r="323" spans="1:44" x14ac:dyDescent="0.25">
      <c r="A323" s="1">
        <f>COUNTIF('Value Matchup'!$D$356:$D$423,PASE!B323)</f>
        <v>0</v>
      </c>
      <c r="B323" t="s">
        <v>65</v>
      </c>
      <c r="C323" s="64">
        <f t="shared" si="8"/>
        <v>0.14659926470588236</v>
      </c>
      <c r="E323" s="91" t="s">
        <v>480</v>
      </c>
      <c r="F323" s="53" t="s">
        <v>480</v>
      </c>
      <c r="G323" s="53" t="s">
        <v>480</v>
      </c>
      <c r="H323" s="53">
        <v>-0.83088235294117641</v>
      </c>
      <c r="I323" s="53">
        <v>0.88235294117647056</v>
      </c>
      <c r="J323" s="53" t="s">
        <v>480</v>
      </c>
      <c r="K323" s="53" t="s">
        <v>480</v>
      </c>
      <c r="L323" s="53" t="s">
        <v>480</v>
      </c>
      <c r="M323" s="53" t="s">
        <v>480</v>
      </c>
      <c r="N323" s="53" t="s">
        <v>480</v>
      </c>
      <c r="O323" s="53">
        <v>-1.1176470588235294</v>
      </c>
      <c r="P323" s="53" t="s">
        <v>480</v>
      </c>
      <c r="Q323" s="53" t="s">
        <v>480</v>
      </c>
      <c r="R323" s="53" t="s">
        <v>480</v>
      </c>
      <c r="S323" s="53">
        <v>0.91911764705882359</v>
      </c>
      <c r="T323" s="53">
        <v>-0.625</v>
      </c>
      <c r="U323" s="53">
        <v>0.41176470588235292</v>
      </c>
      <c r="V323" s="53">
        <v>-0.5</v>
      </c>
      <c r="W323" s="53" t="s">
        <v>480</v>
      </c>
      <c r="X323" s="53">
        <v>0.27941176470588236</v>
      </c>
      <c r="Y323" s="53">
        <v>-1.3602941176470589</v>
      </c>
      <c r="Z323" s="53">
        <v>3.1691176470588234</v>
      </c>
      <c r="AA323" s="53">
        <v>0.63970588235294112</v>
      </c>
      <c r="AB323" s="53">
        <v>0.45588235294117641</v>
      </c>
      <c r="AC323" s="53">
        <v>-0.54411764705882359</v>
      </c>
      <c r="AD323" s="53" t="s">
        <v>480</v>
      </c>
      <c r="AE323" s="53">
        <v>0.27941176470588236</v>
      </c>
      <c r="AF323" s="53" t="s">
        <v>480</v>
      </c>
      <c r="AG323" s="53">
        <v>0.45588235294117641</v>
      </c>
      <c r="AH323" s="53" t="s">
        <v>480</v>
      </c>
      <c r="AI323" s="53" t="s">
        <v>480</v>
      </c>
      <c r="AJ323" s="53" t="s">
        <v>480</v>
      </c>
      <c r="AK323" s="53" t="s">
        <v>480</v>
      </c>
      <c r="AL323" s="53">
        <v>-0.16911764705882354</v>
      </c>
      <c r="AM323" s="53" t="s">
        <v>480</v>
      </c>
      <c r="AQ323">
        <f t="shared" si="9"/>
        <v>1</v>
      </c>
      <c r="AR323" t="s">
        <v>65</v>
      </c>
    </row>
    <row r="324" spans="1:44" x14ac:dyDescent="0.25">
      <c r="A324" s="1">
        <f>COUNTIF('Value Matchup'!$D$356:$D$423,PASE!B324)</f>
        <v>1</v>
      </c>
      <c r="B324" t="s">
        <v>400</v>
      </c>
      <c r="C324" s="64">
        <f t="shared" ref="C324:C355" si="10">IFERROR(AVERAGE(E324:AM324),0)</f>
        <v>-0.35708556149732623</v>
      </c>
      <c r="E324" s="91">
        <v>-0.7</v>
      </c>
      <c r="F324" s="53" t="s">
        <v>480</v>
      </c>
      <c r="G324" s="53" t="s">
        <v>480</v>
      </c>
      <c r="H324" s="53" t="s">
        <v>480</v>
      </c>
      <c r="I324" s="53" t="s">
        <v>480</v>
      </c>
      <c r="J324" s="53" t="s">
        <v>480</v>
      </c>
      <c r="K324" s="53" t="s">
        <v>480</v>
      </c>
      <c r="L324" s="53" t="s">
        <v>480</v>
      </c>
      <c r="M324" s="53">
        <v>-0.5</v>
      </c>
      <c r="N324" s="53">
        <v>-0.5</v>
      </c>
      <c r="O324" s="53">
        <v>-0.625</v>
      </c>
      <c r="P324" s="53" t="s">
        <v>480</v>
      </c>
      <c r="Q324" s="53" t="s">
        <v>480</v>
      </c>
      <c r="R324" s="53">
        <v>-0.5</v>
      </c>
      <c r="S324" s="53">
        <v>-0.16911764705882354</v>
      </c>
      <c r="T324" s="53" t="s">
        <v>480</v>
      </c>
      <c r="U324" s="53">
        <v>-6.6176470588235295E-2</v>
      </c>
      <c r="V324" s="53" t="s">
        <v>480</v>
      </c>
      <c r="W324" s="53">
        <v>0.5</v>
      </c>
      <c r="X324" s="53">
        <v>-0.5</v>
      </c>
      <c r="Y324" s="53" t="s">
        <v>480</v>
      </c>
      <c r="Z324" s="53">
        <v>-0.25</v>
      </c>
      <c r="AA324" s="53" t="s">
        <v>480</v>
      </c>
      <c r="AB324" s="53" t="s">
        <v>480</v>
      </c>
      <c r="AC324" s="53" t="s">
        <v>480</v>
      </c>
      <c r="AD324" s="53" t="s">
        <v>480</v>
      </c>
      <c r="AE324" s="53" t="s">
        <v>480</v>
      </c>
      <c r="AF324" s="53" t="s">
        <v>480</v>
      </c>
      <c r="AG324" s="53" t="s">
        <v>480</v>
      </c>
      <c r="AH324" s="53" t="s">
        <v>480</v>
      </c>
      <c r="AI324" s="53" t="s">
        <v>480</v>
      </c>
      <c r="AJ324" s="53">
        <v>-0.61764705882352944</v>
      </c>
      <c r="AK324" s="53" t="s">
        <v>480</v>
      </c>
      <c r="AL324" s="53" t="s">
        <v>480</v>
      </c>
      <c r="AM324" s="53" t="s">
        <v>480</v>
      </c>
      <c r="AQ324">
        <f t="shared" ref="AQ324:AQ355" si="11">COUNTIF(B:B,AR324)</f>
        <v>1</v>
      </c>
      <c r="AR324" t="s">
        <v>400</v>
      </c>
    </row>
    <row r="325" spans="1:44" x14ac:dyDescent="0.25">
      <c r="A325" s="1">
        <f>COUNTIF('Value Matchup'!$D$356:$D$423,PASE!B325)</f>
        <v>0</v>
      </c>
      <c r="B325" t="s">
        <v>401</v>
      </c>
      <c r="C325" s="64">
        <f t="shared" si="10"/>
        <v>0</v>
      </c>
      <c r="E325" s="91" t="s">
        <v>480</v>
      </c>
      <c r="F325" s="53" t="s">
        <v>480</v>
      </c>
      <c r="G325" s="53" t="s">
        <v>480</v>
      </c>
      <c r="H325" s="53" t="s">
        <v>480</v>
      </c>
      <c r="I325" s="53" t="s">
        <v>480</v>
      </c>
      <c r="J325" s="53" t="s">
        <v>480</v>
      </c>
      <c r="K325" s="53" t="s">
        <v>480</v>
      </c>
      <c r="L325" s="53" t="s">
        <v>480</v>
      </c>
      <c r="M325" s="53" t="s">
        <v>480</v>
      </c>
      <c r="N325" s="53" t="s">
        <v>480</v>
      </c>
      <c r="O325" s="53" t="s">
        <v>480</v>
      </c>
      <c r="P325" s="53" t="s">
        <v>480</v>
      </c>
      <c r="Q325" s="53" t="s">
        <v>480</v>
      </c>
      <c r="R325" s="53" t="s">
        <v>480</v>
      </c>
      <c r="S325" s="53" t="s">
        <v>480</v>
      </c>
      <c r="T325" s="53" t="s">
        <v>480</v>
      </c>
      <c r="U325" s="53" t="s">
        <v>480</v>
      </c>
      <c r="V325" s="53" t="s">
        <v>480</v>
      </c>
      <c r="W325" s="53" t="s">
        <v>480</v>
      </c>
      <c r="X325" s="53" t="s">
        <v>480</v>
      </c>
      <c r="Y325" s="53" t="s">
        <v>480</v>
      </c>
      <c r="Z325" s="53" t="s">
        <v>480</v>
      </c>
      <c r="AA325" s="53" t="s">
        <v>480</v>
      </c>
      <c r="AB325" s="53" t="s">
        <v>480</v>
      </c>
      <c r="AC325" s="53" t="s">
        <v>480</v>
      </c>
      <c r="AD325" s="53" t="s">
        <v>480</v>
      </c>
      <c r="AE325" s="53" t="s">
        <v>480</v>
      </c>
      <c r="AF325" s="53" t="s">
        <v>480</v>
      </c>
      <c r="AG325" s="53" t="s">
        <v>480</v>
      </c>
      <c r="AH325" s="53" t="s">
        <v>480</v>
      </c>
      <c r="AI325" s="53" t="s">
        <v>480</v>
      </c>
      <c r="AJ325" s="53" t="s">
        <v>480</v>
      </c>
      <c r="AK325" s="53" t="s">
        <v>480</v>
      </c>
      <c r="AL325" s="53" t="s">
        <v>480</v>
      </c>
      <c r="AM325" s="53" t="s">
        <v>480</v>
      </c>
      <c r="AQ325">
        <f t="shared" si="11"/>
        <v>1</v>
      </c>
      <c r="AR325" t="s">
        <v>401</v>
      </c>
    </row>
    <row r="326" spans="1:44" x14ac:dyDescent="0.25">
      <c r="A326" s="1">
        <f>COUNTIF('Value Matchup'!$D$356:$D$423,PASE!B326)</f>
        <v>0</v>
      </c>
      <c r="B326" t="s">
        <v>402</v>
      </c>
      <c r="C326" s="64">
        <f t="shared" si="10"/>
        <v>-0.1272058823529412</v>
      </c>
      <c r="E326" s="91" t="s">
        <v>480</v>
      </c>
      <c r="F326" s="53" t="s">
        <v>480</v>
      </c>
      <c r="G326" s="53" t="s">
        <v>480</v>
      </c>
      <c r="H326" s="53" t="s">
        <v>480</v>
      </c>
      <c r="I326" s="53" t="s">
        <v>480</v>
      </c>
      <c r="J326" s="53" t="s">
        <v>480</v>
      </c>
      <c r="K326" s="53" t="s">
        <v>480</v>
      </c>
      <c r="L326" s="53" t="s">
        <v>480</v>
      </c>
      <c r="M326" s="53" t="s">
        <v>480</v>
      </c>
      <c r="N326" s="53">
        <v>-0.5</v>
      </c>
      <c r="O326" s="53" t="s">
        <v>480</v>
      </c>
      <c r="P326" s="53" t="s">
        <v>480</v>
      </c>
      <c r="Q326" s="53" t="s">
        <v>480</v>
      </c>
      <c r="R326" s="53" t="s">
        <v>480</v>
      </c>
      <c r="S326" s="53">
        <v>-0.625</v>
      </c>
      <c r="T326" s="53">
        <v>-0.25</v>
      </c>
      <c r="U326" s="53" t="s">
        <v>480</v>
      </c>
      <c r="V326" s="53" t="s">
        <v>480</v>
      </c>
      <c r="W326" s="53" t="s">
        <v>480</v>
      </c>
      <c r="X326" s="53" t="s">
        <v>480</v>
      </c>
      <c r="Y326" s="53" t="s">
        <v>480</v>
      </c>
      <c r="Z326" s="53" t="s">
        <v>480</v>
      </c>
      <c r="AA326" s="53" t="s">
        <v>480</v>
      </c>
      <c r="AB326" s="53" t="s">
        <v>480</v>
      </c>
      <c r="AC326" s="53" t="s">
        <v>480</v>
      </c>
      <c r="AD326" s="53" t="s">
        <v>480</v>
      </c>
      <c r="AE326" s="53" t="s">
        <v>480</v>
      </c>
      <c r="AF326" s="53">
        <v>1.4117647058823528</v>
      </c>
      <c r="AG326" s="53" t="s">
        <v>480</v>
      </c>
      <c r="AH326" s="53">
        <v>-0.625</v>
      </c>
      <c r="AI326" s="53">
        <v>7.3529411764705843E-2</v>
      </c>
      <c r="AJ326" s="53">
        <v>-0.58823529411764708</v>
      </c>
      <c r="AK326" s="53">
        <v>7.3529411764705843E-2</v>
      </c>
      <c r="AL326" s="53">
        <v>-0.61764705882352944</v>
      </c>
      <c r="AM326" s="53">
        <v>0.375</v>
      </c>
      <c r="AQ326">
        <f t="shared" si="11"/>
        <v>1</v>
      </c>
      <c r="AR326" t="s">
        <v>402</v>
      </c>
    </row>
    <row r="327" spans="1:44" x14ac:dyDescent="0.25">
      <c r="A327" s="1">
        <f>COUNTIF('Value Matchup'!$D$356:$D$423,PASE!B327)</f>
        <v>0</v>
      </c>
      <c r="B327" t="s">
        <v>403</v>
      </c>
      <c r="C327" s="64">
        <f t="shared" si="10"/>
        <v>-4.7794117647058827E-2</v>
      </c>
      <c r="E327" s="91" t="s">
        <v>480</v>
      </c>
      <c r="F327" s="53" t="s">
        <v>480</v>
      </c>
      <c r="G327" s="53" t="s">
        <v>480</v>
      </c>
      <c r="H327" s="53" t="s">
        <v>480</v>
      </c>
      <c r="I327" s="53" t="s">
        <v>480</v>
      </c>
      <c r="J327" s="53" t="s">
        <v>480</v>
      </c>
      <c r="K327" s="53" t="s">
        <v>480</v>
      </c>
      <c r="L327" s="53" t="s">
        <v>480</v>
      </c>
      <c r="M327" s="53">
        <v>-7.3529411764705881E-3</v>
      </c>
      <c r="N327" s="53" t="s">
        <v>480</v>
      </c>
      <c r="O327" s="53" t="s">
        <v>480</v>
      </c>
      <c r="P327" s="53" t="s">
        <v>480</v>
      </c>
      <c r="Q327" s="53" t="s">
        <v>480</v>
      </c>
      <c r="R327" s="53" t="s">
        <v>480</v>
      </c>
      <c r="S327" s="53" t="s">
        <v>480</v>
      </c>
      <c r="T327" s="53">
        <v>-7.3529411764705881E-3</v>
      </c>
      <c r="U327" s="53" t="s">
        <v>480</v>
      </c>
      <c r="V327" s="53" t="s">
        <v>480</v>
      </c>
      <c r="W327" s="53" t="s">
        <v>480</v>
      </c>
      <c r="X327" s="53" t="s">
        <v>480</v>
      </c>
      <c r="Y327" s="53">
        <v>-7.3529411764705881E-3</v>
      </c>
      <c r="Z327" s="53" t="s">
        <v>480</v>
      </c>
      <c r="AA327" s="53" t="s">
        <v>480</v>
      </c>
      <c r="AB327" s="53" t="s">
        <v>480</v>
      </c>
      <c r="AC327" s="53" t="s">
        <v>480</v>
      </c>
      <c r="AD327" s="53" t="s">
        <v>480</v>
      </c>
      <c r="AE327" s="53" t="s">
        <v>480</v>
      </c>
      <c r="AF327" s="53" t="s">
        <v>480</v>
      </c>
      <c r="AG327" s="53" t="s">
        <v>480</v>
      </c>
      <c r="AH327" s="53" t="s">
        <v>480</v>
      </c>
      <c r="AI327" s="53" t="s">
        <v>480</v>
      </c>
      <c r="AJ327" s="53">
        <v>-0.16911764705882354</v>
      </c>
      <c r="AK327" s="53" t="s">
        <v>480</v>
      </c>
      <c r="AL327" s="53" t="s">
        <v>480</v>
      </c>
      <c r="AM327" s="53" t="s">
        <v>480</v>
      </c>
      <c r="AQ327">
        <f t="shared" si="11"/>
        <v>1</v>
      </c>
      <c r="AR327" t="s">
        <v>403</v>
      </c>
    </row>
    <row r="328" spans="1:44" x14ac:dyDescent="0.25">
      <c r="A328" s="1">
        <f>COUNTIF('Value Matchup'!$D$356:$D$423,PASE!B328)</f>
        <v>0</v>
      </c>
      <c r="B328" t="s">
        <v>32</v>
      </c>
      <c r="C328" s="64">
        <f t="shared" si="10"/>
        <v>3.0228758169934637E-2</v>
      </c>
      <c r="E328" s="91" t="s">
        <v>480</v>
      </c>
      <c r="F328" s="53" t="s">
        <v>480</v>
      </c>
      <c r="G328" s="53" t="s">
        <v>480</v>
      </c>
      <c r="H328" s="53" t="s">
        <v>480</v>
      </c>
      <c r="I328" s="53">
        <v>-0.25</v>
      </c>
      <c r="J328" s="53" t="s">
        <v>480</v>
      </c>
      <c r="K328" s="53">
        <v>-0.16911764705882354</v>
      </c>
      <c r="L328" s="53" t="s">
        <v>480</v>
      </c>
      <c r="M328" s="53" t="s">
        <v>480</v>
      </c>
      <c r="N328" s="53" t="s">
        <v>480</v>
      </c>
      <c r="O328" s="53" t="s">
        <v>480</v>
      </c>
      <c r="P328" s="53" t="s">
        <v>480</v>
      </c>
      <c r="Q328" s="53" t="s">
        <v>480</v>
      </c>
      <c r="R328" s="53" t="s">
        <v>480</v>
      </c>
      <c r="S328" s="53" t="s">
        <v>480</v>
      </c>
      <c r="T328" s="53">
        <v>-6.6176470588235295E-2</v>
      </c>
      <c r="U328" s="53" t="s">
        <v>480</v>
      </c>
      <c r="V328" s="53">
        <v>-0.25</v>
      </c>
      <c r="W328" s="53" t="s">
        <v>480</v>
      </c>
      <c r="X328" s="53">
        <v>-7.3529411764705881E-3</v>
      </c>
      <c r="Y328" s="53">
        <v>-6.6176470588235295E-2</v>
      </c>
      <c r="Z328" s="53">
        <v>1.75</v>
      </c>
      <c r="AA328" s="53">
        <v>-0.5</v>
      </c>
      <c r="AB328" s="53">
        <v>-0.16911764705882354</v>
      </c>
      <c r="AC328" s="53" t="s">
        <v>480</v>
      </c>
      <c r="AD328" s="53" t="s">
        <v>480</v>
      </c>
      <c r="AE328" s="53" t="s">
        <v>480</v>
      </c>
      <c r="AF328" s="53" t="s">
        <v>480</v>
      </c>
      <c r="AG328" s="53" t="s">
        <v>480</v>
      </c>
      <c r="AH328" s="53" t="s">
        <v>480</v>
      </c>
      <c r="AI328" s="53" t="s">
        <v>480</v>
      </c>
      <c r="AJ328" s="53" t="s">
        <v>480</v>
      </c>
      <c r="AK328" s="53" t="s">
        <v>480</v>
      </c>
      <c r="AL328" s="53" t="s">
        <v>480</v>
      </c>
      <c r="AM328" s="53" t="s">
        <v>480</v>
      </c>
      <c r="AQ328">
        <f t="shared" si="11"/>
        <v>1</v>
      </c>
      <c r="AR328" t="s">
        <v>32</v>
      </c>
    </row>
    <row r="329" spans="1:44" x14ac:dyDescent="0.25">
      <c r="A329" s="1">
        <f>COUNTIF('Value Matchup'!$D$356:$D$423,PASE!B329)</f>
        <v>0</v>
      </c>
      <c r="B329" t="s">
        <v>78</v>
      </c>
      <c r="C329" s="64">
        <f t="shared" si="10"/>
        <v>-0.33710407239819007</v>
      </c>
      <c r="E329" s="91" t="s">
        <v>480</v>
      </c>
      <c r="F329" s="53" t="s">
        <v>480</v>
      </c>
      <c r="G329" s="53">
        <v>-0.58823529411764708</v>
      </c>
      <c r="H329" s="53">
        <v>-0.625</v>
      </c>
      <c r="I329" s="53" t="s">
        <v>480</v>
      </c>
      <c r="J329" s="53" t="s">
        <v>480</v>
      </c>
      <c r="K329" s="53" t="s">
        <v>480</v>
      </c>
      <c r="L329" s="53">
        <v>-0.11764705882352944</v>
      </c>
      <c r="M329" s="53">
        <v>-1.1176470588235294</v>
      </c>
      <c r="N329" s="53">
        <v>-1.5441176470588236</v>
      </c>
      <c r="O329" s="53" t="s">
        <v>480</v>
      </c>
      <c r="P329" s="53">
        <v>-1.5441176470588236</v>
      </c>
      <c r="Q329" s="53">
        <v>0.91911764705882359</v>
      </c>
      <c r="R329" s="53" t="s">
        <v>480</v>
      </c>
      <c r="S329" s="53" t="s">
        <v>480</v>
      </c>
      <c r="T329" s="53">
        <v>0.91911764705882359</v>
      </c>
      <c r="U329" s="53" t="s">
        <v>480</v>
      </c>
      <c r="V329" s="53" t="s">
        <v>480</v>
      </c>
      <c r="W329" s="53" t="s">
        <v>480</v>
      </c>
      <c r="X329" s="53" t="s">
        <v>480</v>
      </c>
      <c r="Y329" s="53" t="s">
        <v>480</v>
      </c>
      <c r="Z329" s="53" t="s">
        <v>480</v>
      </c>
      <c r="AA329" s="53">
        <v>-0.61764705882352944</v>
      </c>
      <c r="AB329" s="53" t="s">
        <v>480</v>
      </c>
      <c r="AC329" s="53" t="s">
        <v>480</v>
      </c>
      <c r="AD329" s="53" t="s">
        <v>480</v>
      </c>
      <c r="AE329" s="53">
        <v>0.16911764705882359</v>
      </c>
      <c r="AF329" s="53" t="s">
        <v>480</v>
      </c>
      <c r="AG329" s="53">
        <v>-0.58823529411764708</v>
      </c>
      <c r="AH329" s="53" t="s">
        <v>480</v>
      </c>
      <c r="AI329" s="53">
        <v>-0.72058823529411764</v>
      </c>
      <c r="AJ329" s="53">
        <v>1.0735294117647058</v>
      </c>
      <c r="AK329" s="53" t="s">
        <v>480</v>
      </c>
      <c r="AL329" s="53" t="s">
        <v>480</v>
      </c>
      <c r="AM329" s="53" t="s">
        <v>480</v>
      </c>
      <c r="AQ329">
        <f t="shared" si="11"/>
        <v>1</v>
      </c>
      <c r="AR329" t="s">
        <v>78</v>
      </c>
    </row>
    <row r="330" spans="1:44" x14ac:dyDescent="0.25">
      <c r="A330" s="1">
        <f>COUNTIF('Value Matchup'!$D$356:$D$423,PASE!B330)</f>
        <v>1</v>
      </c>
      <c r="B330" t="s">
        <v>47</v>
      </c>
      <c r="C330" s="64">
        <f t="shared" si="10"/>
        <v>-0.12171945701357467</v>
      </c>
      <c r="E330" s="91">
        <v>-0.7</v>
      </c>
      <c r="F330" s="53" t="s">
        <v>480</v>
      </c>
      <c r="G330" s="53">
        <v>-0.61764705882352944</v>
      </c>
      <c r="H330" s="53">
        <v>0.38235294117647056</v>
      </c>
      <c r="I330" s="53">
        <v>-0.92647058823529416</v>
      </c>
      <c r="J330" s="53">
        <v>-1.1176470588235294</v>
      </c>
      <c r="K330" s="53">
        <v>-0.11764705882352944</v>
      </c>
      <c r="L330" s="53">
        <v>0.5</v>
      </c>
      <c r="M330" s="53">
        <v>3.375</v>
      </c>
      <c r="N330" s="53" t="s">
        <v>480</v>
      </c>
      <c r="O330" s="53">
        <v>-0.625</v>
      </c>
      <c r="P330" s="53" t="s">
        <v>480</v>
      </c>
      <c r="Q330" s="53">
        <v>0.375</v>
      </c>
      <c r="R330" s="53" t="s">
        <v>480</v>
      </c>
      <c r="S330" s="53" t="s">
        <v>480</v>
      </c>
      <c r="T330" s="53">
        <v>-0.25</v>
      </c>
      <c r="U330" s="53" t="s">
        <v>480</v>
      </c>
      <c r="V330" s="53" t="s">
        <v>480</v>
      </c>
      <c r="W330" s="53" t="s">
        <v>480</v>
      </c>
      <c r="X330" s="53" t="s">
        <v>480</v>
      </c>
      <c r="Y330" s="53" t="s">
        <v>480</v>
      </c>
      <c r="Z330" s="53" t="s">
        <v>480</v>
      </c>
      <c r="AA330" s="53" t="s">
        <v>480</v>
      </c>
      <c r="AB330" s="53">
        <v>-0.5</v>
      </c>
      <c r="AC330" s="53" t="s">
        <v>480</v>
      </c>
      <c r="AD330" s="53" t="s">
        <v>480</v>
      </c>
      <c r="AE330" s="53" t="s">
        <v>480</v>
      </c>
      <c r="AF330" s="53" t="s">
        <v>480</v>
      </c>
      <c r="AG330" s="53" t="s">
        <v>480</v>
      </c>
      <c r="AH330" s="53" t="s">
        <v>480</v>
      </c>
      <c r="AI330" s="53" t="s">
        <v>480</v>
      </c>
      <c r="AJ330" s="53" t="s">
        <v>480</v>
      </c>
      <c r="AK330" s="53" t="s">
        <v>480</v>
      </c>
      <c r="AL330" s="53" t="s">
        <v>480</v>
      </c>
      <c r="AM330" s="53">
        <v>-1.3602941176470589</v>
      </c>
      <c r="AQ330">
        <f t="shared" si="11"/>
        <v>1</v>
      </c>
      <c r="AR330" t="s">
        <v>47</v>
      </c>
    </row>
    <row r="331" spans="1:44" x14ac:dyDescent="0.25">
      <c r="A331" s="1">
        <f>COUNTIF('Value Matchup'!$D$356:$D$423,PASE!B331)</f>
        <v>0</v>
      </c>
      <c r="B331" t="s">
        <v>404</v>
      </c>
      <c r="C331" s="64">
        <f t="shared" si="10"/>
        <v>2.3109243697479E-2</v>
      </c>
      <c r="E331" s="91">
        <v>-0.25</v>
      </c>
      <c r="F331" s="53" t="s">
        <v>480</v>
      </c>
      <c r="G331" s="53">
        <v>-0.25</v>
      </c>
      <c r="H331" s="53" t="s">
        <v>480</v>
      </c>
      <c r="I331" s="53" t="s">
        <v>480</v>
      </c>
      <c r="J331" s="53" t="s">
        <v>480</v>
      </c>
      <c r="K331" s="53" t="s">
        <v>480</v>
      </c>
      <c r="L331" s="53">
        <v>-7.3529411764705881E-3</v>
      </c>
      <c r="M331" s="53" t="s">
        <v>480</v>
      </c>
      <c r="N331" s="53">
        <v>-7.3529411764705881E-3</v>
      </c>
      <c r="O331" s="53" t="s">
        <v>480</v>
      </c>
      <c r="P331" s="53" t="s">
        <v>480</v>
      </c>
      <c r="Q331" s="53" t="s">
        <v>480</v>
      </c>
      <c r="R331" s="53" t="s">
        <v>480</v>
      </c>
      <c r="S331" s="53">
        <v>0.75</v>
      </c>
      <c r="T331" s="53">
        <v>-6.6176470588235295E-2</v>
      </c>
      <c r="U331" s="53">
        <v>-7.3529411764705881E-3</v>
      </c>
      <c r="V331" s="53" t="s">
        <v>480</v>
      </c>
      <c r="W331" s="53" t="s">
        <v>480</v>
      </c>
      <c r="X331" s="53" t="s">
        <v>480</v>
      </c>
      <c r="Y331" s="53" t="s">
        <v>480</v>
      </c>
      <c r="Z331" s="53" t="s">
        <v>480</v>
      </c>
      <c r="AA331" s="53" t="s">
        <v>480</v>
      </c>
      <c r="AB331" s="53" t="s">
        <v>480</v>
      </c>
      <c r="AC331" s="53" t="s">
        <v>480</v>
      </c>
      <c r="AD331" s="53" t="s">
        <v>480</v>
      </c>
      <c r="AE331" s="53" t="s">
        <v>480</v>
      </c>
      <c r="AF331" s="53" t="s">
        <v>480</v>
      </c>
      <c r="AG331" s="53" t="s">
        <v>480</v>
      </c>
      <c r="AH331" s="53" t="s">
        <v>480</v>
      </c>
      <c r="AI331" s="53" t="s">
        <v>480</v>
      </c>
      <c r="AJ331" s="53" t="s">
        <v>480</v>
      </c>
      <c r="AK331" s="53" t="s">
        <v>480</v>
      </c>
      <c r="AL331" s="53" t="s">
        <v>480</v>
      </c>
      <c r="AM331" s="53" t="s">
        <v>480</v>
      </c>
      <c r="AQ331">
        <f t="shared" si="11"/>
        <v>1</v>
      </c>
      <c r="AR331" t="s">
        <v>404</v>
      </c>
    </row>
    <row r="332" spans="1:44" x14ac:dyDescent="0.25">
      <c r="A332" s="1">
        <f>COUNTIF('Value Matchup'!$D$356:$D$423,PASE!B332)</f>
        <v>1</v>
      </c>
      <c r="B332" t="s">
        <v>50</v>
      </c>
      <c r="C332" s="64">
        <f t="shared" si="10"/>
        <v>-0.33776260504201677</v>
      </c>
      <c r="E332" s="91">
        <v>-7.1428571428571397E-2</v>
      </c>
      <c r="F332" s="53" t="s">
        <v>480</v>
      </c>
      <c r="G332" s="53">
        <v>-2.3455882352941178</v>
      </c>
      <c r="H332" s="53" t="s">
        <v>480</v>
      </c>
      <c r="I332" s="53">
        <v>-2.3455882352941178</v>
      </c>
      <c r="J332" s="53">
        <v>-1.3602941176470589</v>
      </c>
      <c r="K332" s="53">
        <v>-0.58823529411764708</v>
      </c>
      <c r="L332" s="53" t="s">
        <v>480</v>
      </c>
      <c r="M332" s="53">
        <v>-0.58823529411764708</v>
      </c>
      <c r="N332" s="53">
        <v>-1.3602941176470589</v>
      </c>
      <c r="O332" s="53">
        <v>2.1691176470588234</v>
      </c>
      <c r="P332" s="53">
        <v>1.5</v>
      </c>
      <c r="Q332" s="53">
        <v>-0.58823529411764708</v>
      </c>
      <c r="R332" s="53">
        <v>-0.34558823529411775</v>
      </c>
      <c r="S332" s="53">
        <v>0.88235294117647056</v>
      </c>
      <c r="T332" s="53" t="s">
        <v>480</v>
      </c>
      <c r="U332" s="53" t="s">
        <v>480</v>
      </c>
      <c r="V332" s="53" t="s">
        <v>480</v>
      </c>
      <c r="W332" s="53" t="s">
        <v>480</v>
      </c>
      <c r="X332" s="53" t="s">
        <v>480</v>
      </c>
      <c r="Y332" s="53">
        <v>-0.72058823529411764</v>
      </c>
      <c r="Z332" s="53" t="s">
        <v>480</v>
      </c>
      <c r="AA332" s="53">
        <v>-0.54411764705882359</v>
      </c>
      <c r="AB332" s="53">
        <v>-0.83088235294117641</v>
      </c>
      <c r="AC332" s="53">
        <v>-1.8308823529411764</v>
      </c>
      <c r="AD332" s="53" t="s">
        <v>480</v>
      </c>
      <c r="AE332" s="53" t="s">
        <v>480</v>
      </c>
      <c r="AF332" s="53" t="s">
        <v>480</v>
      </c>
      <c r="AG332" s="53">
        <v>0.41176470588235292</v>
      </c>
      <c r="AH332" s="53">
        <v>-0.5</v>
      </c>
      <c r="AI332" s="53" t="s">
        <v>480</v>
      </c>
      <c r="AJ332" s="53">
        <v>1.9191176470588236</v>
      </c>
      <c r="AK332" s="53" t="s">
        <v>480</v>
      </c>
      <c r="AL332" s="53">
        <v>0.38235294117647056</v>
      </c>
      <c r="AM332" s="53" t="s">
        <v>480</v>
      </c>
      <c r="AQ332">
        <f t="shared" si="11"/>
        <v>1</v>
      </c>
      <c r="AR332" t="s">
        <v>50</v>
      </c>
    </row>
    <row r="333" spans="1:44" x14ac:dyDescent="0.25">
      <c r="A333" s="1">
        <f>COUNTIF('Value Matchup'!$D$356:$D$423,PASE!B333)</f>
        <v>1</v>
      </c>
      <c r="B333" t="s">
        <v>61</v>
      </c>
      <c r="C333" s="64">
        <f t="shared" si="10"/>
        <v>-0.47880622837370246</v>
      </c>
      <c r="E333" s="91" t="s">
        <v>480</v>
      </c>
      <c r="F333" s="53">
        <v>-3.3455882352941178</v>
      </c>
      <c r="G333" s="53">
        <v>-0.11764705882352944</v>
      </c>
      <c r="H333" s="53">
        <v>-0.34558823529411775</v>
      </c>
      <c r="I333" s="53">
        <v>-1.3602941176470589</v>
      </c>
      <c r="J333" s="53">
        <v>-1.3455882352941178</v>
      </c>
      <c r="K333" s="53" t="s">
        <v>480</v>
      </c>
      <c r="L333" s="53">
        <v>-0.61764705882352944</v>
      </c>
      <c r="M333" s="53" t="s">
        <v>480</v>
      </c>
      <c r="N333" s="53" t="s">
        <v>480</v>
      </c>
      <c r="O333" s="53" t="s">
        <v>480</v>
      </c>
      <c r="P333" s="53" t="s">
        <v>480</v>
      </c>
      <c r="Q333" s="53">
        <v>-0.54411764705882359</v>
      </c>
      <c r="R333" s="53" t="s">
        <v>480</v>
      </c>
      <c r="S333" s="53" t="s">
        <v>480</v>
      </c>
      <c r="T333" s="53" t="s">
        <v>480</v>
      </c>
      <c r="U333" s="53" t="s">
        <v>480</v>
      </c>
      <c r="V333" s="53" t="s">
        <v>480</v>
      </c>
      <c r="W333" s="53">
        <v>-1.1176470588235294</v>
      </c>
      <c r="X333" s="53" t="s">
        <v>480</v>
      </c>
      <c r="Y333" s="53" t="s">
        <v>480</v>
      </c>
      <c r="Z333" s="53" t="s">
        <v>480</v>
      </c>
      <c r="AA333" s="53">
        <v>-0.58823529411764708</v>
      </c>
      <c r="AB333" s="53" t="s">
        <v>480</v>
      </c>
      <c r="AC333" s="53">
        <v>1.4558823529411764</v>
      </c>
      <c r="AD333" s="53">
        <v>7.3529411764705843E-2</v>
      </c>
      <c r="AE333" s="53">
        <v>0.91911764705882359</v>
      </c>
      <c r="AF333" s="53" t="s">
        <v>480</v>
      </c>
      <c r="AG333" s="53">
        <v>-0.92647058823529416</v>
      </c>
      <c r="AH333" s="53">
        <v>7.3529411764705843E-2</v>
      </c>
      <c r="AI333" s="53">
        <v>1.8823529411764706</v>
      </c>
      <c r="AJ333" s="53" t="s">
        <v>480</v>
      </c>
      <c r="AK333" s="53">
        <v>-1.1176470588235294</v>
      </c>
      <c r="AL333" s="53">
        <v>-1.1176470588235294</v>
      </c>
      <c r="AM333" s="53" t="s">
        <v>480</v>
      </c>
      <c r="AQ333">
        <f t="shared" si="11"/>
        <v>1</v>
      </c>
      <c r="AR333" t="s">
        <v>61</v>
      </c>
    </row>
    <row r="334" spans="1:44" x14ac:dyDescent="0.25">
      <c r="A334" s="1">
        <f>COUNTIF('Value Matchup'!$D$356:$D$423,PASE!B334)</f>
        <v>1</v>
      </c>
      <c r="B334" t="s">
        <v>405</v>
      </c>
      <c r="C334" s="64">
        <f t="shared" si="10"/>
        <v>-0.29501800720288118</v>
      </c>
      <c r="E334" s="91">
        <v>0.46428571428571419</v>
      </c>
      <c r="F334" s="53">
        <v>-0.72058823529411764</v>
      </c>
      <c r="G334" s="53">
        <v>-0.58823529411764708</v>
      </c>
      <c r="H334" s="53" t="s">
        <v>480</v>
      </c>
      <c r="I334" s="53" t="s">
        <v>480</v>
      </c>
      <c r="J334" s="53" t="s">
        <v>480</v>
      </c>
      <c r="K334" s="53" t="s">
        <v>480</v>
      </c>
      <c r="L334" s="53" t="s">
        <v>480</v>
      </c>
      <c r="M334" s="53" t="s">
        <v>480</v>
      </c>
      <c r="N334" s="53" t="s">
        <v>480</v>
      </c>
      <c r="O334" s="53" t="s">
        <v>480</v>
      </c>
      <c r="P334" s="53" t="s">
        <v>480</v>
      </c>
      <c r="Q334" s="53">
        <v>-0.11764705882352944</v>
      </c>
      <c r="R334" s="53" t="s">
        <v>480</v>
      </c>
      <c r="S334" s="53" t="s">
        <v>480</v>
      </c>
      <c r="T334" s="53" t="s">
        <v>480</v>
      </c>
      <c r="U334" s="53" t="s">
        <v>480</v>
      </c>
      <c r="V334" s="53" t="s">
        <v>480</v>
      </c>
      <c r="W334" s="53" t="s">
        <v>480</v>
      </c>
      <c r="X334" s="53" t="s">
        <v>480</v>
      </c>
      <c r="Y334" s="53" t="s">
        <v>480</v>
      </c>
      <c r="Z334" s="53" t="s">
        <v>480</v>
      </c>
      <c r="AA334" s="53" t="s">
        <v>480</v>
      </c>
      <c r="AB334" s="53">
        <v>0.41176470588235292</v>
      </c>
      <c r="AC334" s="53" t="s">
        <v>480</v>
      </c>
      <c r="AD334" s="53" t="s">
        <v>480</v>
      </c>
      <c r="AE334" s="53" t="s">
        <v>480</v>
      </c>
      <c r="AF334" s="53" t="s">
        <v>480</v>
      </c>
      <c r="AG334" s="53" t="s">
        <v>480</v>
      </c>
      <c r="AH334" s="53" t="s">
        <v>480</v>
      </c>
      <c r="AI334" s="53" t="s">
        <v>480</v>
      </c>
      <c r="AJ334" s="53" t="s">
        <v>480</v>
      </c>
      <c r="AK334" s="53" t="s">
        <v>480</v>
      </c>
      <c r="AL334" s="53">
        <v>-0.92647058823529416</v>
      </c>
      <c r="AM334" s="53">
        <v>-0.58823529411764708</v>
      </c>
      <c r="AQ334">
        <f t="shared" si="11"/>
        <v>1</v>
      </c>
      <c r="AR334" t="s">
        <v>405</v>
      </c>
    </row>
    <row r="335" spans="1:44" x14ac:dyDescent="0.25">
      <c r="A335" s="1">
        <f>COUNTIF('Value Matchup'!$D$356:$D$423,PASE!B335)</f>
        <v>0</v>
      </c>
      <c r="B335" t="s">
        <v>406</v>
      </c>
      <c r="C335" s="64">
        <f t="shared" si="10"/>
        <v>0</v>
      </c>
      <c r="E335" s="91" t="s">
        <v>480</v>
      </c>
      <c r="F335" s="53" t="s">
        <v>480</v>
      </c>
      <c r="G335" s="53" t="s">
        <v>480</v>
      </c>
      <c r="H335" s="53" t="s">
        <v>480</v>
      </c>
      <c r="I335" s="53" t="s">
        <v>480</v>
      </c>
      <c r="J335" s="53" t="s">
        <v>480</v>
      </c>
      <c r="K335" s="53" t="s">
        <v>480</v>
      </c>
      <c r="L335" s="53" t="s">
        <v>480</v>
      </c>
      <c r="M335" s="53" t="s">
        <v>480</v>
      </c>
      <c r="N335" s="53" t="s">
        <v>480</v>
      </c>
      <c r="O335" s="53" t="s">
        <v>480</v>
      </c>
      <c r="P335" s="53" t="s">
        <v>480</v>
      </c>
      <c r="Q335" s="53" t="s">
        <v>480</v>
      </c>
      <c r="R335" s="53" t="s">
        <v>480</v>
      </c>
      <c r="S335" s="53" t="s">
        <v>480</v>
      </c>
      <c r="T335" s="53" t="s">
        <v>480</v>
      </c>
      <c r="U335" s="53" t="s">
        <v>480</v>
      </c>
      <c r="V335" s="53" t="s">
        <v>480</v>
      </c>
      <c r="W335" s="53" t="s">
        <v>480</v>
      </c>
      <c r="X335" s="53" t="s">
        <v>480</v>
      </c>
      <c r="Y335" s="53" t="s">
        <v>480</v>
      </c>
      <c r="Z335" s="53" t="s">
        <v>480</v>
      </c>
      <c r="AA335" s="53" t="s">
        <v>480</v>
      </c>
      <c r="AB335" s="53" t="s">
        <v>480</v>
      </c>
      <c r="AC335" s="53" t="s">
        <v>480</v>
      </c>
      <c r="AD335" s="53" t="s">
        <v>480</v>
      </c>
      <c r="AE335" s="53" t="s">
        <v>480</v>
      </c>
      <c r="AF335" s="53" t="s">
        <v>480</v>
      </c>
      <c r="AG335" s="53" t="s">
        <v>480</v>
      </c>
      <c r="AH335" s="53" t="s">
        <v>480</v>
      </c>
      <c r="AI335" s="53" t="s">
        <v>480</v>
      </c>
      <c r="AJ335" s="53" t="s">
        <v>480</v>
      </c>
      <c r="AK335" s="53" t="s">
        <v>480</v>
      </c>
      <c r="AL335" s="53" t="s">
        <v>480</v>
      </c>
      <c r="AM335" s="53" t="s">
        <v>480</v>
      </c>
      <c r="AQ335">
        <f t="shared" si="11"/>
        <v>1</v>
      </c>
      <c r="AR335" t="s">
        <v>406</v>
      </c>
    </row>
    <row r="336" spans="1:44" x14ac:dyDescent="0.25">
      <c r="A336" s="1">
        <f>COUNTIF('Value Matchup'!$D$356:$D$423,PASE!B336)</f>
        <v>0</v>
      </c>
      <c r="B336" t="s">
        <v>407</v>
      </c>
      <c r="C336" s="64">
        <f t="shared" si="10"/>
        <v>-6.6176470588235295E-2</v>
      </c>
      <c r="E336" s="91" t="s">
        <v>480</v>
      </c>
      <c r="F336" s="53" t="s">
        <v>480</v>
      </c>
      <c r="G336" s="53" t="s">
        <v>480</v>
      </c>
      <c r="H336" s="53" t="s">
        <v>480</v>
      </c>
      <c r="I336" s="53" t="s">
        <v>480</v>
      </c>
      <c r="J336" s="53" t="s">
        <v>480</v>
      </c>
      <c r="K336" s="53" t="s">
        <v>480</v>
      </c>
      <c r="L336" s="53" t="s">
        <v>480</v>
      </c>
      <c r="M336" s="53" t="s">
        <v>480</v>
      </c>
      <c r="N336" s="53" t="s">
        <v>480</v>
      </c>
      <c r="O336" s="53" t="s">
        <v>480</v>
      </c>
      <c r="P336" s="53" t="s">
        <v>480</v>
      </c>
      <c r="Q336" s="53" t="s">
        <v>480</v>
      </c>
      <c r="R336" s="53" t="s">
        <v>480</v>
      </c>
      <c r="S336" s="53" t="s">
        <v>480</v>
      </c>
      <c r="T336" s="53" t="s">
        <v>480</v>
      </c>
      <c r="U336" s="53">
        <v>-6.6176470588235295E-2</v>
      </c>
      <c r="V336" s="53" t="s">
        <v>480</v>
      </c>
      <c r="W336" s="53" t="s">
        <v>480</v>
      </c>
      <c r="X336" s="53" t="s">
        <v>480</v>
      </c>
      <c r="Y336" s="53" t="s">
        <v>480</v>
      </c>
      <c r="Z336" s="53" t="s">
        <v>480</v>
      </c>
      <c r="AA336" s="53" t="s">
        <v>480</v>
      </c>
      <c r="AB336" s="53" t="s">
        <v>480</v>
      </c>
      <c r="AC336" s="53" t="s">
        <v>480</v>
      </c>
      <c r="AD336" s="53" t="s">
        <v>480</v>
      </c>
      <c r="AE336" s="53" t="s">
        <v>480</v>
      </c>
      <c r="AF336" s="53" t="s">
        <v>480</v>
      </c>
      <c r="AG336" s="53" t="s">
        <v>480</v>
      </c>
      <c r="AH336" s="53" t="s">
        <v>480</v>
      </c>
      <c r="AI336" s="53" t="s">
        <v>480</v>
      </c>
      <c r="AJ336" s="53" t="s">
        <v>480</v>
      </c>
      <c r="AK336" s="53" t="s">
        <v>480</v>
      </c>
      <c r="AL336" s="53" t="s">
        <v>480</v>
      </c>
      <c r="AM336" s="53" t="s">
        <v>480</v>
      </c>
      <c r="AQ336">
        <f t="shared" si="11"/>
        <v>1</v>
      </c>
      <c r="AR336" t="s">
        <v>407</v>
      </c>
    </row>
    <row r="337" spans="1:44" x14ac:dyDescent="0.25">
      <c r="A337" s="1">
        <f>COUNTIF('Value Matchup'!$D$356:$D$423,PASE!B337)</f>
        <v>0</v>
      </c>
      <c r="B337" t="s">
        <v>408</v>
      </c>
      <c r="C337" s="64">
        <f t="shared" si="10"/>
        <v>-0.42352941176470593</v>
      </c>
      <c r="E337" s="91" t="s">
        <v>480</v>
      </c>
      <c r="F337" s="53" t="s">
        <v>480</v>
      </c>
      <c r="G337" s="53">
        <v>-0.625</v>
      </c>
      <c r="H337" s="53" t="s">
        <v>480</v>
      </c>
      <c r="I337" s="53" t="s">
        <v>480</v>
      </c>
      <c r="J337" s="53" t="s">
        <v>480</v>
      </c>
      <c r="K337" s="53" t="s">
        <v>480</v>
      </c>
      <c r="L337" s="53" t="s">
        <v>480</v>
      </c>
      <c r="M337" s="53" t="s">
        <v>480</v>
      </c>
      <c r="N337" s="53">
        <v>0.41176470588235292</v>
      </c>
      <c r="O337" s="53">
        <v>-1.5441176470588236</v>
      </c>
      <c r="P337" s="53" t="s">
        <v>480</v>
      </c>
      <c r="Q337" s="53" t="s">
        <v>480</v>
      </c>
      <c r="R337" s="53" t="s">
        <v>480</v>
      </c>
      <c r="S337" s="53">
        <v>-1.3602941176470589</v>
      </c>
      <c r="T337" s="53">
        <v>0.45588235294117641</v>
      </c>
      <c r="U337" s="53">
        <v>-1.3602941176470589</v>
      </c>
      <c r="V337" s="53">
        <v>7.3529411764705843E-2</v>
      </c>
      <c r="W337" s="53">
        <v>-0.92647058823529416</v>
      </c>
      <c r="X337" s="53" t="s">
        <v>480</v>
      </c>
      <c r="Y337" s="53" t="s">
        <v>480</v>
      </c>
      <c r="Z337" s="53" t="s">
        <v>480</v>
      </c>
      <c r="AA337" s="53">
        <v>-0.83088235294117641</v>
      </c>
      <c r="AB337" s="53">
        <v>0.63970588235294112</v>
      </c>
      <c r="AC337" s="53">
        <v>-1.3455882352941178</v>
      </c>
      <c r="AD337" s="53">
        <v>-0.11764705882352944</v>
      </c>
      <c r="AE337" s="53">
        <v>0.88235294117647056</v>
      </c>
      <c r="AF337" s="53">
        <v>-0.58823529411764708</v>
      </c>
      <c r="AG337" s="53">
        <v>-0.11764705882352944</v>
      </c>
      <c r="AH337" s="53" t="s">
        <v>480</v>
      </c>
      <c r="AI337" s="53" t="s">
        <v>480</v>
      </c>
      <c r="AJ337" s="53" t="s">
        <v>480</v>
      </c>
      <c r="AK337" s="53" t="s">
        <v>480</v>
      </c>
      <c r="AL337" s="53" t="s">
        <v>480</v>
      </c>
      <c r="AM337" s="53" t="s">
        <v>480</v>
      </c>
      <c r="AQ337">
        <f t="shared" si="11"/>
        <v>1</v>
      </c>
      <c r="AR337" t="s">
        <v>408</v>
      </c>
    </row>
    <row r="338" spans="1:44" x14ac:dyDescent="0.25">
      <c r="A338" s="1">
        <f>COUNTIF('Value Matchup'!$D$356:$D$423,PASE!B338)</f>
        <v>0</v>
      </c>
      <c r="B338" t="s">
        <v>409</v>
      </c>
      <c r="C338" s="64">
        <f t="shared" si="10"/>
        <v>-9.5320855614973291E-2</v>
      </c>
      <c r="E338" s="91">
        <v>0.4</v>
      </c>
      <c r="F338" s="53" t="s">
        <v>480</v>
      </c>
      <c r="G338" s="53" t="s">
        <v>480</v>
      </c>
      <c r="H338" s="53" t="s">
        <v>480</v>
      </c>
      <c r="I338" s="53" t="s">
        <v>480</v>
      </c>
      <c r="J338" s="53" t="s">
        <v>480</v>
      </c>
      <c r="K338" s="53" t="s">
        <v>480</v>
      </c>
      <c r="L338" s="53" t="s">
        <v>480</v>
      </c>
      <c r="M338" s="53">
        <v>7.3529411764705843E-2</v>
      </c>
      <c r="N338" s="53">
        <v>1.375</v>
      </c>
      <c r="O338" s="53">
        <v>-0.54411764705882359</v>
      </c>
      <c r="P338" s="53" t="s">
        <v>480</v>
      </c>
      <c r="Q338" s="53" t="s">
        <v>480</v>
      </c>
      <c r="R338" s="53">
        <v>0.88235294117647056</v>
      </c>
      <c r="S338" s="53">
        <v>-1.3455882352941178</v>
      </c>
      <c r="T338" s="53">
        <v>-0.72058823529411764</v>
      </c>
      <c r="U338" s="53" t="s">
        <v>480</v>
      </c>
      <c r="V338" s="53" t="s">
        <v>480</v>
      </c>
      <c r="W338" s="53" t="s">
        <v>480</v>
      </c>
      <c r="X338" s="53" t="s">
        <v>480</v>
      </c>
      <c r="Y338" s="53">
        <v>-0.92647058823529416</v>
      </c>
      <c r="Z338" s="53">
        <v>1.375</v>
      </c>
      <c r="AA338" s="53" t="s">
        <v>480</v>
      </c>
      <c r="AB338" s="53" t="s">
        <v>480</v>
      </c>
      <c r="AC338" s="53" t="s">
        <v>480</v>
      </c>
      <c r="AD338" s="53" t="s">
        <v>480</v>
      </c>
      <c r="AE338" s="53" t="s">
        <v>480</v>
      </c>
      <c r="AF338" s="53" t="s">
        <v>480</v>
      </c>
      <c r="AG338" s="53" t="s">
        <v>480</v>
      </c>
      <c r="AH338" s="53" t="s">
        <v>480</v>
      </c>
      <c r="AI338" s="53" t="s">
        <v>480</v>
      </c>
      <c r="AJ338" s="53" t="s">
        <v>480</v>
      </c>
      <c r="AK338" s="53" t="s">
        <v>480</v>
      </c>
      <c r="AL338" s="53">
        <v>-0.5</v>
      </c>
      <c r="AM338" s="53">
        <v>-1.1176470588235294</v>
      </c>
      <c r="AQ338">
        <f t="shared" si="11"/>
        <v>1</v>
      </c>
      <c r="AR338" t="s">
        <v>409</v>
      </c>
    </row>
    <row r="339" spans="1:44" x14ac:dyDescent="0.25">
      <c r="A339" s="1">
        <f>COUNTIF('Value Matchup'!$D$356:$D$423,PASE!B339)</f>
        <v>0</v>
      </c>
      <c r="B339" t="s">
        <v>410</v>
      </c>
      <c r="C339" s="64">
        <f t="shared" si="10"/>
        <v>-0.36519607843137258</v>
      </c>
      <c r="E339" s="91" t="s">
        <v>480</v>
      </c>
      <c r="F339" s="53" t="s">
        <v>480</v>
      </c>
      <c r="G339" s="53" t="s">
        <v>480</v>
      </c>
      <c r="H339" s="53" t="s">
        <v>480</v>
      </c>
      <c r="I339" s="53" t="s">
        <v>480</v>
      </c>
      <c r="J339" s="53" t="s">
        <v>480</v>
      </c>
      <c r="K339" s="53" t="s">
        <v>480</v>
      </c>
      <c r="L339" s="53" t="s">
        <v>480</v>
      </c>
      <c r="M339" s="53" t="s">
        <v>480</v>
      </c>
      <c r="N339" s="53" t="s">
        <v>480</v>
      </c>
      <c r="O339" s="53" t="s">
        <v>480</v>
      </c>
      <c r="P339" s="53">
        <v>0.45588235294117641</v>
      </c>
      <c r="Q339" s="53">
        <v>-0.83088235294117641</v>
      </c>
      <c r="R339" s="53" t="s">
        <v>480</v>
      </c>
      <c r="S339" s="53" t="s">
        <v>480</v>
      </c>
      <c r="T339" s="53" t="s">
        <v>480</v>
      </c>
      <c r="U339" s="53" t="s">
        <v>480</v>
      </c>
      <c r="V339" s="53" t="s">
        <v>480</v>
      </c>
      <c r="W339" s="53" t="s">
        <v>480</v>
      </c>
      <c r="X339" s="53" t="s">
        <v>480</v>
      </c>
      <c r="Y339" s="53" t="s">
        <v>480</v>
      </c>
      <c r="Z339" s="53" t="s">
        <v>480</v>
      </c>
      <c r="AA339" s="53" t="s">
        <v>480</v>
      </c>
      <c r="AB339" s="53" t="s">
        <v>480</v>
      </c>
      <c r="AC339" s="53" t="s">
        <v>480</v>
      </c>
      <c r="AD339" s="53">
        <v>-0.72058823529411764</v>
      </c>
      <c r="AE339" s="53" t="s">
        <v>480</v>
      </c>
      <c r="AF339" s="53" t="s">
        <v>480</v>
      </c>
      <c r="AG339" s="53" t="s">
        <v>480</v>
      </c>
      <c r="AH339" s="53" t="s">
        <v>480</v>
      </c>
      <c r="AI339" s="53" t="s">
        <v>480</v>
      </c>
      <c r="AJ339" s="53" t="s">
        <v>480</v>
      </c>
      <c r="AK339" s="53" t="s">
        <v>480</v>
      </c>
      <c r="AL339" s="53" t="s">
        <v>480</v>
      </c>
      <c r="AM339" s="53" t="s">
        <v>480</v>
      </c>
      <c r="AQ339">
        <f t="shared" si="11"/>
        <v>1</v>
      </c>
      <c r="AR339" t="s">
        <v>410</v>
      </c>
    </row>
    <row r="340" spans="1:44" x14ac:dyDescent="0.25">
      <c r="A340" s="1">
        <f>COUNTIF('Value Matchup'!$D$356:$D$423,PASE!B340)</f>
        <v>0</v>
      </c>
      <c r="B340" t="s">
        <v>411</v>
      </c>
      <c r="C340" s="64">
        <f t="shared" si="10"/>
        <v>0.17034313725490194</v>
      </c>
      <c r="E340" s="91" t="s">
        <v>480</v>
      </c>
      <c r="F340" s="53" t="s">
        <v>480</v>
      </c>
      <c r="G340" s="53" t="s">
        <v>480</v>
      </c>
      <c r="H340" s="53">
        <v>-6.6176470588235295E-2</v>
      </c>
      <c r="I340" s="53" t="s">
        <v>480</v>
      </c>
      <c r="J340" s="53">
        <v>-7.3529411764705881E-3</v>
      </c>
      <c r="K340" s="53" t="s">
        <v>480</v>
      </c>
      <c r="L340" s="53" t="s">
        <v>480</v>
      </c>
      <c r="M340" s="53" t="s">
        <v>480</v>
      </c>
      <c r="N340" s="53" t="s">
        <v>480</v>
      </c>
      <c r="O340" s="53" t="s">
        <v>480</v>
      </c>
      <c r="P340" s="53" t="s">
        <v>480</v>
      </c>
      <c r="Q340" s="53">
        <v>-6.6176470588235295E-2</v>
      </c>
      <c r="R340" s="53" t="s">
        <v>480</v>
      </c>
      <c r="S340" s="53" t="s">
        <v>480</v>
      </c>
      <c r="T340" s="53" t="s">
        <v>480</v>
      </c>
      <c r="U340" s="53">
        <v>-0.5</v>
      </c>
      <c r="V340" s="53" t="s">
        <v>480</v>
      </c>
      <c r="W340" s="53" t="s">
        <v>480</v>
      </c>
      <c r="X340" s="53" t="s">
        <v>480</v>
      </c>
      <c r="Y340" s="53">
        <v>0.83088235294117641</v>
      </c>
      <c r="Z340" s="53" t="s">
        <v>480</v>
      </c>
      <c r="AA340" s="53" t="s">
        <v>480</v>
      </c>
      <c r="AB340" s="53" t="s">
        <v>480</v>
      </c>
      <c r="AC340" s="53">
        <v>0.83088235294117641</v>
      </c>
      <c r="AD340" s="53" t="s">
        <v>480</v>
      </c>
      <c r="AE340" s="53" t="s">
        <v>480</v>
      </c>
      <c r="AF340" s="53" t="s">
        <v>480</v>
      </c>
      <c r="AG340" s="53" t="s">
        <v>480</v>
      </c>
      <c r="AH340" s="53" t="s">
        <v>480</v>
      </c>
      <c r="AI340" s="53" t="s">
        <v>480</v>
      </c>
      <c r="AJ340" s="53" t="s">
        <v>480</v>
      </c>
      <c r="AK340" s="53" t="s">
        <v>480</v>
      </c>
      <c r="AL340" s="53" t="s">
        <v>480</v>
      </c>
      <c r="AM340" s="53" t="s">
        <v>480</v>
      </c>
      <c r="AQ340">
        <f t="shared" si="11"/>
        <v>1</v>
      </c>
      <c r="AR340" t="s">
        <v>411</v>
      </c>
    </row>
    <row r="341" spans="1:44" x14ac:dyDescent="0.25">
      <c r="A341" s="1">
        <f>COUNTIF('Value Matchup'!$D$356:$D$423,PASE!B341)</f>
        <v>1</v>
      </c>
      <c r="B341" t="s">
        <v>412</v>
      </c>
      <c r="C341" s="64">
        <f t="shared" si="10"/>
        <v>0.23253676470588233</v>
      </c>
      <c r="E341" s="91" t="s">
        <v>480</v>
      </c>
      <c r="F341" s="53">
        <v>0.88235294117647056</v>
      </c>
      <c r="G341" s="53">
        <v>0.45588235294117641</v>
      </c>
      <c r="H341" s="53">
        <v>-1.8308823529411764</v>
      </c>
      <c r="I341" s="53">
        <v>0.88235294117647056</v>
      </c>
      <c r="J341" s="53" t="s">
        <v>480</v>
      </c>
      <c r="K341" s="53" t="s">
        <v>480</v>
      </c>
      <c r="L341" s="53">
        <v>-0.61764705882352944</v>
      </c>
      <c r="M341" s="53">
        <v>-0.11764705882352944</v>
      </c>
      <c r="N341" s="53">
        <v>1.6397058823529411</v>
      </c>
      <c r="O341" s="53">
        <v>-1.0808823529411764</v>
      </c>
      <c r="P341" s="53">
        <v>1.0735294117647058</v>
      </c>
      <c r="Q341" s="53" t="s">
        <v>480</v>
      </c>
      <c r="R341" s="53">
        <v>0.91911764705882359</v>
      </c>
      <c r="S341" s="53">
        <v>2.0735294117647056</v>
      </c>
      <c r="T341" s="53" t="s">
        <v>480</v>
      </c>
      <c r="U341" s="53" t="s">
        <v>480</v>
      </c>
      <c r="V341" s="53" t="s">
        <v>480</v>
      </c>
      <c r="W341" s="53" t="s">
        <v>480</v>
      </c>
      <c r="X341" s="53" t="s">
        <v>480</v>
      </c>
      <c r="Y341" s="53" t="s">
        <v>480</v>
      </c>
      <c r="Z341" s="53">
        <v>1.3823529411764706</v>
      </c>
      <c r="AA341" s="53" t="s">
        <v>480</v>
      </c>
      <c r="AB341" s="53" t="s">
        <v>480</v>
      </c>
      <c r="AC341" s="53" t="s">
        <v>480</v>
      </c>
      <c r="AD341" s="53" t="s">
        <v>480</v>
      </c>
      <c r="AE341" s="53" t="s">
        <v>480</v>
      </c>
      <c r="AF341" s="53">
        <v>-0.5</v>
      </c>
      <c r="AG341" s="53" t="s">
        <v>480</v>
      </c>
      <c r="AH341" s="53" t="s">
        <v>480</v>
      </c>
      <c r="AI341" s="53">
        <v>7.3529411764705843E-2</v>
      </c>
      <c r="AJ341" s="53" t="s">
        <v>480</v>
      </c>
      <c r="AK341" s="53">
        <v>-0.92647058823529416</v>
      </c>
      <c r="AL341" s="53">
        <v>-0.58823529411764708</v>
      </c>
      <c r="AM341" s="53" t="s">
        <v>480</v>
      </c>
      <c r="AQ341">
        <f t="shared" si="11"/>
        <v>1</v>
      </c>
      <c r="AR341" t="s">
        <v>412</v>
      </c>
    </row>
    <row r="342" spans="1:44" x14ac:dyDescent="0.25">
      <c r="A342" s="1">
        <f>COUNTIF('Value Matchup'!$D$356:$D$423,PASE!B342)</f>
        <v>0</v>
      </c>
      <c r="B342" t="s">
        <v>413</v>
      </c>
      <c r="C342" s="64">
        <f t="shared" si="10"/>
        <v>-7.3529411764705881E-3</v>
      </c>
      <c r="E342" s="91" t="s">
        <v>480</v>
      </c>
      <c r="F342" s="53" t="s">
        <v>480</v>
      </c>
      <c r="G342" s="53" t="s">
        <v>480</v>
      </c>
      <c r="H342" s="53" t="s">
        <v>480</v>
      </c>
      <c r="I342" s="53" t="s">
        <v>480</v>
      </c>
      <c r="J342" s="53" t="s">
        <v>480</v>
      </c>
      <c r="K342" s="53" t="s">
        <v>480</v>
      </c>
      <c r="L342" s="53" t="s">
        <v>480</v>
      </c>
      <c r="M342" s="53" t="s">
        <v>480</v>
      </c>
      <c r="N342" s="53" t="s">
        <v>480</v>
      </c>
      <c r="O342" s="53" t="s">
        <v>480</v>
      </c>
      <c r="P342" s="53" t="s">
        <v>480</v>
      </c>
      <c r="Q342" s="53" t="s">
        <v>480</v>
      </c>
      <c r="R342" s="53" t="s">
        <v>480</v>
      </c>
      <c r="S342" s="53" t="s">
        <v>480</v>
      </c>
      <c r="T342" s="53" t="s">
        <v>480</v>
      </c>
      <c r="U342" s="53" t="s">
        <v>480</v>
      </c>
      <c r="V342" s="53" t="s">
        <v>480</v>
      </c>
      <c r="W342" s="53" t="s">
        <v>480</v>
      </c>
      <c r="X342" s="53" t="s">
        <v>480</v>
      </c>
      <c r="Y342" s="53" t="s">
        <v>480</v>
      </c>
      <c r="Z342" s="53" t="s">
        <v>480</v>
      </c>
      <c r="AA342" s="53" t="s">
        <v>480</v>
      </c>
      <c r="AB342" s="53">
        <v>-7.3529411764705881E-3</v>
      </c>
      <c r="AC342" s="53" t="s">
        <v>480</v>
      </c>
      <c r="AD342" s="53" t="s">
        <v>480</v>
      </c>
      <c r="AE342" s="53" t="s">
        <v>480</v>
      </c>
      <c r="AF342" s="53" t="s">
        <v>480</v>
      </c>
      <c r="AG342" s="53" t="s">
        <v>480</v>
      </c>
      <c r="AH342" s="53" t="s">
        <v>480</v>
      </c>
      <c r="AI342" s="53" t="s">
        <v>480</v>
      </c>
      <c r="AJ342" s="53" t="s">
        <v>480</v>
      </c>
      <c r="AK342" s="53" t="s">
        <v>480</v>
      </c>
      <c r="AL342" s="53" t="s">
        <v>480</v>
      </c>
      <c r="AM342" s="53" t="s">
        <v>480</v>
      </c>
      <c r="AQ342">
        <f t="shared" si="11"/>
        <v>1</v>
      </c>
      <c r="AR342" t="s">
        <v>413</v>
      </c>
    </row>
    <row r="343" spans="1:44" x14ac:dyDescent="0.25">
      <c r="A343" s="1">
        <f>COUNTIF('Value Matchup'!$D$356:$D$423,PASE!B343)</f>
        <v>0</v>
      </c>
      <c r="B343" t="s">
        <v>414</v>
      </c>
      <c r="C343" s="64">
        <f t="shared" si="10"/>
        <v>0</v>
      </c>
      <c r="E343" s="91" t="s">
        <v>480</v>
      </c>
      <c r="F343" s="53" t="s">
        <v>480</v>
      </c>
      <c r="G343" s="53" t="s">
        <v>480</v>
      </c>
      <c r="H343" s="53" t="s">
        <v>480</v>
      </c>
      <c r="I343" s="53" t="s">
        <v>480</v>
      </c>
      <c r="J343" s="53" t="s">
        <v>480</v>
      </c>
      <c r="K343" s="53" t="s">
        <v>480</v>
      </c>
      <c r="L343" s="53" t="s">
        <v>480</v>
      </c>
      <c r="M343" s="53" t="s">
        <v>480</v>
      </c>
      <c r="N343" s="53" t="s">
        <v>480</v>
      </c>
      <c r="O343" s="53" t="s">
        <v>480</v>
      </c>
      <c r="P343" s="53" t="s">
        <v>480</v>
      </c>
      <c r="Q343" s="53" t="s">
        <v>480</v>
      </c>
      <c r="R343" s="53" t="s">
        <v>480</v>
      </c>
      <c r="S343" s="53" t="s">
        <v>480</v>
      </c>
      <c r="T343" s="53" t="s">
        <v>480</v>
      </c>
      <c r="U343" s="53" t="s">
        <v>480</v>
      </c>
      <c r="V343" s="53" t="s">
        <v>480</v>
      </c>
      <c r="W343" s="53" t="s">
        <v>480</v>
      </c>
      <c r="X343" s="53" t="s">
        <v>480</v>
      </c>
      <c r="Y343" s="53" t="s">
        <v>480</v>
      </c>
      <c r="Z343" s="53" t="s">
        <v>480</v>
      </c>
      <c r="AA343" s="53" t="s">
        <v>480</v>
      </c>
      <c r="AB343" s="53" t="s">
        <v>480</v>
      </c>
      <c r="AC343" s="53" t="s">
        <v>480</v>
      </c>
      <c r="AD343" s="53" t="s">
        <v>480</v>
      </c>
      <c r="AE343" s="53" t="s">
        <v>480</v>
      </c>
      <c r="AF343" s="53" t="s">
        <v>480</v>
      </c>
      <c r="AG343" s="53" t="s">
        <v>480</v>
      </c>
      <c r="AH343" s="53" t="s">
        <v>480</v>
      </c>
      <c r="AI343" s="53" t="s">
        <v>480</v>
      </c>
      <c r="AJ343" s="53" t="s">
        <v>480</v>
      </c>
      <c r="AK343" s="53" t="s">
        <v>480</v>
      </c>
      <c r="AL343" s="53" t="s">
        <v>480</v>
      </c>
      <c r="AM343" s="53" t="s">
        <v>480</v>
      </c>
      <c r="AQ343">
        <f t="shared" si="11"/>
        <v>1</v>
      </c>
      <c r="AR343" t="s">
        <v>414</v>
      </c>
    </row>
    <row r="344" spans="1:44" x14ac:dyDescent="0.25">
      <c r="A344" s="1">
        <f>COUNTIF('Value Matchup'!$D$356:$D$423,PASE!B344)</f>
        <v>0</v>
      </c>
      <c r="B344" t="s">
        <v>415</v>
      </c>
      <c r="C344" s="64">
        <f t="shared" si="10"/>
        <v>0.19730392156862742</v>
      </c>
      <c r="E344" s="91" t="s">
        <v>480</v>
      </c>
      <c r="F344" s="53" t="s">
        <v>480</v>
      </c>
      <c r="G344" s="53" t="s">
        <v>480</v>
      </c>
      <c r="H344" s="53" t="s">
        <v>480</v>
      </c>
      <c r="I344" s="53" t="s">
        <v>480</v>
      </c>
      <c r="J344" s="53" t="s">
        <v>480</v>
      </c>
      <c r="K344" s="53">
        <v>-7.3529411764705881E-3</v>
      </c>
      <c r="L344" s="53">
        <v>-7.3529411764705881E-3</v>
      </c>
      <c r="M344" s="53" t="s">
        <v>480</v>
      </c>
      <c r="N344" s="53" t="s">
        <v>480</v>
      </c>
      <c r="O344" s="53">
        <v>0.5</v>
      </c>
      <c r="P344" s="53">
        <v>1.5</v>
      </c>
      <c r="Q344" s="53" t="s">
        <v>480</v>
      </c>
      <c r="R344" s="53" t="s">
        <v>480</v>
      </c>
      <c r="S344" s="53" t="s">
        <v>480</v>
      </c>
      <c r="T344" s="53" t="s">
        <v>480</v>
      </c>
      <c r="U344" s="53">
        <v>-0.25</v>
      </c>
      <c r="V344" s="53">
        <v>-0.58823529411764708</v>
      </c>
      <c r="W344" s="53">
        <v>-0.16911764705882354</v>
      </c>
      <c r="X344" s="53" t="s">
        <v>480</v>
      </c>
      <c r="Y344" s="53" t="s">
        <v>480</v>
      </c>
      <c r="Z344" s="53" t="s">
        <v>480</v>
      </c>
      <c r="AA344" s="53" t="s">
        <v>480</v>
      </c>
      <c r="AB344" s="53" t="s">
        <v>480</v>
      </c>
      <c r="AC344" s="53">
        <v>0.27941176470588236</v>
      </c>
      <c r="AD344" s="53">
        <v>-0.625</v>
      </c>
      <c r="AE344" s="53">
        <v>1.0735294117647058</v>
      </c>
      <c r="AF344" s="53" t="s">
        <v>480</v>
      </c>
      <c r="AG344" s="53" t="s">
        <v>480</v>
      </c>
      <c r="AH344" s="53" t="s">
        <v>480</v>
      </c>
      <c r="AI344" s="53" t="s">
        <v>480</v>
      </c>
      <c r="AJ344" s="53" t="s">
        <v>480</v>
      </c>
      <c r="AK344" s="53">
        <v>0.38235294117647056</v>
      </c>
      <c r="AL344" s="53">
        <v>0.27941176470588236</v>
      </c>
      <c r="AM344" s="53" t="s">
        <v>480</v>
      </c>
      <c r="AQ344">
        <f t="shared" si="11"/>
        <v>1</v>
      </c>
      <c r="AR344" t="s">
        <v>415</v>
      </c>
    </row>
    <row r="345" spans="1:44" x14ac:dyDescent="0.25">
      <c r="A345" s="1">
        <f>COUNTIF('Value Matchup'!$D$356:$D$423,PASE!B345)</f>
        <v>0</v>
      </c>
      <c r="B345" t="s">
        <v>416</v>
      </c>
      <c r="C345" s="64">
        <f t="shared" si="10"/>
        <v>-0.13970588235294121</v>
      </c>
      <c r="E345" s="91" t="s">
        <v>480</v>
      </c>
      <c r="F345" s="53" t="s">
        <v>480</v>
      </c>
      <c r="G345" s="53" t="s">
        <v>480</v>
      </c>
      <c r="H345" s="53" t="s">
        <v>480</v>
      </c>
      <c r="I345" s="53" t="s">
        <v>480</v>
      </c>
      <c r="J345" s="53">
        <v>-0.16911764705882354</v>
      </c>
      <c r="K345" s="53" t="s">
        <v>480</v>
      </c>
      <c r="L345" s="53" t="s">
        <v>480</v>
      </c>
      <c r="M345" s="53" t="s">
        <v>480</v>
      </c>
      <c r="N345" s="53" t="s">
        <v>480</v>
      </c>
      <c r="O345" s="53" t="s">
        <v>480</v>
      </c>
      <c r="P345" s="53" t="s">
        <v>480</v>
      </c>
      <c r="Q345" s="53" t="s">
        <v>480</v>
      </c>
      <c r="R345" s="53" t="s">
        <v>480</v>
      </c>
      <c r="S345" s="53" t="s">
        <v>480</v>
      </c>
      <c r="T345" s="53">
        <v>-0.625</v>
      </c>
      <c r="U345" s="53" t="s">
        <v>480</v>
      </c>
      <c r="V345" s="53" t="s">
        <v>480</v>
      </c>
      <c r="W345" s="53" t="s">
        <v>480</v>
      </c>
      <c r="X345" s="53" t="s">
        <v>480</v>
      </c>
      <c r="Y345" s="53" t="s">
        <v>480</v>
      </c>
      <c r="Z345" s="53">
        <v>0.375</v>
      </c>
      <c r="AA345" s="53" t="s">
        <v>480</v>
      </c>
      <c r="AB345" s="53" t="s">
        <v>480</v>
      </c>
      <c r="AC345" s="53" t="s">
        <v>480</v>
      </c>
      <c r="AD345" s="53" t="s">
        <v>480</v>
      </c>
      <c r="AE345" s="53" t="s">
        <v>480</v>
      </c>
      <c r="AF345" s="53" t="s">
        <v>480</v>
      </c>
      <c r="AG345" s="53" t="s">
        <v>480</v>
      </c>
      <c r="AH345" s="53" t="s">
        <v>480</v>
      </c>
      <c r="AI345" s="53" t="s">
        <v>480</v>
      </c>
      <c r="AJ345" s="53" t="s">
        <v>480</v>
      </c>
      <c r="AK345" s="53" t="s">
        <v>480</v>
      </c>
      <c r="AL345" s="53" t="s">
        <v>480</v>
      </c>
      <c r="AM345" s="53" t="s">
        <v>480</v>
      </c>
      <c r="AQ345">
        <f t="shared" si="11"/>
        <v>1</v>
      </c>
      <c r="AR345" t="s">
        <v>416</v>
      </c>
    </row>
    <row r="346" spans="1:44" x14ac:dyDescent="0.25">
      <c r="A346" s="1">
        <f>COUNTIF('Value Matchup'!$D$356:$D$423,PASE!B346)</f>
        <v>1</v>
      </c>
      <c r="B346" t="s">
        <v>417</v>
      </c>
      <c r="C346" s="64">
        <f t="shared" si="10"/>
        <v>-4.0106951871657796E-2</v>
      </c>
      <c r="E346" s="91" t="s">
        <v>480</v>
      </c>
      <c r="F346" s="53">
        <v>-1.5441176470588236</v>
      </c>
      <c r="G346" s="53">
        <v>0.38235294117647056</v>
      </c>
      <c r="H346" s="53">
        <v>0.375</v>
      </c>
      <c r="I346" s="53">
        <v>1.0735294117647058</v>
      </c>
      <c r="J346" s="53">
        <v>-2.3455882352941178</v>
      </c>
      <c r="K346" s="53">
        <v>3.4117647058823528</v>
      </c>
      <c r="L346" s="53">
        <v>-1.1176470588235294</v>
      </c>
      <c r="M346" s="53" t="s">
        <v>480</v>
      </c>
      <c r="N346" s="53" t="s">
        <v>480</v>
      </c>
      <c r="O346" s="53" t="s">
        <v>480</v>
      </c>
      <c r="P346" s="53" t="s">
        <v>480</v>
      </c>
      <c r="Q346" s="53" t="s">
        <v>480</v>
      </c>
      <c r="R346" s="53">
        <v>1.0735294117647058</v>
      </c>
      <c r="S346" s="53" t="s">
        <v>480</v>
      </c>
      <c r="T346" s="53" t="s">
        <v>480</v>
      </c>
      <c r="U346" s="53" t="s">
        <v>480</v>
      </c>
      <c r="V346" s="53" t="s">
        <v>480</v>
      </c>
      <c r="W346" s="53" t="s">
        <v>480</v>
      </c>
      <c r="X346" s="53" t="s">
        <v>480</v>
      </c>
      <c r="Y346" s="53" t="s">
        <v>480</v>
      </c>
      <c r="Z346" s="53" t="s">
        <v>480</v>
      </c>
      <c r="AA346" s="53" t="s">
        <v>480</v>
      </c>
      <c r="AB346" s="53" t="s">
        <v>480</v>
      </c>
      <c r="AC346" s="53" t="s">
        <v>480</v>
      </c>
      <c r="AD346" s="53" t="s">
        <v>480</v>
      </c>
      <c r="AE346" s="53" t="s">
        <v>480</v>
      </c>
      <c r="AF346" s="53" t="s">
        <v>480</v>
      </c>
      <c r="AG346" s="53" t="s">
        <v>480</v>
      </c>
      <c r="AH346" s="53" t="s">
        <v>480</v>
      </c>
      <c r="AI346" s="53" t="s">
        <v>480</v>
      </c>
      <c r="AJ346" s="53">
        <v>-0.5</v>
      </c>
      <c r="AK346" s="53">
        <v>-0.625</v>
      </c>
      <c r="AL346" s="53" t="s">
        <v>480</v>
      </c>
      <c r="AM346" s="53">
        <v>-0.625</v>
      </c>
      <c r="AQ346">
        <f t="shared" si="11"/>
        <v>1</v>
      </c>
      <c r="AR346" t="s">
        <v>417</v>
      </c>
    </row>
    <row r="347" spans="1:44" x14ac:dyDescent="0.25">
      <c r="A347" s="1">
        <f>COUNTIF('Value Matchup'!$D$356:$D$423,PASE!B347)</f>
        <v>0</v>
      </c>
      <c r="B347" t="s">
        <v>418</v>
      </c>
      <c r="C347" s="64">
        <f t="shared" si="10"/>
        <v>0</v>
      </c>
      <c r="E347" s="91" t="s">
        <v>480</v>
      </c>
      <c r="F347" s="53" t="s">
        <v>480</v>
      </c>
      <c r="G347" s="53" t="s">
        <v>480</v>
      </c>
      <c r="H347" s="53" t="s">
        <v>480</v>
      </c>
      <c r="I347" s="53" t="s">
        <v>480</v>
      </c>
      <c r="J347" s="53" t="s">
        <v>480</v>
      </c>
      <c r="K347" s="53" t="s">
        <v>480</v>
      </c>
      <c r="L347" s="53" t="s">
        <v>480</v>
      </c>
      <c r="M347" s="53" t="s">
        <v>480</v>
      </c>
      <c r="N347" s="53" t="s">
        <v>480</v>
      </c>
      <c r="O347" s="53" t="s">
        <v>480</v>
      </c>
      <c r="P347" s="53" t="s">
        <v>480</v>
      </c>
      <c r="Q347" s="53" t="s">
        <v>480</v>
      </c>
      <c r="R347" s="53" t="s">
        <v>480</v>
      </c>
      <c r="S347" s="53" t="s">
        <v>480</v>
      </c>
      <c r="T347" s="53" t="s">
        <v>480</v>
      </c>
      <c r="U347" s="53" t="s">
        <v>480</v>
      </c>
      <c r="V347" s="53" t="s">
        <v>480</v>
      </c>
      <c r="W347" s="53" t="s">
        <v>480</v>
      </c>
      <c r="X347" s="53" t="s">
        <v>480</v>
      </c>
      <c r="Y347" s="53" t="s">
        <v>480</v>
      </c>
      <c r="Z347" s="53" t="s">
        <v>480</v>
      </c>
      <c r="AA347" s="53" t="s">
        <v>480</v>
      </c>
      <c r="AB347" s="53" t="s">
        <v>480</v>
      </c>
      <c r="AC347" s="53" t="s">
        <v>480</v>
      </c>
      <c r="AD347" s="53" t="s">
        <v>480</v>
      </c>
      <c r="AE347" s="53" t="s">
        <v>480</v>
      </c>
      <c r="AF347" s="53" t="s">
        <v>480</v>
      </c>
      <c r="AG347" s="53" t="s">
        <v>480</v>
      </c>
      <c r="AH347" s="53" t="s">
        <v>480</v>
      </c>
      <c r="AI347" s="53" t="s">
        <v>480</v>
      </c>
      <c r="AJ347" s="53" t="s">
        <v>480</v>
      </c>
      <c r="AK347" s="53" t="s">
        <v>480</v>
      </c>
      <c r="AL347" s="53" t="s">
        <v>480</v>
      </c>
      <c r="AM347" s="53" t="s">
        <v>480</v>
      </c>
      <c r="AQ347">
        <f t="shared" si="11"/>
        <v>1</v>
      </c>
      <c r="AR347" t="s">
        <v>418</v>
      </c>
    </row>
    <row r="348" spans="1:44" x14ac:dyDescent="0.25">
      <c r="A348" s="1">
        <f>COUNTIF('Value Matchup'!$D$356:$D$423,PASE!B348)</f>
        <v>1</v>
      </c>
      <c r="B348" t="s">
        <v>419</v>
      </c>
      <c r="C348" s="64">
        <f t="shared" si="10"/>
        <v>-5.5882352941176459E-2</v>
      </c>
      <c r="E348" s="91" t="s">
        <v>480</v>
      </c>
      <c r="F348" s="53" t="s">
        <v>480</v>
      </c>
      <c r="G348" s="53">
        <v>-0.25</v>
      </c>
      <c r="H348" s="53" t="s">
        <v>480</v>
      </c>
      <c r="I348" s="53" t="s">
        <v>480</v>
      </c>
      <c r="J348" s="53" t="s">
        <v>480</v>
      </c>
      <c r="K348" s="53" t="s">
        <v>480</v>
      </c>
      <c r="L348" s="53" t="s">
        <v>480</v>
      </c>
      <c r="M348" s="53" t="s">
        <v>480</v>
      </c>
      <c r="N348" s="53">
        <v>-7.3529411764705881E-3</v>
      </c>
      <c r="O348" s="53" t="s">
        <v>480</v>
      </c>
      <c r="P348" s="53">
        <v>-0.25</v>
      </c>
      <c r="Q348" s="53">
        <v>0.375</v>
      </c>
      <c r="R348" s="53">
        <v>-6.6176470588235295E-2</v>
      </c>
      <c r="S348" s="53">
        <v>-0.16911764705882354</v>
      </c>
      <c r="T348" s="53" t="s">
        <v>480</v>
      </c>
      <c r="U348" s="53" t="s">
        <v>480</v>
      </c>
      <c r="V348" s="53">
        <v>-7.3529411764705881E-3</v>
      </c>
      <c r="W348" s="53">
        <v>-7.3529411764705881E-3</v>
      </c>
      <c r="X348" s="53">
        <v>-0.16911764705882354</v>
      </c>
      <c r="Y348" s="53">
        <v>-7.3529411764705881E-3</v>
      </c>
      <c r="Z348" s="53" t="s">
        <v>480</v>
      </c>
      <c r="AA348" s="53" t="s">
        <v>480</v>
      </c>
      <c r="AB348" s="53" t="s">
        <v>480</v>
      </c>
      <c r="AC348" s="53" t="s">
        <v>480</v>
      </c>
      <c r="AD348" s="53" t="s">
        <v>480</v>
      </c>
      <c r="AE348" s="53" t="s">
        <v>480</v>
      </c>
      <c r="AF348" s="53" t="s">
        <v>480</v>
      </c>
      <c r="AG348" s="53" t="s">
        <v>480</v>
      </c>
      <c r="AH348" s="53" t="s">
        <v>480</v>
      </c>
      <c r="AI348" s="53" t="s">
        <v>480</v>
      </c>
      <c r="AJ348" s="53" t="s">
        <v>480</v>
      </c>
      <c r="AK348" s="53" t="s">
        <v>480</v>
      </c>
      <c r="AL348" s="53" t="s">
        <v>480</v>
      </c>
      <c r="AM348" s="53" t="s">
        <v>480</v>
      </c>
      <c r="AQ348">
        <f t="shared" si="11"/>
        <v>1</v>
      </c>
      <c r="AR348" t="s">
        <v>419</v>
      </c>
    </row>
    <row r="349" spans="1:44" x14ac:dyDescent="0.25">
      <c r="A349" s="1">
        <f>COUNTIF('Value Matchup'!$D$356:$D$423,PASE!B349)</f>
        <v>1</v>
      </c>
      <c r="B349" t="s">
        <v>39</v>
      </c>
      <c r="C349" s="64">
        <f t="shared" si="10"/>
        <v>0.27588808250572955</v>
      </c>
      <c r="E349" s="91">
        <v>-1.1142857142857143</v>
      </c>
      <c r="F349" s="53" t="s">
        <v>480</v>
      </c>
      <c r="G349" s="53">
        <v>1.2794117647058822</v>
      </c>
      <c r="H349" s="53">
        <v>1.0735294117647058</v>
      </c>
      <c r="I349" s="53">
        <v>1.6544117647058822</v>
      </c>
      <c r="J349" s="53">
        <v>1.6397058823529411</v>
      </c>
      <c r="K349" s="53">
        <v>-1.1176470588235294</v>
      </c>
      <c r="L349" s="53">
        <v>0.45588235294117641</v>
      </c>
      <c r="M349" s="53">
        <v>0.45588235294117641</v>
      </c>
      <c r="N349" s="53">
        <v>-0.54411764705882359</v>
      </c>
      <c r="O349" s="53">
        <v>0.5</v>
      </c>
      <c r="P349" s="53">
        <v>0.16911764705882359</v>
      </c>
      <c r="Q349" s="53">
        <v>-1.3602941176470589</v>
      </c>
      <c r="R349" s="53">
        <v>-0.58823529411764708</v>
      </c>
      <c r="S349" s="53">
        <v>1.9191176470588236</v>
      </c>
      <c r="T349" s="53">
        <v>-8.0882352941176405E-2</v>
      </c>
      <c r="U349" s="53">
        <v>0.88235294117647056</v>
      </c>
      <c r="V349" s="53">
        <v>0.27941176470588236</v>
      </c>
      <c r="W349" s="53">
        <v>-1.0808823529411764</v>
      </c>
      <c r="X349" s="53">
        <v>3.2794117647058822</v>
      </c>
      <c r="Y349" s="53">
        <v>-1.1176470588235294</v>
      </c>
      <c r="Z349" s="53" t="s">
        <v>480</v>
      </c>
      <c r="AA349" s="53">
        <v>-0.92647058823529416</v>
      </c>
      <c r="AB349" s="53" t="s">
        <v>480</v>
      </c>
      <c r="AC349" s="53" t="s">
        <v>480</v>
      </c>
      <c r="AD349" s="53">
        <v>0.41176470588235292</v>
      </c>
      <c r="AE349" s="53" t="s">
        <v>480</v>
      </c>
      <c r="AF349" s="53" t="s">
        <v>480</v>
      </c>
      <c r="AG349" s="53" t="s">
        <v>480</v>
      </c>
      <c r="AH349" s="53" t="s">
        <v>480</v>
      </c>
      <c r="AI349" s="53" t="s">
        <v>480</v>
      </c>
      <c r="AJ349" s="53" t="s">
        <v>480</v>
      </c>
      <c r="AK349" s="53" t="s">
        <v>480</v>
      </c>
      <c r="AL349" s="53" t="s">
        <v>480</v>
      </c>
      <c r="AM349" s="53" t="s">
        <v>480</v>
      </c>
      <c r="AQ349">
        <f t="shared" si="11"/>
        <v>1</v>
      </c>
      <c r="AR349" t="s">
        <v>39</v>
      </c>
    </row>
    <row r="350" spans="1:44" x14ac:dyDescent="0.25">
      <c r="A350" s="1">
        <f>COUNTIF('Value Matchup'!$D$356:$D$423,PASE!B350)</f>
        <v>0</v>
      </c>
      <c r="B350" t="s">
        <v>42</v>
      </c>
      <c r="C350" s="64">
        <f t="shared" si="10"/>
        <v>-0.17848739495798319</v>
      </c>
      <c r="E350" s="91">
        <v>9.285714285714286E-2</v>
      </c>
      <c r="F350" s="53" t="s">
        <v>480</v>
      </c>
      <c r="G350" s="53" t="s">
        <v>480</v>
      </c>
      <c r="H350" s="53" t="s">
        <v>480</v>
      </c>
      <c r="I350" s="53">
        <v>-0.5</v>
      </c>
      <c r="J350" s="53">
        <v>-6.6176470588235295E-2</v>
      </c>
      <c r="K350" s="53" t="s">
        <v>480</v>
      </c>
      <c r="L350" s="53" t="s">
        <v>480</v>
      </c>
      <c r="M350" s="53">
        <v>-0.16911764705882354</v>
      </c>
      <c r="N350" s="53">
        <v>-0.25</v>
      </c>
      <c r="O350" s="53" t="s">
        <v>480</v>
      </c>
      <c r="P350" s="53" t="s">
        <v>480</v>
      </c>
      <c r="Q350" s="53" t="s">
        <v>480</v>
      </c>
      <c r="R350" s="53" t="s">
        <v>480</v>
      </c>
      <c r="S350" s="53" t="s">
        <v>480</v>
      </c>
      <c r="T350" s="53" t="s">
        <v>480</v>
      </c>
      <c r="U350" s="53" t="s">
        <v>480</v>
      </c>
      <c r="V350" s="53" t="s">
        <v>480</v>
      </c>
      <c r="W350" s="53" t="s">
        <v>480</v>
      </c>
      <c r="X350" s="53" t="s">
        <v>480</v>
      </c>
      <c r="Y350" s="53" t="s">
        <v>480</v>
      </c>
      <c r="Z350" s="53" t="s">
        <v>480</v>
      </c>
      <c r="AA350" s="53" t="s">
        <v>480</v>
      </c>
      <c r="AB350" s="53" t="s">
        <v>480</v>
      </c>
      <c r="AC350" s="53" t="s">
        <v>480</v>
      </c>
      <c r="AD350" s="53" t="s">
        <v>480</v>
      </c>
      <c r="AE350" s="53" t="s">
        <v>480</v>
      </c>
      <c r="AF350" s="53" t="s">
        <v>480</v>
      </c>
      <c r="AG350" s="53" t="s">
        <v>480</v>
      </c>
      <c r="AH350" s="53" t="s">
        <v>480</v>
      </c>
      <c r="AI350" s="53" t="s">
        <v>480</v>
      </c>
      <c r="AJ350" s="53" t="s">
        <v>480</v>
      </c>
      <c r="AK350" s="53" t="s">
        <v>480</v>
      </c>
      <c r="AL350" s="53" t="s">
        <v>480</v>
      </c>
      <c r="AM350" s="53" t="s">
        <v>480</v>
      </c>
      <c r="AQ350">
        <f t="shared" si="11"/>
        <v>1</v>
      </c>
      <c r="AR350" t="s">
        <v>42</v>
      </c>
    </row>
    <row r="351" spans="1:44" x14ac:dyDescent="0.25">
      <c r="A351" s="1">
        <f>COUNTIF('Value Matchup'!$D$356:$D$423,PASE!B351)</f>
        <v>0</v>
      </c>
      <c r="B351" t="s">
        <v>420</v>
      </c>
      <c r="C351" s="64">
        <f t="shared" si="10"/>
        <v>-0.11519607843137254</v>
      </c>
      <c r="E351" s="91" t="s">
        <v>480</v>
      </c>
      <c r="F351" s="53">
        <v>-0.16911764705882354</v>
      </c>
      <c r="G351" s="53" t="s">
        <v>480</v>
      </c>
      <c r="H351" s="53" t="s">
        <v>480</v>
      </c>
      <c r="I351" s="53" t="s">
        <v>480</v>
      </c>
      <c r="J351" s="53" t="s">
        <v>480</v>
      </c>
      <c r="K351" s="53" t="s">
        <v>480</v>
      </c>
      <c r="L351" s="53" t="s">
        <v>480</v>
      </c>
      <c r="M351" s="53" t="s">
        <v>480</v>
      </c>
      <c r="N351" s="53" t="s">
        <v>480</v>
      </c>
      <c r="O351" s="53" t="s">
        <v>480</v>
      </c>
      <c r="P351" s="53" t="s">
        <v>480</v>
      </c>
      <c r="Q351" s="53">
        <v>-0.16911764705882354</v>
      </c>
      <c r="R351" s="53" t="s">
        <v>480</v>
      </c>
      <c r="S351" s="53" t="s">
        <v>480</v>
      </c>
      <c r="T351" s="53" t="s">
        <v>480</v>
      </c>
      <c r="U351" s="53" t="s">
        <v>480</v>
      </c>
      <c r="V351" s="53" t="s">
        <v>480</v>
      </c>
      <c r="W351" s="53" t="s">
        <v>480</v>
      </c>
      <c r="X351" s="53" t="s">
        <v>480</v>
      </c>
      <c r="Y351" s="53" t="s">
        <v>480</v>
      </c>
      <c r="Z351" s="53" t="s">
        <v>480</v>
      </c>
      <c r="AA351" s="53" t="s">
        <v>480</v>
      </c>
      <c r="AB351" s="53" t="s">
        <v>480</v>
      </c>
      <c r="AC351" s="53" t="s">
        <v>480</v>
      </c>
      <c r="AD351" s="53" t="s">
        <v>480</v>
      </c>
      <c r="AE351" s="53">
        <v>-7.3529411764705881E-3</v>
      </c>
      <c r="AF351" s="53" t="s">
        <v>480</v>
      </c>
      <c r="AG351" s="53" t="s">
        <v>480</v>
      </c>
      <c r="AH351" s="53" t="s">
        <v>480</v>
      </c>
      <c r="AI351" s="53" t="s">
        <v>480</v>
      </c>
      <c r="AJ351" s="53" t="s">
        <v>480</v>
      </c>
      <c r="AK351" s="53" t="s">
        <v>480</v>
      </c>
      <c r="AL351" s="53" t="s">
        <v>480</v>
      </c>
      <c r="AM351" s="53" t="s">
        <v>480</v>
      </c>
      <c r="AQ351">
        <f t="shared" si="11"/>
        <v>1</v>
      </c>
      <c r="AR351" t="s">
        <v>420</v>
      </c>
    </row>
    <row r="352" spans="1:44" x14ac:dyDescent="0.25">
      <c r="A352" s="1">
        <f>COUNTIF('Value Matchup'!$D$356:$D$423,PASE!B352)</f>
        <v>0</v>
      </c>
      <c r="B352" t="s">
        <v>53</v>
      </c>
      <c r="C352" s="64">
        <f t="shared" si="10"/>
        <v>0.11213235294117646</v>
      </c>
      <c r="E352" s="91" t="s">
        <v>480</v>
      </c>
      <c r="F352" s="53" t="s">
        <v>480</v>
      </c>
      <c r="G352" s="53" t="s">
        <v>480</v>
      </c>
      <c r="H352" s="53" t="s">
        <v>480</v>
      </c>
      <c r="I352" s="53">
        <v>-0.5</v>
      </c>
      <c r="J352" s="53" t="s">
        <v>480</v>
      </c>
      <c r="K352" s="53" t="s">
        <v>480</v>
      </c>
      <c r="L352" s="53" t="s">
        <v>480</v>
      </c>
      <c r="M352" s="53" t="s">
        <v>480</v>
      </c>
      <c r="N352" s="53" t="s">
        <v>480</v>
      </c>
      <c r="O352" s="53" t="s">
        <v>480</v>
      </c>
      <c r="P352" s="53" t="s">
        <v>480</v>
      </c>
      <c r="Q352" s="53" t="s">
        <v>480</v>
      </c>
      <c r="R352" s="53" t="s">
        <v>480</v>
      </c>
      <c r="S352" s="53" t="s">
        <v>480</v>
      </c>
      <c r="T352" s="53" t="s">
        <v>480</v>
      </c>
      <c r="U352" s="53" t="s">
        <v>480</v>
      </c>
      <c r="V352" s="53">
        <v>0.375</v>
      </c>
      <c r="W352" s="53" t="s">
        <v>480</v>
      </c>
      <c r="X352" s="53" t="s">
        <v>480</v>
      </c>
      <c r="Y352" s="53" t="s">
        <v>480</v>
      </c>
      <c r="Z352" s="53" t="s">
        <v>480</v>
      </c>
      <c r="AA352" s="53" t="s">
        <v>480</v>
      </c>
      <c r="AB352" s="53" t="s">
        <v>480</v>
      </c>
      <c r="AC352" s="53" t="s">
        <v>480</v>
      </c>
      <c r="AD352" s="53" t="s">
        <v>480</v>
      </c>
      <c r="AE352" s="53" t="s">
        <v>480</v>
      </c>
      <c r="AF352" s="53" t="s">
        <v>480</v>
      </c>
      <c r="AG352" s="53" t="s">
        <v>480</v>
      </c>
      <c r="AH352" s="53" t="s">
        <v>480</v>
      </c>
      <c r="AI352" s="53" t="s">
        <v>480</v>
      </c>
      <c r="AJ352" s="53">
        <v>-0.92647058823529416</v>
      </c>
      <c r="AK352" s="53">
        <v>1.5</v>
      </c>
      <c r="AL352" s="53" t="s">
        <v>480</v>
      </c>
      <c r="AM352" s="53" t="s">
        <v>480</v>
      </c>
      <c r="AQ352">
        <f t="shared" si="11"/>
        <v>1</v>
      </c>
      <c r="AR352" t="s">
        <v>53</v>
      </c>
    </row>
    <row r="353" spans="1:44" x14ac:dyDescent="0.25">
      <c r="A353" s="1">
        <f>COUNTIF('Value Matchup'!$D$356:$D$423,PASE!B353)</f>
        <v>0</v>
      </c>
      <c r="B353" t="s">
        <v>44</v>
      </c>
      <c r="C353" s="64">
        <f t="shared" si="10"/>
        <v>0.1097285067873303</v>
      </c>
      <c r="E353" s="91" t="s">
        <v>480</v>
      </c>
      <c r="F353" s="53">
        <v>-2.3455882352941178</v>
      </c>
      <c r="G353" s="53">
        <v>2.375</v>
      </c>
      <c r="H353" s="53">
        <v>-1.3602941176470589</v>
      </c>
      <c r="I353" s="53">
        <v>0.91911764705882359</v>
      </c>
      <c r="J353" s="53">
        <v>-0.5</v>
      </c>
      <c r="K353" s="53" t="s">
        <v>480</v>
      </c>
      <c r="L353" s="53">
        <v>1.3823529411764706</v>
      </c>
      <c r="M353" s="53">
        <v>-1.0808823529411764</v>
      </c>
      <c r="N353" s="53">
        <v>0.91911764705882359</v>
      </c>
      <c r="O353" s="53">
        <v>0.45588235294117641</v>
      </c>
      <c r="P353" s="53">
        <v>1.1691176470588236</v>
      </c>
      <c r="Q353" s="53">
        <v>0.41176470588235292</v>
      </c>
      <c r="R353" s="53">
        <v>-0.16911764705882354</v>
      </c>
      <c r="S353" s="53" t="s">
        <v>480</v>
      </c>
      <c r="T353" s="53">
        <v>2.0735294117647056</v>
      </c>
      <c r="U353" s="53">
        <v>-0.83088235294117641</v>
      </c>
      <c r="V353" s="53">
        <v>7.3529411764705843E-2</v>
      </c>
      <c r="W353" s="53">
        <v>-0.625</v>
      </c>
      <c r="X353" s="53" t="s">
        <v>480</v>
      </c>
      <c r="Y353" s="53" t="s">
        <v>480</v>
      </c>
      <c r="Z353" s="53">
        <v>-1.0808823529411764</v>
      </c>
      <c r="AA353" s="53">
        <v>7.3529411764705843E-2</v>
      </c>
      <c r="AB353" s="53" t="s">
        <v>480</v>
      </c>
      <c r="AC353" s="53">
        <v>-0.625</v>
      </c>
      <c r="AD353" s="53" t="s">
        <v>480</v>
      </c>
      <c r="AE353" s="53">
        <v>0.41176470588235292</v>
      </c>
      <c r="AF353" s="53" t="s">
        <v>480</v>
      </c>
      <c r="AG353" s="53">
        <v>0.83088235294117641</v>
      </c>
      <c r="AH353" s="53">
        <v>0.91911764705882359</v>
      </c>
      <c r="AI353" s="53">
        <v>-0.16911764705882354</v>
      </c>
      <c r="AJ353" s="53">
        <v>-0.625</v>
      </c>
      <c r="AK353" s="53">
        <v>0.75</v>
      </c>
      <c r="AL353" s="53">
        <v>-0.5</v>
      </c>
      <c r="AM353" s="53" t="s">
        <v>480</v>
      </c>
      <c r="AQ353">
        <f t="shared" si="11"/>
        <v>1</v>
      </c>
      <c r="AR353" t="s">
        <v>44</v>
      </c>
    </row>
    <row r="354" spans="1:44" x14ac:dyDescent="0.25">
      <c r="A354" s="1">
        <f>COUNTIF('Value Matchup'!$D$356:$D$423,PASE!B354)</f>
        <v>0</v>
      </c>
      <c r="B354" t="s">
        <v>93</v>
      </c>
      <c r="C354" s="64">
        <f t="shared" si="10"/>
        <v>0.16785714285714287</v>
      </c>
      <c r="E354" s="91">
        <v>-0.16428571428571428</v>
      </c>
      <c r="F354" s="53" t="s">
        <v>480</v>
      </c>
      <c r="G354" s="53" t="s">
        <v>480</v>
      </c>
      <c r="H354" s="53">
        <v>0.5</v>
      </c>
      <c r="I354" s="53" t="s">
        <v>480</v>
      </c>
      <c r="J354" s="53" t="s">
        <v>480</v>
      </c>
      <c r="K354" s="53" t="s">
        <v>480</v>
      </c>
      <c r="L354" s="53" t="s">
        <v>480</v>
      </c>
      <c r="M354" s="53" t="s">
        <v>480</v>
      </c>
      <c r="N354" s="53" t="s">
        <v>480</v>
      </c>
      <c r="O354" s="53" t="s">
        <v>480</v>
      </c>
      <c r="P354" s="53" t="s">
        <v>480</v>
      </c>
      <c r="Q354" s="53" t="s">
        <v>480</v>
      </c>
      <c r="R354" s="53" t="s">
        <v>480</v>
      </c>
      <c r="S354" s="53" t="s">
        <v>480</v>
      </c>
      <c r="T354" s="53" t="s">
        <v>480</v>
      </c>
      <c r="U354" s="53" t="s">
        <v>480</v>
      </c>
      <c r="V354" s="53" t="s">
        <v>480</v>
      </c>
      <c r="W354" s="53" t="s">
        <v>480</v>
      </c>
      <c r="X354" s="53" t="s">
        <v>480</v>
      </c>
      <c r="Y354" s="53" t="s">
        <v>480</v>
      </c>
      <c r="Z354" s="53" t="s">
        <v>480</v>
      </c>
      <c r="AA354" s="53" t="s">
        <v>480</v>
      </c>
      <c r="AB354" s="53" t="s">
        <v>480</v>
      </c>
      <c r="AC354" s="53" t="s">
        <v>480</v>
      </c>
      <c r="AD354" s="53" t="s">
        <v>480</v>
      </c>
      <c r="AE354" s="53" t="s">
        <v>480</v>
      </c>
      <c r="AF354" s="53" t="s">
        <v>480</v>
      </c>
      <c r="AG354" s="53" t="s">
        <v>480</v>
      </c>
      <c r="AH354" s="53" t="s">
        <v>480</v>
      </c>
      <c r="AI354" s="53" t="s">
        <v>480</v>
      </c>
      <c r="AJ354" s="53" t="s">
        <v>480</v>
      </c>
      <c r="AK354" s="53" t="s">
        <v>480</v>
      </c>
      <c r="AL354" s="53" t="s">
        <v>480</v>
      </c>
      <c r="AM354" s="53" t="s">
        <v>480</v>
      </c>
      <c r="AQ354">
        <f t="shared" si="11"/>
        <v>1</v>
      </c>
      <c r="AR354" t="s">
        <v>93</v>
      </c>
    </row>
    <row r="355" spans="1:44" x14ac:dyDescent="0.25">
      <c r="A355" s="1">
        <f>COUNTIF('Value Matchup'!$D$356:$D$423,PASE!B355)</f>
        <v>0</v>
      </c>
      <c r="B355" t="s">
        <v>421</v>
      </c>
      <c r="C355" s="64">
        <f t="shared" si="10"/>
        <v>0</v>
      </c>
      <c r="E355" s="91" t="s">
        <v>480</v>
      </c>
      <c r="F355" s="53" t="s">
        <v>480</v>
      </c>
      <c r="G355" s="53" t="s">
        <v>480</v>
      </c>
      <c r="H355" s="53" t="s">
        <v>480</v>
      </c>
      <c r="I355" s="53" t="s">
        <v>480</v>
      </c>
      <c r="J355" s="53" t="s">
        <v>480</v>
      </c>
      <c r="K355" s="53" t="s">
        <v>480</v>
      </c>
      <c r="L355" s="53" t="s">
        <v>480</v>
      </c>
      <c r="M355" s="53" t="s">
        <v>480</v>
      </c>
      <c r="N355" s="53" t="s">
        <v>480</v>
      </c>
      <c r="O355" s="53" t="s">
        <v>480</v>
      </c>
      <c r="P355" s="53" t="s">
        <v>480</v>
      </c>
      <c r="Q355" s="53" t="s">
        <v>480</v>
      </c>
      <c r="R355" s="53" t="s">
        <v>480</v>
      </c>
      <c r="S355" s="53" t="s">
        <v>480</v>
      </c>
      <c r="T355" s="53" t="s">
        <v>480</v>
      </c>
      <c r="U355" s="53" t="s">
        <v>480</v>
      </c>
      <c r="V355" s="53" t="s">
        <v>480</v>
      </c>
      <c r="W355" s="53" t="s">
        <v>480</v>
      </c>
      <c r="X355" s="53" t="s">
        <v>480</v>
      </c>
      <c r="Y355" s="53" t="s">
        <v>480</v>
      </c>
      <c r="Z355" s="53" t="s">
        <v>480</v>
      </c>
      <c r="AA355" s="53" t="s">
        <v>480</v>
      </c>
      <c r="AB355" s="53" t="s">
        <v>480</v>
      </c>
      <c r="AC355" s="53" t="s">
        <v>480</v>
      </c>
      <c r="AD355" s="53" t="s">
        <v>480</v>
      </c>
      <c r="AE355" s="53" t="s">
        <v>480</v>
      </c>
      <c r="AF355" s="53" t="s">
        <v>480</v>
      </c>
      <c r="AG355" s="53" t="s">
        <v>480</v>
      </c>
      <c r="AH355" s="53" t="s">
        <v>480</v>
      </c>
      <c r="AI355" s="53" t="s">
        <v>480</v>
      </c>
      <c r="AJ355" s="53" t="s">
        <v>480</v>
      </c>
      <c r="AK355" s="53" t="s">
        <v>480</v>
      </c>
      <c r="AL355" s="53" t="s">
        <v>480</v>
      </c>
      <c r="AM355" s="53" t="s">
        <v>480</v>
      </c>
      <c r="AQ355">
        <f t="shared" si="11"/>
        <v>1</v>
      </c>
      <c r="AR355" t="s">
        <v>421</v>
      </c>
    </row>
    <row r="1048294" spans="5:7" x14ac:dyDescent="0.25">
      <c r="E1048294" s="84"/>
      <c r="F1048294" s="84"/>
      <c r="G1048294" s="84"/>
    </row>
    <row r="1048295" spans="5:7" x14ac:dyDescent="0.25">
      <c r="E1048295" s="85"/>
      <c r="F1048295" s="85"/>
      <c r="G1048295" s="85"/>
    </row>
  </sheetData>
  <conditionalFormatting sqref="AQ1:AQ1048576">
    <cfRule type="colorScale" priority="1">
      <colorScale>
        <cfvo type="min"/>
        <cfvo type="max"/>
        <color rgb="FFFF0000"/>
        <color rgb="FF00B050"/>
      </colorScale>
    </cfRule>
  </conditionalFormatting>
  <hyperlinks>
    <hyperlink ref="B1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V360"/>
  <sheetViews>
    <sheetView workbookViewId="0">
      <pane ySplit="3" topLeftCell="A257" activePane="bottomLeft" state="frozen"/>
      <selection activeCell="M418" sqref="M418"/>
      <selection pane="bottomLeft" activeCell="B3" sqref="B3:V360"/>
    </sheetView>
  </sheetViews>
  <sheetFormatPr defaultColWidth="5.42578125" defaultRowHeight="15" x14ac:dyDescent="0.25"/>
  <cols>
    <col min="3" max="3" width="22.7109375" bestFit="1" customWidth="1"/>
    <col min="5" max="5" width="7.42578125" style="79" bestFit="1" customWidth="1"/>
  </cols>
  <sheetData>
    <row r="1" spans="1:22" x14ac:dyDescent="0.25">
      <c r="A1">
        <f>SUM(A4:A356)</f>
        <v>68</v>
      </c>
      <c r="C1" s="11" t="s">
        <v>422</v>
      </c>
    </row>
    <row r="2" spans="1:22" ht="15" customHeight="1" x14ac:dyDescent="0.25">
      <c r="O2" t="s">
        <v>98</v>
      </c>
      <c r="U2" t="s">
        <v>99</v>
      </c>
    </row>
    <row r="3" spans="1:22" ht="15" customHeight="1" x14ac:dyDescent="0.25">
      <c r="B3" t="s">
        <v>12</v>
      </c>
      <c r="C3" t="s">
        <v>11</v>
      </c>
      <c r="D3" t="s">
        <v>100</v>
      </c>
      <c r="E3" s="79" t="s">
        <v>470</v>
      </c>
      <c r="F3" t="s">
        <v>471</v>
      </c>
      <c r="G3" t="s">
        <v>101</v>
      </c>
      <c r="I3" t="s">
        <v>102</v>
      </c>
      <c r="K3" t="s">
        <v>103</v>
      </c>
      <c r="M3" t="s">
        <v>104</v>
      </c>
      <c r="O3" t="s">
        <v>471</v>
      </c>
      <c r="Q3" t="s">
        <v>105</v>
      </c>
      <c r="S3" t="s">
        <v>106</v>
      </c>
      <c r="U3" t="s">
        <v>471</v>
      </c>
    </row>
    <row r="4" spans="1:22" x14ac:dyDescent="0.25">
      <c r="A4">
        <f>COUNTIF('Value Matchup'!$D$356:$D$423,C4)</f>
        <v>1</v>
      </c>
      <c r="B4">
        <v>85</v>
      </c>
      <c r="C4" t="s">
        <v>107</v>
      </c>
      <c r="D4" t="s">
        <v>108</v>
      </c>
      <c r="E4" s="79" t="s">
        <v>514</v>
      </c>
      <c r="F4">
        <v>11.51</v>
      </c>
      <c r="G4">
        <v>103.8</v>
      </c>
      <c r="H4">
        <v>157</v>
      </c>
      <c r="I4">
        <v>92.3</v>
      </c>
      <c r="J4">
        <v>30</v>
      </c>
      <c r="K4">
        <v>70</v>
      </c>
      <c r="L4">
        <v>101</v>
      </c>
      <c r="M4">
        <v>-2.7E-2</v>
      </c>
      <c r="N4">
        <v>238</v>
      </c>
      <c r="O4">
        <v>-8.1999999999999993</v>
      </c>
      <c r="P4">
        <v>331</v>
      </c>
      <c r="Q4">
        <v>97.6</v>
      </c>
      <c r="R4">
        <v>318</v>
      </c>
      <c r="S4">
        <v>105.8</v>
      </c>
      <c r="T4">
        <v>328</v>
      </c>
      <c r="U4">
        <v>4.26</v>
      </c>
      <c r="V4">
        <v>139</v>
      </c>
    </row>
    <row r="5" spans="1:22" x14ac:dyDescent="0.25">
      <c r="A5">
        <f>COUNTIF('Value Matchup'!$D$356:$D$423,C5)</f>
        <v>0</v>
      </c>
      <c r="B5">
        <v>329</v>
      </c>
      <c r="C5" t="s">
        <v>109</v>
      </c>
      <c r="D5" t="s">
        <v>110</v>
      </c>
      <c r="E5" s="79" t="s">
        <v>591</v>
      </c>
      <c r="F5">
        <v>-14.62</v>
      </c>
      <c r="G5">
        <v>95.2</v>
      </c>
      <c r="H5">
        <v>299</v>
      </c>
      <c r="I5">
        <v>109.8</v>
      </c>
      <c r="J5">
        <v>322</v>
      </c>
      <c r="K5">
        <v>63.1</v>
      </c>
      <c r="L5">
        <v>349</v>
      </c>
      <c r="M5">
        <v>2.8000000000000001E-2</v>
      </c>
      <c r="N5">
        <v>109</v>
      </c>
      <c r="O5">
        <v>4.42</v>
      </c>
      <c r="P5">
        <v>126</v>
      </c>
      <c r="Q5">
        <v>104.6</v>
      </c>
      <c r="R5">
        <v>129</v>
      </c>
      <c r="S5">
        <v>100.2</v>
      </c>
      <c r="T5">
        <v>134</v>
      </c>
      <c r="U5">
        <v>-3.47</v>
      </c>
      <c r="V5">
        <v>258</v>
      </c>
    </row>
    <row r="6" spans="1:22" x14ac:dyDescent="0.25">
      <c r="A6">
        <f>COUNTIF('Value Matchup'!$D$356:$D$423,C6)</f>
        <v>0</v>
      </c>
      <c r="B6">
        <v>99</v>
      </c>
      <c r="C6" t="s">
        <v>111</v>
      </c>
      <c r="D6" t="s">
        <v>112</v>
      </c>
      <c r="E6" s="79" t="s">
        <v>515</v>
      </c>
      <c r="F6">
        <v>9.61</v>
      </c>
      <c r="G6">
        <v>109.5</v>
      </c>
      <c r="H6">
        <v>72</v>
      </c>
      <c r="I6">
        <v>99.9</v>
      </c>
      <c r="J6">
        <v>139</v>
      </c>
      <c r="K6">
        <v>68.8</v>
      </c>
      <c r="L6">
        <v>156</v>
      </c>
      <c r="M6">
        <v>-1E-3</v>
      </c>
      <c r="N6">
        <v>184</v>
      </c>
      <c r="O6">
        <v>4.88</v>
      </c>
      <c r="P6">
        <v>124</v>
      </c>
      <c r="Q6">
        <v>106.2</v>
      </c>
      <c r="R6">
        <v>93</v>
      </c>
      <c r="S6">
        <v>101.3</v>
      </c>
      <c r="T6">
        <v>150</v>
      </c>
      <c r="U6">
        <v>21.32</v>
      </c>
      <c r="V6">
        <v>3</v>
      </c>
    </row>
    <row r="7" spans="1:22" x14ac:dyDescent="0.25">
      <c r="A7">
        <f>COUNTIF('Value Matchup'!$D$356:$D$423,C7)</f>
        <v>1</v>
      </c>
      <c r="B7">
        <v>8</v>
      </c>
      <c r="C7" t="s">
        <v>113</v>
      </c>
      <c r="D7" t="s">
        <v>114</v>
      </c>
      <c r="E7" s="79" t="s">
        <v>516</v>
      </c>
      <c r="F7">
        <v>26.53</v>
      </c>
      <c r="G7">
        <v>112.2</v>
      </c>
      <c r="H7">
        <v>36</v>
      </c>
      <c r="I7">
        <v>85.6</v>
      </c>
      <c r="J7">
        <v>1</v>
      </c>
      <c r="K7">
        <v>74.2</v>
      </c>
      <c r="L7">
        <v>7</v>
      </c>
      <c r="M7">
        <v>1.9E-2</v>
      </c>
      <c r="N7">
        <v>131</v>
      </c>
      <c r="O7">
        <v>13.91</v>
      </c>
      <c r="P7">
        <v>32</v>
      </c>
      <c r="Q7">
        <v>109.3</v>
      </c>
      <c r="R7">
        <v>34</v>
      </c>
      <c r="S7">
        <v>95.4</v>
      </c>
      <c r="T7">
        <v>31</v>
      </c>
      <c r="U7">
        <v>8.86</v>
      </c>
      <c r="V7">
        <v>70</v>
      </c>
    </row>
    <row r="8" spans="1:22" x14ac:dyDescent="0.25">
      <c r="A8">
        <f>COUNTIF('Value Matchup'!$D$356:$D$423,C8)</f>
        <v>0</v>
      </c>
      <c r="B8">
        <v>348</v>
      </c>
      <c r="C8" t="s">
        <v>115</v>
      </c>
      <c r="D8" t="s">
        <v>116</v>
      </c>
      <c r="E8" s="79" t="s">
        <v>592</v>
      </c>
      <c r="F8">
        <v>-20.04</v>
      </c>
      <c r="G8">
        <v>85.1</v>
      </c>
      <c r="H8">
        <v>354</v>
      </c>
      <c r="I8">
        <v>105.2</v>
      </c>
      <c r="J8">
        <v>256</v>
      </c>
      <c r="K8">
        <v>67.8</v>
      </c>
      <c r="L8">
        <v>210</v>
      </c>
      <c r="M8">
        <v>1.7999999999999999E-2</v>
      </c>
      <c r="N8">
        <v>134</v>
      </c>
      <c r="O8">
        <v>-12.92</v>
      </c>
      <c r="P8">
        <v>343</v>
      </c>
      <c r="Q8">
        <v>93</v>
      </c>
      <c r="R8">
        <v>344</v>
      </c>
      <c r="S8">
        <v>105.9</v>
      </c>
      <c r="T8">
        <v>330</v>
      </c>
      <c r="U8">
        <v>-5.74</v>
      </c>
      <c r="V8">
        <v>290</v>
      </c>
    </row>
    <row r="9" spans="1:22" x14ac:dyDescent="0.25">
      <c r="A9">
        <f>COUNTIF('Value Matchup'!$D$356:$D$423,C9)</f>
        <v>0</v>
      </c>
      <c r="B9">
        <v>354</v>
      </c>
      <c r="C9" t="s">
        <v>117</v>
      </c>
      <c r="D9" t="s">
        <v>116</v>
      </c>
      <c r="E9" s="79" t="s">
        <v>593</v>
      </c>
      <c r="F9">
        <v>-25.12</v>
      </c>
      <c r="G9">
        <v>84.7</v>
      </c>
      <c r="H9">
        <v>356</v>
      </c>
      <c r="I9">
        <v>109.8</v>
      </c>
      <c r="J9">
        <v>321</v>
      </c>
      <c r="K9">
        <v>71.099999999999994</v>
      </c>
      <c r="L9">
        <v>64</v>
      </c>
      <c r="M9">
        <v>-4.9000000000000002E-2</v>
      </c>
      <c r="N9">
        <v>284</v>
      </c>
      <c r="O9">
        <v>-15.52</v>
      </c>
      <c r="P9">
        <v>347</v>
      </c>
      <c r="Q9">
        <v>90.9</v>
      </c>
      <c r="R9">
        <v>347</v>
      </c>
      <c r="S9">
        <v>106.4</v>
      </c>
      <c r="T9">
        <v>338</v>
      </c>
      <c r="U9">
        <v>-99</v>
      </c>
      <c r="V9">
        <v>331</v>
      </c>
    </row>
    <row r="10" spans="1:22" x14ac:dyDescent="0.25">
      <c r="A10">
        <f>COUNTIF('Value Matchup'!$D$356:$D$423,C10)</f>
        <v>0</v>
      </c>
      <c r="B10">
        <v>234</v>
      </c>
      <c r="C10" t="s">
        <v>59</v>
      </c>
      <c r="D10" t="s">
        <v>118</v>
      </c>
      <c r="E10" s="79" t="s">
        <v>594</v>
      </c>
      <c r="F10">
        <v>-5.0999999999999996</v>
      </c>
      <c r="G10">
        <v>98</v>
      </c>
      <c r="H10">
        <v>260</v>
      </c>
      <c r="I10">
        <v>103.1</v>
      </c>
      <c r="J10">
        <v>207</v>
      </c>
      <c r="K10">
        <v>69.900000000000006</v>
      </c>
      <c r="L10">
        <v>105</v>
      </c>
      <c r="M10">
        <v>-7.9000000000000001E-2</v>
      </c>
      <c r="N10">
        <v>320</v>
      </c>
      <c r="O10">
        <v>-4.5599999999999996</v>
      </c>
      <c r="P10">
        <v>269</v>
      </c>
      <c r="Q10">
        <v>98.8</v>
      </c>
      <c r="R10">
        <v>293</v>
      </c>
      <c r="S10">
        <v>103.4</v>
      </c>
      <c r="T10">
        <v>225</v>
      </c>
      <c r="U10">
        <v>-3.89</v>
      </c>
      <c r="V10">
        <v>267</v>
      </c>
    </row>
    <row r="11" spans="1:22" x14ac:dyDescent="0.25">
      <c r="A11">
        <f>COUNTIF('Value Matchup'!$D$356:$D$423,C11)</f>
        <v>0</v>
      </c>
      <c r="B11">
        <v>346</v>
      </c>
      <c r="C11" t="s">
        <v>119</v>
      </c>
      <c r="D11" t="s">
        <v>116</v>
      </c>
      <c r="E11" s="79" t="s">
        <v>595</v>
      </c>
      <c r="F11">
        <v>-18.329999999999998</v>
      </c>
      <c r="G11">
        <v>91.3</v>
      </c>
      <c r="H11">
        <v>337</v>
      </c>
      <c r="I11">
        <v>109.6</v>
      </c>
      <c r="J11">
        <v>320</v>
      </c>
      <c r="K11">
        <v>69.7</v>
      </c>
      <c r="L11">
        <v>111</v>
      </c>
      <c r="M11">
        <v>-2.5999999999999999E-2</v>
      </c>
      <c r="N11">
        <v>237</v>
      </c>
      <c r="O11">
        <v>-9.3000000000000007</v>
      </c>
      <c r="P11">
        <v>339</v>
      </c>
      <c r="Q11">
        <v>95.5</v>
      </c>
      <c r="R11">
        <v>340</v>
      </c>
      <c r="S11">
        <v>104.8</v>
      </c>
      <c r="T11">
        <v>294</v>
      </c>
      <c r="U11">
        <v>21</v>
      </c>
      <c r="V11">
        <v>6</v>
      </c>
    </row>
    <row r="12" spans="1:22" x14ac:dyDescent="0.25">
      <c r="A12">
        <f>COUNTIF('Value Matchup'!$D$356:$D$423,C12)</f>
        <v>0</v>
      </c>
      <c r="B12">
        <v>261</v>
      </c>
      <c r="C12" t="s">
        <v>120</v>
      </c>
      <c r="D12" t="s">
        <v>121</v>
      </c>
      <c r="E12" s="79" t="s">
        <v>596</v>
      </c>
      <c r="F12">
        <v>-7.78</v>
      </c>
      <c r="G12">
        <v>97.4</v>
      </c>
      <c r="H12">
        <v>271</v>
      </c>
      <c r="I12">
        <v>105.2</v>
      </c>
      <c r="J12">
        <v>255</v>
      </c>
      <c r="K12">
        <v>67.7</v>
      </c>
      <c r="L12">
        <v>223</v>
      </c>
      <c r="M12">
        <v>6.5000000000000002E-2</v>
      </c>
      <c r="N12">
        <v>46</v>
      </c>
      <c r="O12">
        <v>-1.38</v>
      </c>
      <c r="P12">
        <v>203</v>
      </c>
      <c r="Q12">
        <v>100.9</v>
      </c>
      <c r="R12">
        <v>231</v>
      </c>
      <c r="S12">
        <v>102.2</v>
      </c>
      <c r="T12">
        <v>180</v>
      </c>
      <c r="U12">
        <v>-99</v>
      </c>
      <c r="V12">
        <v>331</v>
      </c>
    </row>
    <row r="13" spans="1:22" x14ac:dyDescent="0.25">
      <c r="A13">
        <f>COUNTIF('Value Matchup'!$D$356:$D$423,C13)</f>
        <v>1</v>
      </c>
      <c r="B13">
        <v>209</v>
      </c>
      <c r="C13" t="s">
        <v>122</v>
      </c>
      <c r="D13" t="s">
        <v>123</v>
      </c>
      <c r="E13" s="79" t="s">
        <v>517</v>
      </c>
      <c r="F13">
        <v>-2.94</v>
      </c>
      <c r="G13">
        <v>100.1</v>
      </c>
      <c r="H13">
        <v>228</v>
      </c>
      <c r="I13">
        <v>103.1</v>
      </c>
      <c r="J13">
        <v>205</v>
      </c>
      <c r="K13">
        <v>65.7</v>
      </c>
      <c r="L13">
        <v>309</v>
      </c>
      <c r="M13">
        <v>0.06</v>
      </c>
      <c r="N13">
        <v>52</v>
      </c>
      <c r="O13">
        <v>-3.01</v>
      </c>
      <c r="P13">
        <v>232</v>
      </c>
      <c r="Q13">
        <v>100.2</v>
      </c>
      <c r="R13">
        <v>249</v>
      </c>
      <c r="S13">
        <v>103.2</v>
      </c>
      <c r="T13">
        <v>221</v>
      </c>
      <c r="U13">
        <v>5.68</v>
      </c>
      <c r="V13">
        <v>114</v>
      </c>
    </row>
    <row r="14" spans="1:22" x14ac:dyDescent="0.25">
      <c r="A14">
        <f>COUNTIF('Value Matchup'!$D$356:$D$423,C14)</f>
        <v>0</v>
      </c>
      <c r="B14">
        <v>44</v>
      </c>
      <c r="C14" t="s">
        <v>48</v>
      </c>
      <c r="D14" t="s">
        <v>124</v>
      </c>
      <c r="E14" s="79" t="s">
        <v>518</v>
      </c>
      <c r="F14">
        <v>17.34</v>
      </c>
      <c r="G14">
        <v>114.2</v>
      </c>
      <c r="H14">
        <v>26</v>
      </c>
      <c r="I14">
        <v>96.8</v>
      </c>
      <c r="J14">
        <v>86</v>
      </c>
      <c r="K14">
        <v>68</v>
      </c>
      <c r="L14">
        <v>196</v>
      </c>
      <c r="M14">
        <v>-1.7000000000000001E-2</v>
      </c>
      <c r="N14">
        <v>218</v>
      </c>
      <c r="O14">
        <v>9.1</v>
      </c>
      <c r="P14">
        <v>82</v>
      </c>
      <c r="Q14">
        <v>107.1</v>
      </c>
      <c r="R14">
        <v>77</v>
      </c>
      <c r="S14">
        <v>98</v>
      </c>
      <c r="T14">
        <v>93</v>
      </c>
      <c r="U14">
        <v>-5.57</v>
      </c>
      <c r="V14">
        <v>287</v>
      </c>
    </row>
    <row r="15" spans="1:22" x14ac:dyDescent="0.25">
      <c r="A15">
        <f>COUNTIF('Value Matchup'!$D$356:$D$423,C15)</f>
        <v>0</v>
      </c>
      <c r="B15">
        <v>114</v>
      </c>
      <c r="C15" t="s">
        <v>125</v>
      </c>
      <c r="D15" t="s">
        <v>124</v>
      </c>
      <c r="E15" s="79" t="s">
        <v>597</v>
      </c>
      <c r="F15">
        <v>7.63</v>
      </c>
      <c r="G15">
        <v>107.2</v>
      </c>
      <c r="H15">
        <v>102</v>
      </c>
      <c r="I15">
        <v>99.6</v>
      </c>
      <c r="J15">
        <v>129</v>
      </c>
      <c r="K15">
        <v>72.8</v>
      </c>
      <c r="L15">
        <v>23</v>
      </c>
      <c r="M15">
        <v>2.5999999999999999E-2</v>
      </c>
      <c r="N15">
        <v>114</v>
      </c>
      <c r="O15">
        <v>11.99</v>
      </c>
      <c r="P15">
        <v>52</v>
      </c>
      <c r="Q15">
        <v>108.7</v>
      </c>
      <c r="R15">
        <v>48</v>
      </c>
      <c r="S15">
        <v>96.7</v>
      </c>
      <c r="T15">
        <v>57</v>
      </c>
      <c r="U15">
        <v>8.68</v>
      </c>
      <c r="V15">
        <v>72</v>
      </c>
    </row>
    <row r="16" spans="1:22" x14ac:dyDescent="0.25">
      <c r="A16">
        <f>COUNTIF('Value Matchup'!$D$356:$D$423,C16)</f>
        <v>1</v>
      </c>
      <c r="B16">
        <v>18</v>
      </c>
      <c r="C16" t="s">
        <v>41</v>
      </c>
      <c r="D16" t="s">
        <v>114</v>
      </c>
      <c r="E16" s="79" t="s">
        <v>519</v>
      </c>
      <c r="F16">
        <v>22.92</v>
      </c>
      <c r="G16">
        <v>112.3</v>
      </c>
      <c r="H16">
        <v>34</v>
      </c>
      <c r="I16">
        <v>89.4</v>
      </c>
      <c r="J16">
        <v>15</v>
      </c>
      <c r="K16">
        <v>73.099999999999994</v>
      </c>
      <c r="L16">
        <v>17</v>
      </c>
      <c r="M16">
        <v>5.6000000000000001E-2</v>
      </c>
      <c r="N16">
        <v>57</v>
      </c>
      <c r="O16">
        <v>11.16</v>
      </c>
      <c r="P16">
        <v>60</v>
      </c>
      <c r="Q16">
        <v>108.1</v>
      </c>
      <c r="R16">
        <v>57</v>
      </c>
      <c r="S16">
        <v>97</v>
      </c>
      <c r="T16">
        <v>67</v>
      </c>
      <c r="U16">
        <v>-5.32</v>
      </c>
      <c r="V16">
        <v>283</v>
      </c>
    </row>
    <row r="17" spans="1:22" x14ac:dyDescent="0.25">
      <c r="A17">
        <f>COUNTIF('Value Matchup'!$D$356:$D$423,C17)</f>
        <v>0</v>
      </c>
      <c r="B17">
        <v>351</v>
      </c>
      <c r="C17" t="s">
        <v>126</v>
      </c>
      <c r="D17" t="s">
        <v>116</v>
      </c>
      <c r="E17" s="79" t="s">
        <v>598</v>
      </c>
      <c r="F17">
        <v>-22.66</v>
      </c>
      <c r="G17">
        <v>91.5</v>
      </c>
      <c r="H17">
        <v>335</v>
      </c>
      <c r="I17">
        <v>114.2</v>
      </c>
      <c r="J17">
        <v>355</v>
      </c>
      <c r="K17">
        <v>67.3</v>
      </c>
      <c r="L17">
        <v>239</v>
      </c>
      <c r="M17">
        <v>-8.5999999999999993E-2</v>
      </c>
      <c r="N17">
        <v>326</v>
      </c>
      <c r="O17">
        <v>-4.42</v>
      </c>
      <c r="P17">
        <v>266</v>
      </c>
      <c r="Q17">
        <v>96.9</v>
      </c>
      <c r="R17">
        <v>328</v>
      </c>
      <c r="S17">
        <v>101.4</v>
      </c>
      <c r="T17">
        <v>152</v>
      </c>
      <c r="U17">
        <v>15.23</v>
      </c>
      <c r="V17">
        <v>19</v>
      </c>
    </row>
    <row r="18" spans="1:22" x14ac:dyDescent="0.25">
      <c r="A18">
        <f>COUNTIF('Value Matchup'!$D$356:$D$423,C18)</f>
        <v>0</v>
      </c>
      <c r="B18">
        <v>251</v>
      </c>
      <c r="C18" t="s">
        <v>127</v>
      </c>
      <c r="D18" t="s">
        <v>123</v>
      </c>
      <c r="E18" s="79" t="s">
        <v>599</v>
      </c>
      <c r="F18">
        <v>-6.62</v>
      </c>
      <c r="G18">
        <v>99.7</v>
      </c>
      <c r="H18">
        <v>235</v>
      </c>
      <c r="I18">
        <v>106.3</v>
      </c>
      <c r="J18">
        <v>274</v>
      </c>
      <c r="K18">
        <v>67.900000000000006</v>
      </c>
      <c r="L18">
        <v>205</v>
      </c>
      <c r="M18">
        <v>-4.1000000000000002E-2</v>
      </c>
      <c r="N18">
        <v>269</v>
      </c>
      <c r="O18">
        <v>-4.21</v>
      </c>
      <c r="P18">
        <v>257</v>
      </c>
      <c r="Q18">
        <v>99</v>
      </c>
      <c r="R18">
        <v>286</v>
      </c>
      <c r="S18">
        <v>103.2</v>
      </c>
      <c r="T18">
        <v>220</v>
      </c>
      <c r="U18">
        <v>7.79</v>
      </c>
      <c r="V18">
        <v>85</v>
      </c>
    </row>
    <row r="19" spans="1:22" x14ac:dyDescent="0.25">
      <c r="A19">
        <f>COUNTIF('Value Matchup'!$D$356:$D$423,C19)</f>
        <v>0</v>
      </c>
      <c r="B19">
        <v>190</v>
      </c>
      <c r="C19" t="s">
        <v>128</v>
      </c>
      <c r="D19" t="s">
        <v>121</v>
      </c>
      <c r="E19" s="79" t="s">
        <v>600</v>
      </c>
      <c r="F19">
        <v>-1.1399999999999999</v>
      </c>
      <c r="G19">
        <v>99.4</v>
      </c>
      <c r="H19">
        <v>239</v>
      </c>
      <c r="I19">
        <v>100.5</v>
      </c>
      <c r="J19">
        <v>156</v>
      </c>
      <c r="K19">
        <v>68.400000000000006</v>
      </c>
      <c r="L19">
        <v>181</v>
      </c>
      <c r="M19">
        <v>4.8000000000000001E-2</v>
      </c>
      <c r="N19">
        <v>77</v>
      </c>
      <c r="O19">
        <v>-1.21</v>
      </c>
      <c r="P19">
        <v>199</v>
      </c>
      <c r="Q19">
        <v>102.8</v>
      </c>
      <c r="R19">
        <v>174</v>
      </c>
      <c r="S19">
        <v>104</v>
      </c>
      <c r="T19">
        <v>254</v>
      </c>
      <c r="U19">
        <v>3.19</v>
      </c>
      <c r="V19">
        <v>154</v>
      </c>
    </row>
    <row r="20" spans="1:22" x14ac:dyDescent="0.25">
      <c r="A20">
        <f>COUNTIF('Value Matchup'!$D$356:$D$423,C20)</f>
        <v>0</v>
      </c>
      <c r="B20">
        <v>63</v>
      </c>
      <c r="C20" t="s">
        <v>129</v>
      </c>
      <c r="D20" t="s">
        <v>114</v>
      </c>
      <c r="E20" s="79" t="s">
        <v>520</v>
      </c>
      <c r="F20">
        <v>14.42</v>
      </c>
      <c r="G20">
        <v>112.1</v>
      </c>
      <c r="H20">
        <v>37</v>
      </c>
      <c r="I20">
        <v>97.7</v>
      </c>
      <c r="J20">
        <v>102</v>
      </c>
      <c r="K20">
        <v>71.3</v>
      </c>
      <c r="L20">
        <v>55</v>
      </c>
      <c r="M20">
        <v>-4.3999999999999997E-2</v>
      </c>
      <c r="N20">
        <v>275</v>
      </c>
      <c r="O20">
        <v>13.95</v>
      </c>
      <c r="P20">
        <v>31</v>
      </c>
      <c r="Q20">
        <v>108.8</v>
      </c>
      <c r="R20">
        <v>45</v>
      </c>
      <c r="S20">
        <v>94.9</v>
      </c>
      <c r="T20">
        <v>22</v>
      </c>
      <c r="U20">
        <v>5.35</v>
      </c>
      <c r="V20">
        <v>121</v>
      </c>
    </row>
    <row r="21" spans="1:22" x14ac:dyDescent="0.25">
      <c r="A21">
        <f>COUNTIF('Value Matchup'!$D$356:$D$423,C21)</f>
        <v>0</v>
      </c>
      <c r="B21">
        <v>215</v>
      </c>
      <c r="C21" t="s">
        <v>130</v>
      </c>
      <c r="D21" t="s">
        <v>131</v>
      </c>
      <c r="E21" s="79" t="s">
        <v>521</v>
      </c>
      <c r="F21">
        <v>-3.35</v>
      </c>
      <c r="G21">
        <v>104.6</v>
      </c>
      <c r="H21">
        <v>135</v>
      </c>
      <c r="I21">
        <v>108</v>
      </c>
      <c r="J21">
        <v>302</v>
      </c>
      <c r="K21">
        <v>67.099999999999994</v>
      </c>
      <c r="L21">
        <v>248</v>
      </c>
      <c r="M21">
        <v>-7.0999999999999994E-2</v>
      </c>
      <c r="N21">
        <v>313</v>
      </c>
      <c r="O21">
        <v>-5.51</v>
      </c>
      <c r="P21">
        <v>292</v>
      </c>
      <c r="Q21">
        <v>98.4</v>
      </c>
      <c r="R21">
        <v>303</v>
      </c>
      <c r="S21">
        <v>103.9</v>
      </c>
      <c r="T21">
        <v>249</v>
      </c>
      <c r="U21">
        <v>-2.04</v>
      </c>
      <c r="V21">
        <v>242</v>
      </c>
    </row>
    <row r="22" spans="1:22" x14ac:dyDescent="0.25">
      <c r="A22">
        <f>COUNTIF('Value Matchup'!$D$356:$D$423,C22)</f>
        <v>0</v>
      </c>
      <c r="B22">
        <v>138</v>
      </c>
      <c r="C22" t="s">
        <v>132</v>
      </c>
      <c r="D22" t="s">
        <v>112</v>
      </c>
      <c r="E22" s="79" t="s">
        <v>601</v>
      </c>
      <c r="F22">
        <v>3.85</v>
      </c>
      <c r="G22">
        <v>104.3</v>
      </c>
      <c r="H22">
        <v>143</v>
      </c>
      <c r="I22">
        <v>100.4</v>
      </c>
      <c r="J22">
        <v>153</v>
      </c>
      <c r="K22">
        <v>71</v>
      </c>
      <c r="L22">
        <v>68</v>
      </c>
      <c r="M22">
        <v>-4.9000000000000002E-2</v>
      </c>
      <c r="N22">
        <v>285</v>
      </c>
      <c r="O22">
        <v>5.0199999999999996</v>
      </c>
      <c r="P22">
        <v>120</v>
      </c>
      <c r="Q22">
        <v>106.4</v>
      </c>
      <c r="R22">
        <v>89</v>
      </c>
      <c r="S22">
        <v>101.4</v>
      </c>
      <c r="T22">
        <v>154</v>
      </c>
      <c r="U22">
        <v>3.91</v>
      </c>
      <c r="V22">
        <v>147</v>
      </c>
    </row>
    <row r="23" spans="1:22" x14ac:dyDescent="0.25">
      <c r="A23">
        <f>COUNTIF('Value Matchup'!$D$356:$D$423,C23)</f>
        <v>1</v>
      </c>
      <c r="B23">
        <v>4</v>
      </c>
      <c r="C23" t="s">
        <v>46</v>
      </c>
      <c r="D23" t="s">
        <v>133</v>
      </c>
      <c r="E23" s="79" t="s">
        <v>522</v>
      </c>
      <c r="F23">
        <v>30.88</v>
      </c>
      <c r="G23">
        <v>124</v>
      </c>
      <c r="H23">
        <v>3</v>
      </c>
      <c r="I23">
        <v>93.1</v>
      </c>
      <c r="J23">
        <v>44</v>
      </c>
      <c r="K23">
        <v>68.400000000000006</v>
      </c>
      <c r="L23">
        <v>178</v>
      </c>
      <c r="M23">
        <v>0.05</v>
      </c>
      <c r="N23">
        <v>69</v>
      </c>
      <c r="O23">
        <v>9.5299999999999994</v>
      </c>
      <c r="P23">
        <v>77</v>
      </c>
      <c r="Q23">
        <v>106.5</v>
      </c>
      <c r="R23">
        <v>88</v>
      </c>
      <c r="S23">
        <v>96.9</v>
      </c>
      <c r="T23">
        <v>66</v>
      </c>
      <c r="U23">
        <v>-4.22</v>
      </c>
      <c r="V23">
        <v>270</v>
      </c>
    </row>
    <row r="24" spans="1:22" x14ac:dyDescent="0.25">
      <c r="A24">
        <f>COUNTIF('Value Matchup'!$D$356:$D$423,C24)</f>
        <v>0</v>
      </c>
      <c r="B24">
        <v>183</v>
      </c>
      <c r="C24" t="s">
        <v>523</v>
      </c>
      <c r="D24" t="s">
        <v>206</v>
      </c>
      <c r="E24" s="79" t="s">
        <v>524</v>
      </c>
      <c r="F24">
        <v>0.16</v>
      </c>
      <c r="G24">
        <v>108.1</v>
      </c>
      <c r="H24">
        <v>90</v>
      </c>
      <c r="I24">
        <v>107.9</v>
      </c>
      <c r="J24">
        <v>300</v>
      </c>
      <c r="K24">
        <v>64.7</v>
      </c>
      <c r="L24">
        <v>333</v>
      </c>
      <c r="M24">
        <v>-1.4E-2</v>
      </c>
      <c r="N24">
        <v>212</v>
      </c>
      <c r="O24">
        <v>-5.72</v>
      </c>
      <c r="P24">
        <v>296</v>
      </c>
      <c r="Q24">
        <v>99.3</v>
      </c>
      <c r="R24">
        <v>278</v>
      </c>
      <c r="S24">
        <v>105</v>
      </c>
      <c r="T24">
        <v>303</v>
      </c>
      <c r="U24">
        <v>7.16</v>
      </c>
      <c r="V24">
        <v>95</v>
      </c>
    </row>
    <row r="25" spans="1:22" x14ac:dyDescent="0.25">
      <c r="A25">
        <f>COUNTIF('Value Matchup'!$D$356:$D$423,C25)</f>
        <v>0</v>
      </c>
      <c r="B25">
        <v>104</v>
      </c>
      <c r="C25" t="s">
        <v>62</v>
      </c>
      <c r="D25" t="s">
        <v>131</v>
      </c>
      <c r="E25" s="79" t="s">
        <v>525</v>
      </c>
      <c r="F25">
        <v>9.19</v>
      </c>
      <c r="G25">
        <v>110.3</v>
      </c>
      <c r="H25">
        <v>61</v>
      </c>
      <c r="I25">
        <v>101.1</v>
      </c>
      <c r="J25">
        <v>167</v>
      </c>
      <c r="K25">
        <v>71.099999999999994</v>
      </c>
      <c r="L25">
        <v>65</v>
      </c>
      <c r="M25">
        <v>0.05</v>
      </c>
      <c r="N25">
        <v>71</v>
      </c>
      <c r="O25">
        <v>-5.97</v>
      </c>
      <c r="P25">
        <v>302</v>
      </c>
      <c r="Q25">
        <v>98.7</v>
      </c>
      <c r="R25">
        <v>295</v>
      </c>
      <c r="S25">
        <v>104.7</v>
      </c>
      <c r="T25">
        <v>287</v>
      </c>
      <c r="U25">
        <v>-6.21</v>
      </c>
      <c r="V25">
        <v>291</v>
      </c>
    </row>
    <row r="26" spans="1:22" x14ac:dyDescent="0.25">
      <c r="A26">
        <f>COUNTIF('Value Matchup'!$D$356:$D$423,C26)</f>
        <v>0</v>
      </c>
      <c r="B26">
        <v>349</v>
      </c>
      <c r="C26" t="s">
        <v>134</v>
      </c>
      <c r="D26" t="s">
        <v>135</v>
      </c>
      <c r="E26" s="79" t="s">
        <v>526</v>
      </c>
      <c r="F26">
        <v>-20.66</v>
      </c>
      <c r="G26">
        <v>91</v>
      </c>
      <c r="H26">
        <v>341</v>
      </c>
      <c r="I26">
        <v>111.6</v>
      </c>
      <c r="J26">
        <v>341</v>
      </c>
      <c r="K26">
        <v>72.5</v>
      </c>
      <c r="L26">
        <v>25</v>
      </c>
      <c r="M26">
        <v>0</v>
      </c>
      <c r="N26">
        <v>174</v>
      </c>
      <c r="O26">
        <v>-99</v>
      </c>
      <c r="P26">
        <v>348</v>
      </c>
      <c r="Q26">
        <v>0</v>
      </c>
      <c r="R26">
        <v>348</v>
      </c>
      <c r="S26">
        <v>200</v>
      </c>
      <c r="T26">
        <v>348</v>
      </c>
      <c r="U26">
        <v>-99</v>
      </c>
      <c r="V26">
        <v>331</v>
      </c>
    </row>
    <row r="27" spans="1:22" x14ac:dyDescent="0.25">
      <c r="A27">
        <f>COUNTIF('Value Matchup'!$D$356:$D$423,C27)</f>
        <v>0</v>
      </c>
      <c r="B27">
        <v>322</v>
      </c>
      <c r="C27" t="s">
        <v>136</v>
      </c>
      <c r="D27" t="s">
        <v>118</v>
      </c>
      <c r="E27" s="79" t="s">
        <v>593</v>
      </c>
      <c r="F27">
        <v>-13.5</v>
      </c>
      <c r="G27">
        <v>97.9</v>
      </c>
      <c r="H27">
        <v>263</v>
      </c>
      <c r="I27">
        <v>111.4</v>
      </c>
      <c r="J27">
        <v>339</v>
      </c>
      <c r="K27">
        <v>66.3</v>
      </c>
      <c r="L27">
        <v>287</v>
      </c>
      <c r="M27">
        <v>-9.5000000000000001E-2</v>
      </c>
      <c r="N27">
        <v>338</v>
      </c>
      <c r="O27">
        <v>-4.1399999999999997</v>
      </c>
      <c r="P27">
        <v>256</v>
      </c>
      <c r="Q27">
        <v>98.3</v>
      </c>
      <c r="R27">
        <v>306</v>
      </c>
      <c r="S27">
        <v>102.5</v>
      </c>
      <c r="T27">
        <v>188</v>
      </c>
      <c r="U27">
        <v>-8.1199999999999992</v>
      </c>
      <c r="V27">
        <v>306</v>
      </c>
    </row>
    <row r="28" spans="1:22" x14ac:dyDescent="0.25">
      <c r="A28">
        <f>COUNTIF('Value Matchup'!$D$356:$D$423,C28)</f>
        <v>0</v>
      </c>
      <c r="B28">
        <v>60</v>
      </c>
      <c r="C28" t="s">
        <v>137</v>
      </c>
      <c r="D28" t="s">
        <v>110</v>
      </c>
      <c r="E28" s="79" t="s">
        <v>527</v>
      </c>
      <c r="F28">
        <v>14.92</v>
      </c>
      <c r="G28">
        <v>109.9</v>
      </c>
      <c r="H28">
        <v>68</v>
      </c>
      <c r="I28">
        <v>95</v>
      </c>
      <c r="J28">
        <v>63</v>
      </c>
      <c r="K28">
        <v>69.400000000000006</v>
      </c>
      <c r="L28">
        <v>126</v>
      </c>
      <c r="M28">
        <v>-2.4E-2</v>
      </c>
      <c r="N28">
        <v>232</v>
      </c>
      <c r="O28">
        <v>4.91</v>
      </c>
      <c r="P28">
        <v>123</v>
      </c>
      <c r="Q28">
        <v>104.9</v>
      </c>
      <c r="R28">
        <v>121</v>
      </c>
      <c r="S28">
        <v>100</v>
      </c>
      <c r="T28">
        <v>130</v>
      </c>
      <c r="U28">
        <v>14.47</v>
      </c>
      <c r="V28">
        <v>23</v>
      </c>
    </row>
    <row r="29" spans="1:22" x14ac:dyDescent="0.25">
      <c r="A29">
        <f>COUNTIF('Value Matchup'!$D$356:$D$423,C29)</f>
        <v>0</v>
      </c>
      <c r="B29">
        <v>143</v>
      </c>
      <c r="C29" t="s">
        <v>138</v>
      </c>
      <c r="D29" t="s">
        <v>139</v>
      </c>
      <c r="E29" s="79" t="s">
        <v>602</v>
      </c>
      <c r="F29">
        <v>3.2</v>
      </c>
      <c r="G29">
        <v>105.7</v>
      </c>
      <c r="H29">
        <v>122</v>
      </c>
      <c r="I29">
        <v>102.5</v>
      </c>
      <c r="J29">
        <v>198</v>
      </c>
      <c r="K29">
        <v>71.099999999999994</v>
      </c>
      <c r="L29">
        <v>61</v>
      </c>
      <c r="M29">
        <v>-9.7000000000000003E-2</v>
      </c>
      <c r="N29">
        <v>339</v>
      </c>
      <c r="O29">
        <v>13.73</v>
      </c>
      <c r="P29">
        <v>33</v>
      </c>
      <c r="Q29">
        <v>110.5</v>
      </c>
      <c r="R29">
        <v>17</v>
      </c>
      <c r="S29">
        <v>96.8</v>
      </c>
      <c r="T29">
        <v>61</v>
      </c>
      <c r="U29">
        <v>12.91</v>
      </c>
      <c r="V29">
        <v>33</v>
      </c>
    </row>
    <row r="30" spans="1:22" x14ac:dyDescent="0.25">
      <c r="A30">
        <f>COUNTIF('Value Matchup'!$D$356:$D$423,C30)</f>
        <v>0</v>
      </c>
      <c r="B30">
        <v>255</v>
      </c>
      <c r="C30" t="s">
        <v>140</v>
      </c>
      <c r="D30" t="s">
        <v>121</v>
      </c>
      <c r="E30" s="79" t="s">
        <v>603</v>
      </c>
      <c r="F30">
        <v>-6.95</v>
      </c>
      <c r="G30">
        <v>101.2</v>
      </c>
      <c r="H30">
        <v>207</v>
      </c>
      <c r="I30">
        <v>108.2</v>
      </c>
      <c r="J30">
        <v>307</v>
      </c>
      <c r="K30">
        <v>65.900000000000006</v>
      </c>
      <c r="L30">
        <v>304</v>
      </c>
      <c r="M30">
        <v>8.0000000000000002E-3</v>
      </c>
      <c r="N30">
        <v>153</v>
      </c>
      <c r="O30">
        <v>-2.02</v>
      </c>
      <c r="P30">
        <v>214</v>
      </c>
      <c r="Q30">
        <v>102.3</v>
      </c>
      <c r="R30">
        <v>186</v>
      </c>
      <c r="S30">
        <v>104.4</v>
      </c>
      <c r="T30">
        <v>271</v>
      </c>
      <c r="U30">
        <v>-99</v>
      </c>
      <c r="V30">
        <v>331</v>
      </c>
    </row>
    <row r="31" spans="1:22" x14ac:dyDescent="0.25">
      <c r="A31">
        <f>COUNTIF('Value Matchup'!$D$356:$D$423,C31)</f>
        <v>0</v>
      </c>
      <c r="B31">
        <v>121</v>
      </c>
      <c r="C31" t="s">
        <v>141</v>
      </c>
      <c r="D31" t="s">
        <v>112</v>
      </c>
      <c r="E31" s="79" t="s">
        <v>528</v>
      </c>
      <c r="F31">
        <v>6.55</v>
      </c>
      <c r="G31">
        <v>107.9</v>
      </c>
      <c r="H31">
        <v>94</v>
      </c>
      <c r="I31">
        <v>101.4</v>
      </c>
      <c r="J31">
        <v>179</v>
      </c>
      <c r="K31">
        <v>70.400000000000006</v>
      </c>
      <c r="L31">
        <v>88</v>
      </c>
      <c r="M31">
        <v>-1.7999999999999999E-2</v>
      </c>
      <c r="N31">
        <v>221</v>
      </c>
      <c r="O31">
        <v>4.38</v>
      </c>
      <c r="P31">
        <v>128</v>
      </c>
      <c r="Q31">
        <v>105.9</v>
      </c>
      <c r="R31">
        <v>95</v>
      </c>
      <c r="S31">
        <v>101.5</v>
      </c>
      <c r="T31">
        <v>155</v>
      </c>
      <c r="U31">
        <v>1.79</v>
      </c>
      <c r="V31">
        <v>185</v>
      </c>
    </row>
    <row r="32" spans="1:22" x14ac:dyDescent="0.25">
      <c r="A32">
        <f>COUNTIF('Value Matchup'!$D$356:$D$423,C32)</f>
        <v>0</v>
      </c>
      <c r="B32">
        <v>141</v>
      </c>
      <c r="C32" t="s">
        <v>142</v>
      </c>
      <c r="D32" t="s">
        <v>143</v>
      </c>
      <c r="E32" s="79" t="s">
        <v>604</v>
      </c>
      <c r="F32">
        <v>3.43</v>
      </c>
      <c r="G32">
        <v>104.2</v>
      </c>
      <c r="H32">
        <v>147</v>
      </c>
      <c r="I32">
        <v>100.7</v>
      </c>
      <c r="J32">
        <v>158</v>
      </c>
      <c r="K32">
        <v>66.2</v>
      </c>
      <c r="L32">
        <v>290</v>
      </c>
      <c r="M32">
        <v>-8.5999999999999993E-2</v>
      </c>
      <c r="N32">
        <v>325</v>
      </c>
      <c r="O32">
        <v>5.57</v>
      </c>
      <c r="P32">
        <v>114</v>
      </c>
      <c r="Q32">
        <v>105.3</v>
      </c>
      <c r="R32">
        <v>109</v>
      </c>
      <c r="S32">
        <v>99.7</v>
      </c>
      <c r="T32">
        <v>125</v>
      </c>
      <c r="U32">
        <v>5.95</v>
      </c>
      <c r="V32">
        <v>107</v>
      </c>
    </row>
    <row r="33" spans="1:22" x14ac:dyDescent="0.25">
      <c r="A33">
        <f>COUNTIF('Value Matchup'!$D$356:$D$423,C33)</f>
        <v>0</v>
      </c>
      <c r="B33">
        <v>244</v>
      </c>
      <c r="C33" t="s">
        <v>144</v>
      </c>
      <c r="D33" t="s">
        <v>145</v>
      </c>
      <c r="E33" s="79" t="s">
        <v>526</v>
      </c>
      <c r="F33">
        <v>-5.83</v>
      </c>
      <c r="G33">
        <v>96</v>
      </c>
      <c r="H33">
        <v>289</v>
      </c>
      <c r="I33">
        <v>101.9</v>
      </c>
      <c r="J33">
        <v>183</v>
      </c>
      <c r="K33">
        <v>69.900000000000006</v>
      </c>
      <c r="L33">
        <v>106</v>
      </c>
      <c r="M33">
        <v>0</v>
      </c>
      <c r="N33">
        <v>174</v>
      </c>
      <c r="O33">
        <v>-99</v>
      </c>
      <c r="P33">
        <v>348</v>
      </c>
      <c r="Q33">
        <v>0</v>
      </c>
      <c r="R33">
        <v>348</v>
      </c>
      <c r="S33">
        <v>200</v>
      </c>
      <c r="T33">
        <v>348</v>
      </c>
      <c r="U33">
        <v>-99</v>
      </c>
      <c r="V33">
        <v>331</v>
      </c>
    </row>
    <row r="34" spans="1:22" x14ac:dyDescent="0.25">
      <c r="A34">
        <f>COUNTIF('Value Matchup'!$D$356:$D$423,C34)</f>
        <v>0</v>
      </c>
      <c r="B34">
        <v>174</v>
      </c>
      <c r="C34" t="s">
        <v>146</v>
      </c>
      <c r="D34" t="s">
        <v>147</v>
      </c>
      <c r="E34" s="79" t="s">
        <v>529</v>
      </c>
      <c r="F34">
        <v>1.1200000000000001</v>
      </c>
      <c r="G34">
        <v>104.4</v>
      </c>
      <c r="H34">
        <v>139</v>
      </c>
      <c r="I34">
        <v>103.3</v>
      </c>
      <c r="J34">
        <v>210</v>
      </c>
      <c r="K34">
        <v>73.599999999999994</v>
      </c>
      <c r="L34">
        <v>14</v>
      </c>
      <c r="M34">
        <v>-3.9E-2</v>
      </c>
      <c r="N34">
        <v>261</v>
      </c>
      <c r="O34">
        <v>-7.58</v>
      </c>
      <c r="P34">
        <v>325</v>
      </c>
      <c r="Q34">
        <v>98.3</v>
      </c>
      <c r="R34">
        <v>307</v>
      </c>
      <c r="S34">
        <v>105.9</v>
      </c>
      <c r="T34">
        <v>329</v>
      </c>
      <c r="U34">
        <v>4.53</v>
      </c>
      <c r="V34">
        <v>132</v>
      </c>
    </row>
    <row r="35" spans="1:22" x14ac:dyDescent="0.25">
      <c r="A35">
        <f>COUNTIF('Value Matchup'!$D$356:$D$423,C35)</f>
        <v>0</v>
      </c>
      <c r="B35">
        <v>275</v>
      </c>
      <c r="C35" t="s">
        <v>148</v>
      </c>
      <c r="D35" t="s">
        <v>121</v>
      </c>
      <c r="E35" s="79" t="s">
        <v>605</v>
      </c>
      <c r="F35">
        <v>-8.7899999999999991</v>
      </c>
      <c r="G35">
        <v>98.1</v>
      </c>
      <c r="H35">
        <v>258</v>
      </c>
      <c r="I35">
        <v>106.9</v>
      </c>
      <c r="J35">
        <v>286</v>
      </c>
      <c r="K35">
        <v>72.2</v>
      </c>
      <c r="L35">
        <v>31</v>
      </c>
      <c r="M35">
        <v>-1.7999999999999999E-2</v>
      </c>
      <c r="N35">
        <v>223</v>
      </c>
      <c r="O35">
        <v>-6.85</v>
      </c>
      <c r="P35">
        <v>316</v>
      </c>
      <c r="Q35">
        <v>99.8</v>
      </c>
      <c r="R35">
        <v>265</v>
      </c>
      <c r="S35">
        <v>106.6</v>
      </c>
      <c r="T35">
        <v>341</v>
      </c>
      <c r="U35">
        <v>-99</v>
      </c>
      <c r="V35">
        <v>331</v>
      </c>
    </row>
    <row r="36" spans="1:22" x14ac:dyDescent="0.25">
      <c r="A36">
        <f>COUNTIF('Value Matchup'!$D$356:$D$423,C36)</f>
        <v>0</v>
      </c>
      <c r="B36">
        <v>68</v>
      </c>
      <c r="C36" t="s">
        <v>30</v>
      </c>
      <c r="D36" t="s">
        <v>112</v>
      </c>
      <c r="E36" s="79" t="s">
        <v>530</v>
      </c>
      <c r="F36">
        <v>13.75</v>
      </c>
      <c r="G36">
        <v>108</v>
      </c>
      <c r="H36">
        <v>92</v>
      </c>
      <c r="I36">
        <v>94.3</v>
      </c>
      <c r="J36">
        <v>56</v>
      </c>
      <c r="K36">
        <v>73.599999999999994</v>
      </c>
      <c r="L36">
        <v>13</v>
      </c>
      <c r="M36">
        <v>-0.08</v>
      </c>
      <c r="N36">
        <v>321</v>
      </c>
      <c r="O36">
        <v>3.28</v>
      </c>
      <c r="P36">
        <v>143</v>
      </c>
      <c r="Q36">
        <v>105.8</v>
      </c>
      <c r="R36">
        <v>98</v>
      </c>
      <c r="S36">
        <v>102.6</v>
      </c>
      <c r="T36">
        <v>191</v>
      </c>
      <c r="U36">
        <v>2.42</v>
      </c>
      <c r="V36">
        <v>170</v>
      </c>
    </row>
    <row r="37" spans="1:22" x14ac:dyDescent="0.25">
      <c r="A37">
        <f>COUNTIF('Value Matchup'!$D$356:$D$423,C37)</f>
        <v>0</v>
      </c>
      <c r="B37">
        <v>116</v>
      </c>
      <c r="C37" t="s">
        <v>33</v>
      </c>
      <c r="D37" t="s">
        <v>149</v>
      </c>
      <c r="E37" s="79" t="s">
        <v>606</v>
      </c>
      <c r="F37">
        <v>7.33</v>
      </c>
      <c r="G37">
        <v>103.5</v>
      </c>
      <c r="H37">
        <v>164</v>
      </c>
      <c r="I37">
        <v>96.2</v>
      </c>
      <c r="J37">
        <v>80</v>
      </c>
      <c r="K37">
        <v>64.900000000000006</v>
      </c>
      <c r="L37">
        <v>330</v>
      </c>
      <c r="M37">
        <v>6.9000000000000006E-2</v>
      </c>
      <c r="N37">
        <v>43</v>
      </c>
      <c r="O37">
        <v>14.65</v>
      </c>
      <c r="P37">
        <v>21</v>
      </c>
      <c r="Q37">
        <v>109.9</v>
      </c>
      <c r="R37">
        <v>24</v>
      </c>
      <c r="S37">
        <v>95.3</v>
      </c>
      <c r="T37">
        <v>27</v>
      </c>
      <c r="U37">
        <v>-0.45</v>
      </c>
      <c r="V37">
        <v>216</v>
      </c>
    </row>
    <row r="38" spans="1:22" x14ac:dyDescent="0.25">
      <c r="A38">
        <f>COUNTIF('Value Matchup'!$D$356:$D$423,C38)</f>
        <v>1</v>
      </c>
      <c r="B38">
        <v>23</v>
      </c>
      <c r="C38" t="s">
        <v>72</v>
      </c>
      <c r="D38" t="s">
        <v>150</v>
      </c>
      <c r="E38" s="79" t="s">
        <v>531</v>
      </c>
      <c r="F38">
        <v>22.34</v>
      </c>
      <c r="G38">
        <v>113.9</v>
      </c>
      <c r="H38">
        <v>28</v>
      </c>
      <c r="I38">
        <v>91.5</v>
      </c>
      <c r="J38">
        <v>26</v>
      </c>
      <c r="K38">
        <v>68</v>
      </c>
      <c r="L38">
        <v>199</v>
      </c>
      <c r="M38">
        <v>4.4999999999999998E-2</v>
      </c>
      <c r="N38">
        <v>84</v>
      </c>
      <c r="O38">
        <v>10.25</v>
      </c>
      <c r="P38">
        <v>72</v>
      </c>
      <c r="Q38">
        <v>107.8</v>
      </c>
      <c r="R38">
        <v>64</v>
      </c>
      <c r="S38">
        <v>97.6</v>
      </c>
      <c r="T38">
        <v>83</v>
      </c>
      <c r="U38">
        <v>8.65</v>
      </c>
      <c r="V38">
        <v>73</v>
      </c>
    </row>
    <row r="39" spans="1:22" x14ac:dyDescent="0.25">
      <c r="A39">
        <f>COUNTIF('Value Matchup'!$D$356:$D$423,C39)</f>
        <v>0</v>
      </c>
      <c r="B39">
        <v>243</v>
      </c>
      <c r="C39" t="s">
        <v>487</v>
      </c>
      <c r="D39" t="s">
        <v>154</v>
      </c>
      <c r="E39" s="79" t="s">
        <v>532</v>
      </c>
      <c r="F39">
        <v>-5.77</v>
      </c>
      <c r="G39">
        <v>104.5</v>
      </c>
      <c r="H39">
        <v>138</v>
      </c>
      <c r="I39">
        <v>110.3</v>
      </c>
      <c r="J39">
        <v>329</v>
      </c>
      <c r="K39">
        <v>70.900000000000006</v>
      </c>
      <c r="L39">
        <v>77</v>
      </c>
      <c r="M39">
        <v>-1.6E-2</v>
      </c>
      <c r="N39">
        <v>216</v>
      </c>
      <c r="O39">
        <v>-5.83</v>
      </c>
      <c r="P39">
        <v>299</v>
      </c>
      <c r="Q39">
        <v>98.9</v>
      </c>
      <c r="R39">
        <v>288</v>
      </c>
      <c r="S39">
        <v>104.7</v>
      </c>
      <c r="T39">
        <v>289</v>
      </c>
      <c r="U39">
        <v>-10.19</v>
      </c>
      <c r="V39">
        <v>314</v>
      </c>
    </row>
    <row r="40" spans="1:22" x14ac:dyDescent="0.25">
      <c r="A40">
        <f>COUNTIF('Value Matchup'!$D$356:$D$423,C40)</f>
        <v>0</v>
      </c>
      <c r="B40">
        <v>334</v>
      </c>
      <c r="C40" t="s">
        <v>151</v>
      </c>
      <c r="D40" t="s">
        <v>152</v>
      </c>
      <c r="E40" s="79" t="s">
        <v>607</v>
      </c>
      <c r="F40">
        <v>-15.46</v>
      </c>
      <c r="G40">
        <v>90.1</v>
      </c>
      <c r="H40">
        <v>346</v>
      </c>
      <c r="I40">
        <v>105.6</v>
      </c>
      <c r="J40">
        <v>264</v>
      </c>
      <c r="K40">
        <v>67.099999999999994</v>
      </c>
      <c r="L40">
        <v>246</v>
      </c>
      <c r="M40">
        <v>1.4999999999999999E-2</v>
      </c>
      <c r="N40">
        <v>143</v>
      </c>
      <c r="O40">
        <v>1.26</v>
      </c>
      <c r="P40">
        <v>163</v>
      </c>
      <c r="Q40">
        <v>102.2</v>
      </c>
      <c r="R40">
        <v>193</v>
      </c>
      <c r="S40">
        <v>100.9</v>
      </c>
      <c r="T40">
        <v>139</v>
      </c>
      <c r="U40">
        <v>-1.1599999999999999</v>
      </c>
      <c r="V40">
        <v>230</v>
      </c>
    </row>
    <row r="41" spans="1:22" x14ac:dyDescent="0.25">
      <c r="A41">
        <f>COUNTIF('Value Matchup'!$D$356:$D$423,C41)</f>
        <v>0</v>
      </c>
      <c r="B41">
        <v>142</v>
      </c>
      <c r="C41" t="s">
        <v>153</v>
      </c>
      <c r="D41" t="s">
        <v>152</v>
      </c>
      <c r="E41" s="79" t="s">
        <v>533</v>
      </c>
      <c r="F41">
        <v>3.34</v>
      </c>
      <c r="G41">
        <v>104.5</v>
      </c>
      <c r="H41">
        <v>137</v>
      </c>
      <c r="I41">
        <v>101.2</v>
      </c>
      <c r="J41">
        <v>171</v>
      </c>
      <c r="K41">
        <v>64</v>
      </c>
      <c r="L41">
        <v>344</v>
      </c>
      <c r="M41">
        <v>-2.4E-2</v>
      </c>
      <c r="N41">
        <v>231</v>
      </c>
      <c r="O41">
        <v>-0.21</v>
      </c>
      <c r="P41">
        <v>180</v>
      </c>
      <c r="Q41">
        <v>101.8</v>
      </c>
      <c r="R41">
        <v>203</v>
      </c>
      <c r="S41">
        <v>102</v>
      </c>
      <c r="T41">
        <v>171</v>
      </c>
      <c r="U41">
        <v>1.48</v>
      </c>
      <c r="V41">
        <v>189</v>
      </c>
    </row>
    <row r="42" spans="1:22" x14ac:dyDescent="0.25">
      <c r="A42">
        <f>COUNTIF('Value Matchup'!$D$356:$D$423,C42)</f>
        <v>0</v>
      </c>
      <c r="B42">
        <v>259</v>
      </c>
      <c r="C42" t="s">
        <v>155</v>
      </c>
      <c r="D42" t="s">
        <v>152</v>
      </c>
      <c r="E42" s="79" t="s">
        <v>608</v>
      </c>
      <c r="F42">
        <v>-7.47</v>
      </c>
      <c r="G42">
        <v>101.7</v>
      </c>
      <c r="H42">
        <v>195</v>
      </c>
      <c r="I42">
        <v>109.2</v>
      </c>
      <c r="J42">
        <v>316</v>
      </c>
      <c r="K42">
        <v>72.099999999999994</v>
      </c>
      <c r="L42">
        <v>37</v>
      </c>
      <c r="M42">
        <v>-4.3999999999999997E-2</v>
      </c>
      <c r="N42">
        <v>274</v>
      </c>
      <c r="O42">
        <v>-1.59</v>
      </c>
      <c r="P42">
        <v>207</v>
      </c>
      <c r="Q42">
        <v>101.4</v>
      </c>
      <c r="R42">
        <v>216</v>
      </c>
      <c r="S42">
        <v>103</v>
      </c>
      <c r="T42">
        <v>210</v>
      </c>
      <c r="U42">
        <v>-2.58</v>
      </c>
      <c r="V42">
        <v>251</v>
      </c>
    </row>
    <row r="43" spans="1:22" x14ac:dyDescent="0.25">
      <c r="A43">
        <f>COUNTIF('Value Matchup'!$D$356:$D$423,C43)</f>
        <v>0</v>
      </c>
      <c r="B43">
        <v>273</v>
      </c>
      <c r="C43" t="s">
        <v>156</v>
      </c>
      <c r="D43" t="s">
        <v>152</v>
      </c>
      <c r="E43" s="79" t="s">
        <v>609</v>
      </c>
      <c r="F43">
        <v>-8.69</v>
      </c>
      <c r="G43">
        <v>101.6</v>
      </c>
      <c r="H43">
        <v>200</v>
      </c>
      <c r="I43">
        <v>110.2</v>
      </c>
      <c r="J43">
        <v>328</v>
      </c>
      <c r="K43">
        <v>70.5</v>
      </c>
      <c r="L43">
        <v>87</v>
      </c>
      <c r="M43">
        <v>5.8999999999999997E-2</v>
      </c>
      <c r="N43">
        <v>54</v>
      </c>
      <c r="O43">
        <v>-0.75</v>
      </c>
      <c r="P43">
        <v>190</v>
      </c>
      <c r="Q43">
        <v>101.3</v>
      </c>
      <c r="R43">
        <v>219</v>
      </c>
      <c r="S43">
        <v>102.1</v>
      </c>
      <c r="T43">
        <v>176</v>
      </c>
      <c r="U43">
        <v>1.46</v>
      </c>
      <c r="V43">
        <v>190</v>
      </c>
    </row>
    <row r="44" spans="1:22" ht="16.5" customHeight="1" x14ac:dyDescent="0.25">
      <c r="A44">
        <f>COUNTIF('Value Matchup'!$D$356:$D$423,C44)</f>
        <v>0</v>
      </c>
      <c r="B44">
        <v>136</v>
      </c>
      <c r="C44" t="s">
        <v>84</v>
      </c>
      <c r="D44" t="s">
        <v>124</v>
      </c>
      <c r="E44" s="79" t="s">
        <v>610</v>
      </c>
      <c r="F44">
        <v>4</v>
      </c>
      <c r="G44">
        <v>104.1</v>
      </c>
      <c r="H44">
        <v>150</v>
      </c>
      <c r="I44">
        <v>100.1</v>
      </c>
      <c r="J44">
        <v>143</v>
      </c>
      <c r="K44">
        <v>65.099999999999994</v>
      </c>
      <c r="L44">
        <v>320</v>
      </c>
      <c r="M44">
        <v>-6.7000000000000004E-2</v>
      </c>
      <c r="N44">
        <v>308</v>
      </c>
      <c r="O44">
        <v>11.15</v>
      </c>
      <c r="P44">
        <v>61</v>
      </c>
      <c r="Q44">
        <v>108.4</v>
      </c>
      <c r="R44">
        <v>52</v>
      </c>
      <c r="S44">
        <v>97.3</v>
      </c>
      <c r="T44">
        <v>77</v>
      </c>
      <c r="U44">
        <v>0.83</v>
      </c>
      <c r="V44">
        <v>198</v>
      </c>
    </row>
    <row r="45" spans="1:22" ht="15.75" customHeight="1" x14ac:dyDescent="0.25">
      <c r="A45">
        <f>COUNTIF('Value Matchup'!$D$356:$D$423,C45)</f>
        <v>0</v>
      </c>
      <c r="B45">
        <v>208</v>
      </c>
      <c r="C45" t="s">
        <v>157</v>
      </c>
      <c r="D45" t="s">
        <v>158</v>
      </c>
      <c r="E45" s="79" t="s">
        <v>534</v>
      </c>
      <c r="F45">
        <v>-2.87</v>
      </c>
      <c r="G45">
        <v>103.7</v>
      </c>
      <c r="H45">
        <v>161</v>
      </c>
      <c r="I45">
        <v>106.6</v>
      </c>
      <c r="J45">
        <v>278</v>
      </c>
      <c r="K45">
        <v>64.2</v>
      </c>
      <c r="L45">
        <v>339</v>
      </c>
      <c r="M45">
        <v>6.4000000000000001E-2</v>
      </c>
      <c r="N45">
        <v>48</v>
      </c>
      <c r="O45">
        <v>-5.33</v>
      </c>
      <c r="P45">
        <v>287</v>
      </c>
      <c r="Q45">
        <v>98.9</v>
      </c>
      <c r="R45">
        <v>290</v>
      </c>
      <c r="S45">
        <v>104.2</v>
      </c>
      <c r="T45">
        <v>261</v>
      </c>
      <c r="U45">
        <v>-2.2599999999999998</v>
      </c>
      <c r="V45">
        <v>248</v>
      </c>
    </row>
    <row r="46" spans="1:22" x14ac:dyDescent="0.25">
      <c r="A46">
        <f>COUNTIF('Value Matchup'!$D$356:$D$423,C46)</f>
        <v>0</v>
      </c>
      <c r="B46">
        <v>250</v>
      </c>
      <c r="C46" t="s">
        <v>159</v>
      </c>
      <c r="D46" t="s">
        <v>160</v>
      </c>
      <c r="E46" s="79" t="s">
        <v>611</v>
      </c>
      <c r="F46">
        <v>-6.09</v>
      </c>
      <c r="G46">
        <v>99.9</v>
      </c>
      <c r="H46">
        <v>232</v>
      </c>
      <c r="I46">
        <v>106</v>
      </c>
      <c r="J46">
        <v>270</v>
      </c>
      <c r="K46">
        <v>70.900000000000006</v>
      </c>
      <c r="L46">
        <v>75</v>
      </c>
      <c r="M46">
        <v>5.8000000000000003E-2</v>
      </c>
      <c r="N46">
        <v>55</v>
      </c>
      <c r="O46">
        <v>-5.73</v>
      </c>
      <c r="P46">
        <v>297</v>
      </c>
      <c r="Q46">
        <v>95.8</v>
      </c>
      <c r="R46">
        <v>339</v>
      </c>
      <c r="S46">
        <v>101.5</v>
      </c>
      <c r="T46">
        <v>157</v>
      </c>
      <c r="U46">
        <v>-99</v>
      </c>
      <c r="V46">
        <v>331</v>
      </c>
    </row>
    <row r="47" spans="1:22" x14ac:dyDescent="0.25">
      <c r="A47">
        <f>COUNTIF('Value Matchup'!$D$356:$D$423,C47)</f>
        <v>0</v>
      </c>
      <c r="B47">
        <v>332</v>
      </c>
      <c r="C47" t="s">
        <v>161</v>
      </c>
      <c r="D47" t="s">
        <v>108</v>
      </c>
      <c r="E47" s="79" t="s">
        <v>612</v>
      </c>
      <c r="F47">
        <v>-15.19</v>
      </c>
      <c r="G47">
        <v>97.9</v>
      </c>
      <c r="H47">
        <v>265</v>
      </c>
      <c r="I47">
        <v>113</v>
      </c>
      <c r="J47">
        <v>350</v>
      </c>
      <c r="K47">
        <v>71.2</v>
      </c>
      <c r="L47">
        <v>59</v>
      </c>
      <c r="M47">
        <v>-1.7999999999999999E-2</v>
      </c>
      <c r="N47">
        <v>222</v>
      </c>
      <c r="O47">
        <v>1.06</v>
      </c>
      <c r="P47">
        <v>165</v>
      </c>
      <c r="Q47">
        <v>102.4</v>
      </c>
      <c r="R47">
        <v>182</v>
      </c>
      <c r="S47">
        <v>101.4</v>
      </c>
      <c r="T47">
        <v>153</v>
      </c>
      <c r="U47">
        <v>19.89</v>
      </c>
      <c r="V47">
        <v>8</v>
      </c>
    </row>
    <row r="48" spans="1:22" x14ac:dyDescent="0.25">
      <c r="A48">
        <f>COUNTIF('Value Matchup'!$D$356:$D$423,C48)</f>
        <v>0</v>
      </c>
      <c r="B48">
        <v>339</v>
      </c>
      <c r="C48" t="s">
        <v>162</v>
      </c>
      <c r="D48" t="s">
        <v>147</v>
      </c>
      <c r="E48" s="79" t="s">
        <v>613</v>
      </c>
      <c r="F48">
        <v>-16.95</v>
      </c>
      <c r="G48">
        <v>93.6</v>
      </c>
      <c r="H48">
        <v>315</v>
      </c>
      <c r="I48">
        <v>110.6</v>
      </c>
      <c r="J48">
        <v>333</v>
      </c>
      <c r="K48">
        <v>70.599999999999994</v>
      </c>
      <c r="L48">
        <v>83</v>
      </c>
      <c r="M48">
        <v>3.0000000000000001E-3</v>
      </c>
      <c r="N48">
        <v>165</v>
      </c>
      <c r="O48">
        <v>-5.65</v>
      </c>
      <c r="P48">
        <v>295</v>
      </c>
      <c r="Q48">
        <v>99.2</v>
      </c>
      <c r="R48">
        <v>280</v>
      </c>
      <c r="S48">
        <v>104.9</v>
      </c>
      <c r="T48">
        <v>298</v>
      </c>
      <c r="U48">
        <v>8.1300000000000008</v>
      </c>
      <c r="V48">
        <v>81</v>
      </c>
    </row>
    <row r="49" spans="1:22" x14ac:dyDescent="0.25">
      <c r="A49">
        <f>COUNTIF('Value Matchup'!$D$356:$D$423,C49)</f>
        <v>0</v>
      </c>
      <c r="B49">
        <v>274</v>
      </c>
      <c r="C49" t="s">
        <v>163</v>
      </c>
      <c r="D49" t="s">
        <v>112</v>
      </c>
      <c r="E49" s="79" t="s">
        <v>614</v>
      </c>
      <c r="F49">
        <v>-8.7799999999999994</v>
      </c>
      <c r="G49">
        <v>101.2</v>
      </c>
      <c r="H49">
        <v>209</v>
      </c>
      <c r="I49">
        <v>109.9</v>
      </c>
      <c r="J49">
        <v>324</v>
      </c>
      <c r="K49">
        <v>72.400000000000006</v>
      </c>
      <c r="L49">
        <v>27</v>
      </c>
      <c r="M49">
        <v>-4.5999999999999999E-2</v>
      </c>
      <c r="N49">
        <v>277</v>
      </c>
      <c r="O49">
        <v>1.5</v>
      </c>
      <c r="P49">
        <v>162</v>
      </c>
      <c r="Q49">
        <v>103.9</v>
      </c>
      <c r="R49">
        <v>147</v>
      </c>
      <c r="S49">
        <v>102.4</v>
      </c>
      <c r="T49">
        <v>186</v>
      </c>
      <c r="U49">
        <v>-6.47</v>
      </c>
      <c r="V49">
        <v>297</v>
      </c>
    </row>
    <row r="50" spans="1:22" x14ac:dyDescent="0.25">
      <c r="A50">
        <f>COUNTIF('Value Matchup'!$D$356:$D$423,C50)</f>
        <v>0</v>
      </c>
      <c r="B50">
        <v>226</v>
      </c>
      <c r="C50" t="s">
        <v>488</v>
      </c>
      <c r="D50" t="s">
        <v>175</v>
      </c>
      <c r="E50" s="79" t="s">
        <v>615</v>
      </c>
      <c r="F50">
        <v>-4.3899999999999997</v>
      </c>
      <c r="G50">
        <v>103.1</v>
      </c>
      <c r="H50">
        <v>168</v>
      </c>
      <c r="I50">
        <v>107.5</v>
      </c>
      <c r="J50">
        <v>293</v>
      </c>
      <c r="K50">
        <v>63.9</v>
      </c>
      <c r="L50">
        <v>345</v>
      </c>
      <c r="M50">
        <v>-0.03</v>
      </c>
      <c r="N50">
        <v>244</v>
      </c>
      <c r="O50">
        <v>-1.96</v>
      </c>
      <c r="P50">
        <v>212</v>
      </c>
      <c r="Q50">
        <v>101.5</v>
      </c>
      <c r="R50">
        <v>213</v>
      </c>
      <c r="S50">
        <v>103.4</v>
      </c>
      <c r="T50">
        <v>229</v>
      </c>
      <c r="U50">
        <v>2.46</v>
      </c>
      <c r="V50">
        <v>169</v>
      </c>
    </row>
    <row r="51" spans="1:22" x14ac:dyDescent="0.25">
      <c r="A51">
        <f>COUNTIF('Value Matchup'!$D$356:$D$423,C51)</f>
        <v>0</v>
      </c>
      <c r="B51">
        <v>337</v>
      </c>
      <c r="C51" t="s">
        <v>164</v>
      </c>
      <c r="D51" t="s">
        <v>158</v>
      </c>
      <c r="E51" s="79" t="s">
        <v>616</v>
      </c>
      <c r="F51">
        <v>-16.68</v>
      </c>
      <c r="G51">
        <v>90.7</v>
      </c>
      <c r="H51">
        <v>342</v>
      </c>
      <c r="I51">
        <v>107.3</v>
      </c>
      <c r="J51">
        <v>291</v>
      </c>
      <c r="K51">
        <v>69.900000000000006</v>
      </c>
      <c r="L51">
        <v>108</v>
      </c>
      <c r="M51">
        <v>-4.9000000000000002E-2</v>
      </c>
      <c r="N51">
        <v>286</v>
      </c>
      <c r="O51">
        <v>-3.37</v>
      </c>
      <c r="P51">
        <v>240</v>
      </c>
      <c r="Q51">
        <v>100.7</v>
      </c>
      <c r="R51">
        <v>235</v>
      </c>
      <c r="S51">
        <v>104.1</v>
      </c>
      <c r="T51">
        <v>255</v>
      </c>
      <c r="U51">
        <v>1.4</v>
      </c>
      <c r="V51">
        <v>192</v>
      </c>
    </row>
    <row r="52" spans="1:22" x14ac:dyDescent="0.25">
      <c r="A52">
        <f>COUNTIF('Value Matchup'!$D$356:$D$423,C52)</f>
        <v>0</v>
      </c>
      <c r="B52">
        <v>233</v>
      </c>
      <c r="C52" t="s">
        <v>165</v>
      </c>
      <c r="D52" t="s">
        <v>166</v>
      </c>
      <c r="E52" s="79" t="s">
        <v>617</v>
      </c>
      <c r="F52">
        <v>-4.9800000000000004</v>
      </c>
      <c r="G52">
        <v>97.9</v>
      </c>
      <c r="H52">
        <v>262</v>
      </c>
      <c r="I52">
        <v>102.9</v>
      </c>
      <c r="J52">
        <v>201</v>
      </c>
      <c r="K52">
        <v>63</v>
      </c>
      <c r="L52">
        <v>351</v>
      </c>
      <c r="M52">
        <v>-3.2000000000000001E-2</v>
      </c>
      <c r="N52">
        <v>247</v>
      </c>
      <c r="O52">
        <v>0.62</v>
      </c>
      <c r="P52">
        <v>172</v>
      </c>
      <c r="Q52">
        <v>102.2</v>
      </c>
      <c r="R52">
        <v>190</v>
      </c>
      <c r="S52">
        <v>101.6</v>
      </c>
      <c r="T52">
        <v>158</v>
      </c>
      <c r="U52">
        <v>-4.7</v>
      </c>
      <c r="V52">
        <v>274</v>
      </c>
    </row>
    <row r="53" spans="1:22" x14ac:dyDescent="0.25">
      <c r="A53">
        <f>COUNTIF('Value Matchup'!$D$356:$D$423,C53)</f>
        <v>0</v>
      </c>
      <c r="B53">
        <v>156</v>
      </c>
      <c r="C53" t="s">
        <v>167</v>
      </c>
      <c r="D53" t="s">
        <v>168</v>
      </c>
      <c r="E53" s="79" t="s">
        <v>527</v>
      </c>
      <c r="F53">
        <v>2.38</v>
      </c>
      <c r="G53">
        <v>103.7</v>
      </c>
      <c r="H53">
        <v>160</v>
      </c>
      <c r="I53">
        <v>101.3</v>
      </c>
      <c r="J53">
        <v>176</v>
      </c>
      <c r="K53">
        <v>66.7</v>
      </c>
      <c r="L53">
        <v>268</v>
      </c>
      <c r="M53">
        <v>0.10199999999999999</v>
      </c>
      <c r="N53">
        <v>18</v>
      </c>
      <c r="O53">
        <v>0.48</v>
      </c>
      <c r="P53">
        <v>173</v>
      </c>
      <c r="Q53">
        <v>103.1</v>
      </c>
      <c r="R53">
        <v>166</v>
      </c>
      <c r="S53">
        <v>102.7</v>
      </c>
      <c r="T53">
        <v>195</v>
      </c>
      <c r="U53">
        <v>-3.81</v>
      </c>
      <c r="V53">
        <v>264</v>
      </c>
    </row>
    <row r="54" spans="1:22" x14ac:dyDescent="0.25">
      <c r="A54">
        <f>COUNTIF('Value Matchup'!$D$356:$D$423,C54)</f>
        <v>0</v>
      </c>
      <c r="B54">
        <v>356</v>
      </c>
      <c r="C54" t="s">
        <v>169</v>
      </c>
      <c r="D54" t="s">
        <v>154</v>
      </c>
      <c r="E54" s="79" t="s">
        <v>535</v>
      </c>
      <c r="F54">
        <v>-27.98</v>
      </c>
      <c r="G54">
        <v>89</v>
      </c>
      <c r="H54">
        <v>348</v>
      </c>
      <c r="I54">
        <v>117</v>
      </c>
      <c r="J54">
        <v>356</v>
      </c>
      <c r="K54">
        <v>67.8</v>
      </c>
      <c r="L54">
        <v>215</v>
      </c>
      <c r="M54">
        <v>-6.0000000000000001E-3</v>
      </c>
      <c r="N54">
        <v>197</v>
      </c>
      <c r="O54">
        <v>9.09</v>
      </c>
      <c r="P54">
        <v>84</v>
      </c>
      <c r="Q54">
        <v>106.8</v>
      </c>
      <c r="R54">
        <v>81</v>
      </c>
      <c r="S54">
        <v>97.7</v>
      </c>
      <c r="T54">
        <v>91</v>
      </c>
      <c r="U54">
        <v>9.09</v>
      </c>
      <c r="V54">
        <v>67</v>
      </c>
    </row>
    <row r="55" spans="1:22" x14ac:dyDescent="0.25">
      <c r="A55">
        <f>COUNTIF('Value Matchup'!$D$356:$D$423,C55)</f>
        <v>0</v>
      </c>
      <c r="B55">
        <v>110</v>
      </c>
      <c r="C55" t="s">
        <v>28</v>
      </c>
      <c r="D55" t="s">
        <v>170</v>
      </c>
      <c r="E55" s="79" t="s">
        <v>618</v>
      </c>
      <c r="F55">
        <v>8.06</v>
      </c>
      <c r="G55">
        <v>104.2</v>
      </c>
      <c r="H55">
        <v>146</v>
      </c>
      <c r="I55">
        <v>96.1</v>
      </c>
      <c r="J55">
        <v>77</v>
      </c>
      <c r="K55">
        <v>71.099999999999994</v>
      </c>
      <c r="L55">
        <v>62</v>
      </c>
      <c r="M55">
        <v>0.1</v>
      </c>
      <c r="N55">
        <v>19</v>
      </c>
      <c r="O55">
        <v>9.49</v>
      </c>
      <c r="P55">
        <v>78</v>
      </c>
      <c r="Q55">
        <v>106.3</v>
      </c>
      <c r="R55">
        <v>91</v>
      </c>
      <c r="S55">
        <v>96.8</v>
      </c>
      <c r="T55">
        <v>62</v>
      </c>
      <c r="U55">
        <v>9.4700000000000006</v>
      </c>
      <c r="V55">
        <v>63</v>
      </c>
    </row>
    <row r="56" spans="1:22" x14ac:dyDescent="0.25">
      <c r="A56">
        <f>COUNTIF('Value Matchup'!$D$356:$D$423,C56)</f>
        <v>1</v>
      </c>
      <c r="B56">
        <v>42</v>
      </c>
      <c r="C56" t="s">
        <v>89</v>
      </c>
      <c r="D56" t="s">
        <v>139</v>
      </c>
      <c r="E56" s="79" t="s">
        <v>536</v>
      </c>
      <c r="F56">
        <v>17.57</v>
      </c>
      <c r="G56">
        <v>107.6</v>
      </c>
      <c r="H56">
        <v>99</v>
      </c>
      <c r="I56">
        <v>90.1</v>
      </c>
      <c r="J56">
        <v>19</v>
      </c>
      <c r="K56">
        <v>64.2</v>
      </c>
      <c r="L56">
        <v>338</v>
      </c>
      <c r="M56">
        <v>0.123</v>
      </c>
      <c r="N56">
        <v>7</v>
      </c>
      <c r="O56">
        <v>14.16</v>
      </c>
      <c r="P56">
        <v>28</v>
      </c>
      <c r="Q56">
        <v>109.5</v>
      </c>
      <c r="R56">
        <v>32</v>
      </c>
      <c r="S56">
        <v>95.4</v>
      </c>
      <c r="T56">
        <v>30</v>
      </c>
      <c r="U56">
        <v>11.65</v>
      </c>
      <c r="V56">
        <v>42</v>
      </c>
    </row>
    <row r="57" spans="1:22" x14ac:dyDescent="0.25">
      <c r="A57">
        <f>COUNTIF('Value Matchup'!$D$356:$D$423,C57)</f>
        <v>1</v>
      </c>
      <c r="B57">
        <v>150</v>
      </c>
      <c r="C57" t="s">
        <v>171</v>
      </c>
      <c r="D57" t="s">
        <v>172</v>
      </c>
      <c r="E57" s="79" t="s">
        <v>537</v>
      </c>
      <c r="F57">
        <v>2.76</v>
      </c>
      <c r="G57">
        <v>101.6</v>
      </c>
      <c r="H57">
        <v>199</v>
      </c>
      <c r="I57">
        <v>98.8</v>
      </c>
      <c r="J57">
        <v>121</v>
      </c>
      <c r="K57">
        <v>66.3</v>
      </c>
      <c r="L57">
        <v>282</v>
      </c>
      <c r="M57">
        <v>0.19</v>
      </c>
      <c r="N57">
        <v>1</v>
      </c>
      <c r="O57">
        <v>-1.1299999999999999</v>
      </c>
      <c r="P57">
        <v>198</v>
      </c>
      <c r="Q57">
        <v>105</v>
      </c>
      <c r="R57">
        <v>114</v>
      </c>
      <c r="S57">
        <v>106.2</v>
      </c>
      <c r="T57">
        <v>335</v>
      </c>
      <c r="U57">
        <v>21.15</v>
      </c>
      <c r="V57">
        <v>5</v>
      </c>
    </row>
    <row r="58" spans="1:22" x14ac:dyDescent="0.25">
      <c r="A58">
        <f>COUNTIF('Value Matchup'!$D$356:$D$423,C58)</f>
        <v>0</v>
      </c>
      <c r="B58">
        <v>175</v>
      </c>
      <c r="C58" t="s">
        <v>173</v>
      </c>
      <c r="D58" t="s">
        <v>123</v>
      </c>
      <c r="E58" s="79" t="s">
        <v>536</v>
      </c>
      <c r="F58">
        <v>1.03</v>
      </c>
      <c r="G58">
        <v>101</v>
      </c>
      <c r="H58">
        <v>212</v>
      </c>
      <c r="I58">
        <v>99.9</v>
      </c>
      <c r="J58">
        <v>140</v>
      </c>
      <c r="K58">
        <v>70.900000000000006</v>
      </c>
      <c r="L58">
        <v>70</v>
      </c>
      <c r="M58">
        <v>-8.1000000000000003E-2</v>
      </c>
      <c r="N58">
        <v>322</v>
      </c>
      <c r="O58">
        <v>-6.4</v>
      </c>
      <c r="P58">
        <v>308</v>
      </c>
      <c r="Q58">
        <v>98.6</v>
      </c>
      <c r="R58">
        <v>298</v>
      </c>
      <c r="S58">
        <v>105</v>
      </c>
      <c r="T58">
        <v>305</v>
      </c>
      <c r="U58">
        <v>-13.08</v>
      </c>
      <c r="V58">
        <v>321</v>
      </c>
    </row>
    <row r="59" spans="1:22" x14ac:dyDescent="0.25">
      <c r="A59">
        <f>COUNTIF('Value Matchup'!$D$356:$D$423,C59)</f>
        <v>1</v>
      </c>
      <c r="B59">
        <v>86</v>
      </c>
      <c r="C59" t="s">
        <v>174</v>
      </c>
      <c r="D59" t="s">
        <v>121</v>
      </c>
      <c r="E59" s="79" t="s">
        <v>538</v>
      </c>
      <c r="F59">
        <v>10.96</v>
      </c>
      <c r="G59">
        <v>110.4</v>
      </c>
      <c r="H59">
        <v>58</v>
      </c>
      <c r="I59">
        <v>99.5</v>
      </c>
      <c r="J59">
        <v>126</v>
      </c>
      <c r="K59">
        <v>72.900000000000006</v>
      </c>
      <c r="L59">
        <v>20</v>
      </c>
      <c r="M59">
        <v>4.9000000000000002E-2</v>
      </c>
      <c r="N59">
        <v>74</v>
      </c>
      <c r="O59">
        <v>-6.95</v>
      </c>
      <c r="P59">
        <v>317</v>
      </c>
      <c r="Q59">
        <v>99.4</v>
      </c>
      <c r="R59">
        <v>277</v>
      </c>
      <c r="S59">
        <v>106.3</v>
      </c>
      <c r="T59">
        <v>336</v>
      </c>
      <c r="U59">
        <v>-99</v>
      </c>
      <c r="V59">
        <v>331</v>
      </c>
    </row>
    <row r="60" spans="1:22" x14ac:dyDescent="0.25">
      <c r="A60">
        <f>COUNTIF('Value Matchup'!$D$356:$D$423,C60)</f>
        <v>1</v>
      </c>
      <c r="B60">
        <v>17</v>
      </c>
      <c r="C60" t="s">
        <v>95</v>
      </c>
      <c r="D60" t="s">
        <v>124</v>
      </c>
      <c r="E60" s="79" t="s">
        <v>539</v>
      </c>
      <c r="F60">
        <v>23.08</v>
      </c>
      <c r="G60">
        <v>115.2</v>
      </c>
      <c r="H60">
        <v>17</v>
      </c>
      <c r="I60">
        <v>92.1</v>
      </c>
      <c r="J60">
        <v>29</v>
      </c>
      <c r="K60">
        <v>66.400000000000006</v>
      </c>
      <c r="L60">
        <v>280</v>
      </c>
      <c r="M60">
        <v>-3.3000000000000002E-2</v>
      </c>
      <c r="N60">
        <v>252</v>
      </c>
      <c r="O60">
        <v>10.75</v>
      </c>
      <c r="P60">
        <v>68</v>
      </c>
      <c r="Q60">
        <v>107.8</v>
      </c>
      <c r="R60">
        <v>65</v>
      </c>
      <c r="S60">
        <v>97.1</v>
      </c>
      <c r="T60">
        <v>72</v>
      </c>
      <c r="U60">
        <v>1.96</v>
      </c>
      <c r="V60">
        <v>179</v>
      </c>
    </row>
    <row r="61" spans="1:22" x14ac:dyDescent="0.25">
      <c r="A61">
        <f>COUNTIF('Value Matchup'!$D$356:$D$423,C61)</f>
        <v>0</v>
      </c>
      <c r="B61">
        <v>64</v>
      </c>
      <c r="C61" t="s">
        <v>176</v>
      </c>
      <c r="D61" t="s">
        <v>110</v>
      </c>
      <c r="E61" s="79" t="s">
        <v>540</v>
      </c>
      <c r="F61">
        <v>14.41</v>
      </c>
      <c r="G61">
        <v>108.7</v>
      </c>
      <c r="H61">
        <v>80</v>
      </c>
      <c r="I61">
        <v>94.3</v>
      </c>
      <c r="J61">
        <v>55</v>
      </c>
      <c r="K61">
        <v>69.5</v>
      </c>
      <c r="L61">
        <v>121</v>
      </c>
      <c r="M61">
        <v>3.6999999999999998E-2</v>
      </c>
      <c r="N61">
        <v>95</v>
      </c>
      <c r="O61">
        <v>3.21</v>
      </c>
      <c r="P61">
        <v>144</v>
      </c>
      <c r="Q61">
        <v>103.4</v>
      </c>
      <c r="R61">
        <v>159</v>
      </c>
      <c r="S61">
        <v>100.2</v>
      </c>
      <c r="T61">
        <v>135</v>
      </c>
      <c r="U61">
        <v>1.5</v>
      </c>
      <c r="V61">
        <v>188</v>
      </c>
    </row>
    <row r="62" spans="1:22" x14ac:dyDescent="0.25">
      <c r="A62">
        <f>COUNTIF('Value Matchup'!$D$356:$D$423,C62)</f>
        <v>0</v>
      </c>
      <c r="B62">
        <v>282</v>
      </c>
      <c r="C62" t="s">
        <v>177</v>
      </c>
      <c r="D62" t="s">
        <v>145</v>
      </c>
      <c r="E62" s="79" t="s">
        <v>526</v>
      </c>
      <c r="F62">
        <v>-9.39</v>
      </c>
      <c r="G62">
        <v>95.5</v>
      </c>
      <c r="H62">
        <v>297</v>
      </c>
      <c r="I62">
        <v>104.9</v>
      </c>
      <c r="J62">
        <v>248</v>
      </c>
      <c r="K62">
        <v>69.099999999999994</v>
      </c>
      <c r="L62">
        <v>141</v>
      </c>
      <c r="M62">
        <v>0</v>
      </c>
      <c r="N62">
        <v>174</v>
      </c>
      <c r="O62">
        <v>-99</v>
      </c>
      <c r="P62">
        <v>348</v>
      </c>
      <c r="Q62">
        <v>0</v>
      </c>
      <c r="R62">
        <v>348</v>
      </c>
      <c r="S62">
        <v>200</v>
      </c>
      <c r="T62">
        <v>348</v>
      </c>
      <c r="U62">
        <v>-99</v>
      </c>
      <c r="V62">
        <v>331</v>
      </c>
    </row>
    <row r="63" spans="1:22" x14ac:dyDescent="0.25">
      <c r="A63">
        <f>COUNTIF('Value Matchup'!$D$356:$D$423,C63)</f>
        <v>1</v>
      </c>
      <c r="B63">
        <v>16</v>
      </c>
      <c r="C63" t="s">
        <v>80</v>
      </c>
      <c r="D63" t="s">
        <v>149</v>
      </c>
      <c r="E63" s="79" t="s">
        <v>541</v>
      </c>
      <c r="F63">
        <v>23.31</v>
      </c>
      <c r="G63">
        <v>114.3</v>
      </c>
      <c r="H63">
        <v>24</v>
      </c>
      <c r="I63">
        <v>91</v>
      </c>
      <c r="J63">
        <v>25</v>
      </c>
      <c r="K63">
        <v>66.099999999999994</v>
      </c>
      <c r="L63">
        <v>301</v>
      </c>
      <c r="M63">
        <v>-6.6000000000000003E-2</v>
      </c>
      <c r="N63">
        <v>307</v>
      </c>
      <c r="O63">
        <v>12.57</v>
      </c>
      <c r="P63">
        <v>43</v>
      </c>
      <c r="Q63">
        <v>107.9</v>
      </c>
      <c r="R63">
        <v>62</v>
      </c>
      <c r="S63">
        <v>95.3</v>
      </c>
      <c r="T63">
        <v>28</v>
      </c>
      <c r="U63">
        <v>-2.0499999999999998</v>
      </c>
      <c r="V63">
        <v>243</v>
      </c>
    </row>
    <row r="64" spans="1:22" x14ac:dyDescent="0.25">
      <c r="A64">
        <f>COUNTIF('Value Matchup'!$D$356:$D$423,C64)</f>
        <v>0</v>
      </c>
      <c r="B64">
        <v>287</v>
      </c>
      <c r="C64" t="s">
        <v>178</v>
      </c>
      <c r="D64" t="s">
        <v>135</v>
      </c>
      <c r="E64" s="79" t="s">
        <v>609</v>
      </c>
      <c r="F64">
        <v>-9.69</v>
      </c>
      <c r="G64">
        <v>91.6</v>
      </c>
      <c r="H64">
        <v>332</v>
      </c>
      <c r="I64">
        <v>101.3</v>
      </c>
      <c r="J64">
        <v>177</v>
      </c>
      <c r="K64">
        <v>77.099999999999994</v>
      </c>
      <c r="L64">
        <v>1</v>
      </c>
      <c r="M64">
        <v>7.2999999999999995E-2</v>
      </c>
      <c r="N64">
        <v>39</v>
      </c>
      <c r="O64">
        <v>-2.4900000000000002</v>
      </c>
      <c r="P64">
        <v>223</v>
      </c>
      <c r="Q64">
        <v>101.5</v>
      </c>
      <c r="R64">
        <v>212</v>
      </c>
      <c r="S64">
        <v>104</v>
      </c>
      <c r="T64">
        <v>252</v>
      </c>
      <c r="U64">
        <v>7.26</v>
      </c>
      <c r="V64">
        <v>92</v>
      </c>
    </row>
    <row r="65" spans="1:22" x14ac:dyDescent="0.25">
      <c r="A65">
        <f>COUNTIF('Value Matchup'!$D$356:$D$423,C65)</f>
        <v>0</v>
      </c>
      <c r="B65">
        <v>214</v>
      </c>
      <c r="C65" t="s">
        <v>179</v>
      </c>
      <c r="D65" t="s">
        <v>145</v>
      </c>
      <c r="E65" s="79" t="s">
        <v>526</v>
      </c>
      <c r="F65">
        <v>-3.33</v>
      </c>
      <c r="G65">
        <v>102.2</v>
      </c>
      <c r="H65">
        <v>182</v>
      </c>
      <c r="I65">
        <v>105.5</v>
      </c>
      <c r="J65">
        <v>262</v>
      </c>
      <c r="K65">
        <v>67</v>
      </c>
      <c r="L65">
        <v>249</v>
      </c>
      <c r="M65">
        <v>0</v>
      </c>
      <c r="N65">
        <v>174</v>
      </c>
      <c r="O65">
        <v>-99</v>
      </c>
      <c r="P65">
        <v>348</v>
      </c>
      <c r="Q65">
        <v>0</v>
      </c>
      <c r="R65">
        <v>348</v>
      </c>
      <c r="S65">
        <v>200</v>
      </c>
      <c r="T65">
        <v>348</v>
      </c>
      <c r="U65">
        <v>-99</v>
      </c>
      <c r="V65">
        <v>331</v>
      </c>
    </row>
    <row r="66" spans="1:22" x14ac:dyDescent="0.25">
      <c r="A66">
        <f>COUNTIF('Value Matchup'!$D$356:$D$423,C66)</f>
        <v>1</v>
      </c>
      <c r="B66">
        <v>19</v>
      </c>
      <c r="C66" t="s">
        <v>88</v>
      </c>
      <c r="D66" t="s">
        <v>149</v>
      </c>
      <c r="E66" s="79" t="s">
        <v>542</v>
      </c>
      <c r="F66">
        <v>22.71</v>
      </c>
      <c r="G66">
        <v>115.6</v>
      </c>
      <c r="H66">
        <v>14</v>
      </c>
      <c r="I66">
        <v>92.9</v>
      </c>
      <c r="J66">
        <v>39</v>
      </c>
      <c r="K66">
        <v>69.099999999999994</v>
      </c>
      <c r="L66">
        <v>145</v>
      </c>
      <c r="M66">
        <v>1E-3</v>
      </c>
      <c r="N66">
        <v>172</v>
      </c>
      <c r="O66">
        <v>12.5</v>
      </c>
      <c r="P66">
        <v>45</v>
      </c>
      <c r="Q66">
        <v>107.9</v>
      </c>
      <c r="R66">
        <v>63</v>
      </c>
      <c r="S66">
        <v>95.4</v>
      </c>
      <c r="T66">
        <v>29</v>
      </c>
      <c r="U66">
        <v>-1.43</v>
      </c>
      <c r="V66">
        <v>233</v>
      </c>
    </row>
    <row r="67" spans="1:22" x14ac:dyDescent="0.25">
      <c r="A67">
        <f>COUNTIF('Value Matchup'!$D$356:$D$423,C67)</f>
        <v>0</v>
      </c>
      <c r="B67">
        <v>276</v>
      </c>
      <c r="C67" t="s">
        <v>180</v>
      </c>
      <c r="D67" t="s">
        <v>145</v>
      </c>
      <c r="E67" s="79" t="s">
        <v>526</v>
      </c>
      <c r="F67">
        <v>-8.83</v>
      </c>
      <c r="G67">
        <v>95.7</v>
      </c>
      <c r="H67">
        <v>293</v>
      </c>
      <c r="I67">
        <v>104.5</v>
      </c>
      <c r="J67">
        <v>239</v>
      </c>
      <c r="K67">
        <v>66.8</v>
      </c>
      <c r="L67">
        <v>264</v>
      </c>
      <c r="M67">
        <v>0</v>
      </c>
      <c r="N67">
        <v>174</v>
      </c>
      <c r="O67">
        <v>-99</v>
      </c>
      <c r="P67">
        <v>348</v>
      </c>
      <c r="Q67">
        <v>0</v>
      </c>
      <c r="R67">
        <v>348</v>
      </c>
      <c r="S67">
        <v>200</v>
      </c>
      <c r="T67">
        <v>348</v>
      </c>
      <c r="U67">
        <v>-99</v>
      </c>
      <c r="V67">
        <v>331</v>
      </c>
    </row>
    <row r="68" spans="1:22" x14ac:dyDescent="0.25">
      <c r="A68">
        <f>COUNTIF('Value Matchup'!$D$356:$D$423,C68)</f>
        <v>0</v>
      </c>
      <c r="B68">
        <v>58</v>
      </c>
      <c r="C68" t="s">
        <v>70</v>
      </c>
      <c r="D68" t="s">
        <v>181</v>
      </c>
      <c r="E68" s="79" t="s">
        <v>543</v>
      </c>
      <c r="F68">
        <v>15.27</v>
      </c>
      <c r="G68">
        <v>115</v>
      </c>
      <c r="H68">
        <v>18</v>
      </c>
      <c r="I68">
        <v>99.7</v>
      </c>
      <c r="J68">
        <v>130</v>
      </c>
      <c r="K68">
        <v>62.9</v>
      </c>
      <c r="L68">
        <v>352</v>
      </c>
      <c r="M68">
        <v>-7.5999999999999998E-2</v>
      </c>
      <c r="N68">
        <v>316</v>
      </c>
      <c r="O68">
        <v>6.68</v>
      </c>
      <c r="P68">
        <v>104</v>
      </c>
      <c r="Q68">
        <v>104.4</v>
      </c>
      <c r="R68">
        <v>134</v>
      </c>
      <c r="S68">
        <v>97.7</v>
      </c>
      <c r="T68">
        <v>85</v>
      </c>
      <c r="U68">
        <v>1.1100000000000001</v>
      </c>
      <c r="V68">
        <v>196</v>
      </c>
    </row>
    <row r="69" spans="1:22" x14ac:dyDescent="0.25">
      <c r="A69">
        <f>COUNTIF('Value Matchup'!$D$356:$D$423,C69)</f>
        <v>0</v>
      </c>
      <c r="B69">
        <v>80</v>
      </c>
      <c r="C69" t="s">
        <v>57</v>
      </c>
      <c r="D69" t="s">
        <v>181</v>
      </c>
      <c r="E69" s="79" t="s">
        <v>544</v>
      </c>
      <c r="F69">
        <v>12.15</v>
      </c>
      <c r="G69">
        <v>109.2</v>
      </c>
      <c r="H69">
        <v>77</v>
      </c>
      <c r="I69">
        <v>97</v>
      </c>
      <c r="J69">
        <v>89</v>
      </c>
      <c r="K69">
        <v>66.2</v>
      </c>
      <c r="L69">
        <v>288</v>
      </c>
      <c r="M69">
        <v>6.0000000000000001E-3</v>
      </c>
      <c r="N69">
        <v>160</v>
      </c>
      <c r="O69">
        <v>8.0399999999999991</v>
      </c>
      <c r="P69">
        <v>90</v>
      </c>
      <c r="Q69">
        <v>105</v>
      </c>
      <c r="R69">
        <v>117</v>
      </c>
      <c r="S69">
        <v>96.9</v>
      </c>
      <c r="T69">
        <v>64</v>
      </c>
      <c r="U69">
        <v>3.93</v>
      </c>
      <c r="V69">
        <v>146</v>
      </c>
    </row>
    <row r="70" spans="1:22" x14ac:dyDescent="0.25">
      <c r="A70">
        <f>COUNTIF('Value Matchup'!$D$356:$D$423,C70)</f>
        <v>0</v>
      </c>
      <c r="B70">
        <v>225</v>
      </c>
      <c r="C70" t="s">
        <v>182</v>
      </c>
      <c r="D70" t="s">
        <v>175</v>
      </c>
      <c r="E70" s="79" t="s">
        <v>619</v>
      </c>
      <c r="F70">
        <v>-4.1500000000000004</v>
      </c>
      <c r="G70">
        <v>97.9</v>
      </c>
      <c r="H70">
        <v>261</v>
      </c>
      <c r="I70">
        <v>102.1</v>
      </c>
      <c r="J70">
        <v>187</v>
      </c>
      <c r="K70">
        <v>66.8</v>
      </c>
      <c r="L70">
        <v>259</v>
      </c>
      <c r="M70">
        <v>-6.9000000000000006E-2</v>
      </c>
      <c r="N70">
        <v>312</v>
      </c>
      <c r="O70">
        <v>-3.94</v>
      </c>
      <c r="P70">
        <v>254</v>
      </c>
      <c r="Q70">
        <v>101.8</v>
      </c>
      <c r="R70">
        <v>204</v>
      </c>
      <c r="S70">
        <v>105.7</v>
      </c>
      <c r="T70">
        <v>325</v>
      </c>
      <c r="U70">
        <v>-1.99</v>
      </c>
      <c r="V70">
        <v>240</v>
      </c>
    </row>
    <row r="71" spans="1:22" x14ac:dyDescent="0.25">
      <c r="A71">
        <f>COUNTIF('Value Matchup'!$D$356:$D$423,C71)</f>
        <v>0</v>
      </c>
      <c r="B71">
        <v>350</v>
      </c>
      <c r="C71" t="s">
        <v>183</v>
      </c>
      <c r="D71" t="s">
        <v>135</v>
      </c>
      <c r="E71" s="79" t="s">
        <v>620</v>
      </c>
      <c r="F71">
        <v>-22.55</v>
      </c>
      <c r="G71">
        <v>91.6</v>
      </c>
      <c r="H71">
        <v>333</v>
      </c>
      <c r="I71">
        <v>114.1</v>
      </c>
      <c r="J71">
        <v>354</v>
      </c>
      <c r="K71">
        <v>73.599999999999994</v>
      </c>
      <c r="L71">
        <v>12</v>
      </c>
      <c r="M71">
        <v>-6.4000000000000001E-2</v>
      </c>
      <c r="N71">
        <v>302</v>
      </c>
      <c r="O71">
        <v>-3.52</v>
      </c>
      <c r="P71">
        <v>245</v>
      </c>
      <c r="Q71">
        <v>99.1</v>
      </c>
      <c r="R71">
        <v>284</v>
      </c>
      <c r="S71">
        <v>102.6</v>
      </c>
      <c r="T71">
        <v>193</v>
      </c>
      <c r="U71">
        <v>2.39</v>
      </c>
      <c r="V71">
        <v>173</v>
      </c>
    </row>
    <row r="72" spans="1:22" x14ac:dyDescent="0.25">
      <c r="A72">
        <f>COUNTIF('Value Matchup'!$D$356:$D$423,C72)</f>
        <v>0</v>
      </c>
      <c r="B72">
        <v>343</v>
      </c>
      <c r="C72" t="s">
        <v>184</v>
      </c>
      <c r="D72" t="s">
        <v>185</v>
      </c>
      <c r="E72" s="79" t="s">
        <v>621</v>
      </c>
      <c r="F72">
        <v>-18.13</v>
      </c>
      <c r="G72">
        <v>94.1</v>
      </c>
      <c r="H72">
        <v>308</v>
      </c>
      <c r="I72">
        <v>112.2</v>
      </c>
      <c r="J72">
        <v>346</v>
      </c>
      <c r="K72">
        <v>71.2</v>
      </c>
      <c r="L72">
        <v>56</v>
      </c>
      <c r="M72">
        <v>-0.105</v>
      </c>
      <c r="N72">
        <v>343</v>
      </c>
      <c r="O72">
        <v>-4.5599999999999996</v>
      </c>
      <c r="P72">
        <v>270</v>
      </c>
      <c r="Q72">
        <v>100.7</v>
      </c>
      <c r="R72">
        <v>236</v>
      </c>
      <c r="S72">
        <v>105.2</v>
      </c>
      <c r="T72">
        <v>311</v>
      </c>
      <c r="U72">
        <v>-6.47</v>
      </c>
      <c r="V72">
        <v>298</v>
      </c>
    </row>
    <row r="73" spans="1:22" x14ac:dyDescent="0.25">
      <c r="A73">
        <f>COUNTIF('Value Matchup'!$D$356:$D$423,C73)</f>
        <v>0</v>
      </c>
      <c r="B73">
        <v>133</v>
      </c>
      <c r="C73" t="s">
        <v>186</v>
      </c>
      <c r="D73" t="s">
        <v>149</v>
      </c>
      <c r="E73" s="79" t="s">
        <v>622</v>
      </c>
      <c r="F73">
        <v>4.8</v>
      </c>
      <c r="G73">
        <v>98.4</v>
      </c>
      <c r="H73">
        <v>253</v>
      </c>
      <c r="I73">
        <v>93.6</v>
      </c>
      <c r="J73">
        <v>47</v>
      </c>
      <c r="K73">
        <v>70.900000000000006</v>
      </c>
      <c r="L73">
        <v>74</v>
      </c>
      <c r="M73">
        <v>-4.8000000000000001E-2</v>
      </c>
      <c r="N73">
        <v>281</v>
      </c>
      <c r="O73">
        <v>13.5</v>
      </c>
      <c r="P73">
        <v>36</v>
      </c>
      <c r="Q73">
        <v>109.1</v>
      </c>
      <c r="R73">
        <v>39</v>
      </c>
      <c r="S73">
        <v>95.6</v>
      </c>
      <c r="T73">
        <v>35</v>
      </c>
      <c r="U73">
        <v>-9.4</v>
      </c>
      <c r="V73">
        <v>312</v>
      </c>
    </row>
    <row r="74" spans="1:22" x14ac:dyDescent="0.25">
      <c r="A74">
        <f>COUNTIF('Value Matchup'!$D$356:$D$423,C74)</f>
        <v>0</v>
      </c>
      <c r="B74">
        <v>147</v>
      </c>
      <c r="C74" t="s">
        <v>187</v>
      </c>
      <c r="D74" t="s">
        <v>172</v>
      </c>
      <c r="E74" s="79" t="s">
        <v>618</v>
      </c>
      <c r="F74">
        <v>2.95</v>
      </c>
      <c r="G74">
        <v>110.4</v>
      </c>
      <c r="H74">
        <v>57</v>
      </c>
      <c r="I74">
        <v>107.5</v>
      </c>
      <c r="J74">
        <v>294</v>
      </c>
      <c r="K74">
        <v>67.5</v>
      </c>
      <c r="L74">
        <v>230</v>
      </c>
      <c r="M74">
        <v>-5.0999999999999997E-2</v>
      </c>
      <c r="N74">
        <v>289</v>
      </c>
      <c r="O74">
        <v>-1.35</v>
      </c>
      <c r="P74">
        <v>202</v>
      </c>
      <c r="Q74">
        <v>103.7</v>
      </c>
      <c r="R74">
        <v>152</v>
      </c>
      <c r="S74">
        <v>105</v>
      </c>
      <c r="T74">
        <v>304</v>
      </c>
      <c r="U74">
        <v>9.01</v>
      </c>
      <c r="V74">
        <v>69</v>
      </c>
    </row>
    <row r="75" spans="1:22" x14ac:dyDescent="0.25">
      <c r="A75">
        <f>COUNTIF('Value Matchup'!$D$356:$D$423,C75)</f>
        <v>0</v>
      </c>
      <c r="B75">
        <v>331</v>
      </c>
      <c r="C75" t="s">
        <v>545</v>
      </c>
      <c r="D75" t="s">
        <v>154</v>
      </c>
      <c r="E75" s="79" t="s">
        <v>623</v>
      </c>
      <c r="F75">
        <v>-15.02</v>
      </c>
      <c r="G75">
        <v>91.6</v>
      </c>
      <c r="H75">
        <v>334</v>
      </c>
      <c r="I75">
        <v>106.6</v>
      </c>
      <c r="J75">
        <v>280</v>
      </c>
      <c r="K75">
        <v>73.400000000000006</v>
      </c>
      <c r="L75">
        <v>16</v>
      </c>
      <c r="M75">
        <v>7.0000000000000007E-2</v>
      </c>
      <c r="N75">
        <v>42</v>
      </c>
      <c r="O75">
        <v>-3.62</v>
      </c>
      <c r="P75">
        <v>247</v>
      </c>
      <c r="Q75">
        <v>100.5</v>
      </c>
      <c r="R75">
        <v>241</v>
      </c>
      <c r="S75">
        <v>104.1</v>
      </c>
      <c r="T75">
        <v>257</v>
      </c>
      <c r="U75">
        <v>-3.65</v>
      </c>
      <c r="V75">
        <v>260</v>
      </c>
    </row>
    <row r="76" spans="1:22" x14ac:dyDescent="0.25">
      <c r="A76">
        <f>COUNTIF('Value Matchup'!$D$356:$D$423,C76)</f>
        <v>1</v>
      </c>
      <c r="B76">
        <v>53</v>
      </c>
      <c r="C76" t="s">
        <v>188</v>
      </c>
      <c r="D76" t="s">
        <v>143</v>
      </c>
      <c r="E76" s="79" t="s">
        <v>546</v>
      </c>
      <c r="F76">
        <v>16.03</v>
      </c>
      <c r="G76">
        <v>114.7</v>
      </c>
      <c r="H76">
        <v>19</v>
      </c>
      <c r="I76">
        <v>98.7</v>
      </c>
      <c r="J76">
        <v>120</v>
      </c>
      <c r="K76">
        <v>66.8</v>
      </c>
      <c r="L76">
        <v>265</v>
      </c>
      <c r="M76">
        <v>9.5000000000000001E-2</v>
      </c>
      <c r="N76">
        <v>21</v>
      </c>
      <c r="O76">
        <v>2.13</v>
      </c>
      <c r="P76">
        <v>157</v>
      </c>
      <c r="Q76">
        <v>102.9</v>
      </c>
      <c r="R76">
        <v>171</v>
      </c>
      <c r="S76">
        <v>100.8</v>
      </c>
      <c r="T76">
        <v>138</v>
      </c>
      <c r="U76">
        <v>-9.31</v>
      </c>
      <c r="V76">
        <v>310</v>
      </c>
    </row>
    <row r="77" spans="1:22" x14ac:dyDescent="0.25">
      <c r="A77">
        <f>COUNTIF('Value Matchup'!$D$356:$D$423,C77)</f>
        <v>1</v>
      </c>
      <c r="B77">
        <v>145</v>
      </c>
      <c r="C77" t="s">
        <v>189</v>
      </c>
      <c r="D77" t="s">
        <v>175</v>
      </c>
      <c r="E77" s="79" t="s">
        <v>624</v>
      </c>
      <c r="F77">
        <v>3.01</v>
      </c>
      <c r="G77">
        <v>107.9</v>
      </c>
      <c r="H77">
        <v>96</v>
      </c>
      <c r="I77">
        <v>104.9</v>
      </c>
      <c r="J77">
        <v>247</v>
      </c>
      <c r="K77">
        <v>64.2</v>
      </c>
      <c r="L77">
        <v>340</v>
      </c>
      <c r="M77">
        <v>-4.2999999999999997E-2</v>
      </c>
      <c r="N77">
        <v>273</v>
      </c>
      <c r="O77">
        <v>-3.36</v>
      </c>
      <c r="P77">
        <v>238</v>
      </c>
      <c r="Q77">
        <v>100.5</v>
      </c>
      <c r="R77">
        <v>242</v>
      </c>
      <c r="S77">
        <v>103.8</v>
      </c>
      <c r="T77">
        <v>240</v>
      </c>
      <c r="U77">
        <v>-5.62</v>
      </c>
      <c r="V77">
        <v>289</v>
      </c>
    </row>
    <row r="78" spans="1:22" x14ac:dyDescent="0.25">
      <c r="A78">
        <f>COUNTIF('Value Matchup'!$D$356:$D$423,C78)</f>
        <v>0</v>
      </c>
      <c r="B78">
        <v>33</v>
      </c>
      <c r="C78" t="s">
        <v>64</v>
      </c>
      <c r="D78" t="s">
        <v>139</v>
      </c>
      <c r="E78" s="79" t="s">
        <v>547</v>
      </c>
      <c r="F78">
        <v>19.579999999999998</v>
      </c>
      <c r="G78">
        <v>115.6</v>
      </c>
      <c r="H78">
        <v>15</v>
      </c>
      <c r="I78">
        <v>96</v>
      </c>
      <c r="J78">
        <v>75</v>
      </c>
      <c r="K78">
        <v>68.900000000000006</v>
      </c>
      <c r="L78">
        <v>154</v>
      </c>
      <c r="M78">
        <v>-0.109</v>
      </c>
      <c r="N78">
        <v>347</v>
      </c>
      <c r="O78">
        <v>12.44</v>
      </c>
      <c r="P78">
        <v>48</v>
      </c>
      <c r="Q78">
        <v>109</v>
      </c>
      <c r="R78">
        <v>42</v>
      </c>
      <c r="S78">
        <v>96.5</v>
      </c>
      <c r="T78">
        <v>53</v>
      </c>
      <c r="U78">
        <v>5.48</v>
      </c>
      <c r="V78">
        <v>120</v>
      </c>
    </row>
    <row r="79" spans="1:22" x14ac:dyDescent="0.25">
      <c r="A79">
        <f>COUNTIF('Value Matchup'!$D$356:$D$423,C79)</f>
        <v>0</v>
      </c>
      <c r="B79">
        <v>120</v>
      </c>
      <c r="C79" t="s">
        <v>190</v>
      </c>
      <c r="D79" t="s">
        <v>181</v>
      </c>
      <c r="E79" s="79" t="s">
        <v>625</v>
      </c>
      <c r="F79">
        <v>6.77</v>
      </c>
      <c r="G79">
        <v>102.6</v>
      </c>
      <c r="H79">
        <v>177</v>
      </c>
      <c r="I79">
        <v>95.8</v>
      </c>
      <c r="J79">
        <v>73</v>
      </c>
      <c r="K79">
        <v>69.2</v>
      </c>
      <c r="L79">
        <v>139</v>
      </c>
      <c r="M79">
        <v>7.0000000000000001E-3</v>
      </c>
      <c r="N79">
        <v>158</v>
      </c>
      <c r="O79">
        <v>6.82</v>
      </c>
      <c r="P79">
        <v>102</v>
      </c>
      <c r="Q79">
        <v>105.1</v>
      </c>
      <c r="R79">
        <v>113</v>
      </c>
      <c r="S79">
        <v>98.2</v>
      </c>
      <c r="T79">
        <v>102</v>
      </c>
      <c r="U79">
        <v>2.0499999999999998</v>
      </c>
      <c r="V79">
        <v>177</v>
      </c>
    </row>
    <row r="80" spans="1:22" x14ac:dyDescent="0.25">
      <c r="A80">
        <f>COUNTIF('Value Matchup'!$D$356:$D$423,C80)</f>
        <v>0</v>
      </c>
      <c r="B80">
        <v>165</v>
      </c>
      <c r="C80" t="s">
        <v>191</v>
      </c>
      <c r="D80" t="s">
        <v>170</v>
      </c>
      <c r="E80" s="79" t="s">
        <v>626</v>
      </c>
      <c r="F80">
        <v>1.75</v>
      </c>
      <c r="G80">
        <v>99.9</v>
      </c>
      <c r="H80">
        <v>233</v>
      </c>
      <c r="I80">
        <v>98.2</v>
      </c>
      <c r="J80">
        <v>110</v>
      </c>
      <c r="K80">
        <v>68.2</v>
      </c>
      <c r="L80">
        <v>189</v>
      </c>
      <c r="M80">
        <v>-1.6E-2</v>
      </c>
      <c r="N80">
        <v>215</v>
      </c>
      <c r="O80">
        <v>5.32</v>
      </c>
      <c r="P80">
        <v>116</v>
      </c>
      <c r="Q80">
        <v>103.9</v>
      </c>
      <c r="R80">
        <v>144</v>
      </c>
      <c r="S80">
        <v>98.6</v>
      </c>
      <c r="T80">
        <v>107</v>
      </c>
      <c r="U80">
        <v>-7.08</v>
      </c>
      <c r="V80">
        <v>302</v>
      </c>
    </row>
    <row r="81" spans="1:22" x14ac:dyDescent="0.25">
      <c r="A81">
        <f>COUNTIF('Value Matchup'!$D$356:$D$423,C81)</f>
        <v>0</v>
      </c>
      <c r="B81">
        <v>126</v>
      </c>
      <c r="C81" t="s">
        <v>192</v>
      </c>
      <c r="D81" t="s">
        <v>168</v>
      </c>
      <c r="E81" s="79" t="s">
        <v>548</v>
      </c>
      <c r="F81">
        <v>5.67</v>
      </c>
      <c r="G81">
        <v>103.8</v>
      </c>
      <c r="H81">
        <v>156</v>
      </c>
      <c r="I81">
        <v>98.2</v>
      </c>
      <c r="J81">
        <v>112</v>
      </c>
      <c r="K81">
        <v>65.7</v>
      </c>
      <c r="L81">
        <v>308</v>
      </c>
      <c r="M81">
        <v>-6.3E-2</v>
      </c>
      <c r="N81">
        <v>301</v>
      </c>
      <c r="O81">
        <v>3.69</v>
      </c>
      <c r="P81">
        <v>136</v>
      </c>
      <c r="Q81">
        <v>104.8</v>
      </c>
      <c r="R81">
        <v>124</v>
      </c>
      <c r="S81">
        <v>101.1</v>
      </c>
      <c r="T81">
        <v>142</v>
      </c>
      <c r="U81">
        <v>4.3499999999999996</v>
      </c>
      <c r="V81">
        <v>136</v>
      </c>
    </row>
    <row r="82" spans="1:22" x14ac:dyDescent="0.25">
      <c r="A82">
        <f>COUNTIF('Value Matchup'!$D$356:$D$423,C82)</f>
        <v>0</v>
      </c>
      <c r="B82">
        <v>309</v>
      </c>
      <c r="C82" t="s">
        <v>193</v>
      </c>
      <c r="D82" t="s">
        <v>131</v>
      </c>
      <c r="E82" s="79" t="s">
        <v>627</v>
      </c>
      <c r="F82">
        <v>-11.47</v>
      </c>
      <c r="G82">
        <v>96.3</v>
      </c>
      <c r="H82">
        <v>283</v>
      </c>
      <c r="I82">
        <v>107.8</v>
      </c>
      <c r="J82">
        <v>298</v>
      </c>
      <c r="K82">
        <v>69.2</v>
      </c>
      <c r="L82">
        <v>137</v>
      </c>
      <c r="M82">
        <v>-4.0000000000000001E-3</v>
      </c>
      <c r="N82">
        <v>190</v>
      </c>
      <c r="O82">
        <v>-3.79</v>
      </c>
      <c r="P82">
        <v>251</v>
      </c>
      <c r="Q82">
        <v>100.7</v>
      </c>
      <c r="R82">
        <v>234</v>
      </c>
      <c r="S82">
        <v>104.5</v>
      </c>
      <c r="T82">
        <v>278</v>
      </c>
      <c r="U82">
        <v>2.57</v>
      </c>
      <c r="V82">
        <v>167</v>
      </c>
    </row>
    <row r="83" spans="1:22" x14ac:dyDescent="0.25">
      <c r="A83">
        <f>COUNTIF('Value Matchup'!$D$356:$D$423,C83)</f>
        <v>0</v>
      </c>
      <c r="B83">
        <v>172</v>
      </c>
      <c r="C83" t="s">
        <v>194</v>
      </c>
      <c r="D83" t="s">
        <v>131</v>
      </c>
      <c r="E83" s="79" t="s">
        <v>500</v>
      </c>
      <c r="F83">
        <v>1.22</v>
      </c>
      <c r="G83">
        <v>101.8</v>
      </c>
      <c r="H83">
        <v>192</v>
      </c>
      <c r="I83">
        <v>100.6</v>
      </c>
      <c r="J83">
        <v>157</v>
      </c>
      <c r="K83">
        <v>75.099999999999994</v>
      </c>
      <c r="L83">
        <v>2</v>
      </c>
      <c r="M83">
        <v>8.5000000000000006E-2</v>
      </c>
      <c r="N83">
        <v>27</v>
      </c>
      <c r="O83">
        <v>-5.44</v>
      </c>
      <c r="P83">
        <v>289</v>
      </c>
      <c r="Q83">
        <v>99.6</v>
      </c>
      <c r="R83">
        <v>269</v>
      </c>
      <c r="S83">
        <v>105.1</v>
      </c>
      <c r="T83">
        <v>307</v>
      </c>
      <c r="U83">
        <v>-8.17</v>
      </c>
      <c r="V83">
        <v>307</v>
      </c>
    </row>
    <row r="84" spans="1:22" x14ac:dyDescent="0.25">
      <c r="A84">
        <f>COUNTIF('Value Matchup'!$D$356:$D$423,C84)</f>
        <v>0</v>
      </c>
      <c r="B84">
        <v>278</v>
      </c>
      <c r="C84" t="s">
        <v>195</v>
      </c>
      <c r="D84" t="s">
        <v>112</v>
      </c>
      <c r="E84" s="79" t="s">
        <v>628</v>
      </c>
      <c r="F84">
        <v>-9.1</v>
      </c>
      <c r="G84">
        <v>98.1</v>
      </c>
      <c r="H84">
        <v>257</v>
      </c>
      <c r="I84">
        <v>107.2</v>
      </c>
      <c r="J84">
        <v>288</v>
      </c>
      <c r="K84">
        <v>68.400000000000006</v>
      </c>
      <c r="L84">
        <v>179</v>
      </c>
      <c r="M84">
        <v>-3.9E-2</v>
      </c>
      <c r="N84">
        <v>262</v>
      </c>
      <c r="O84">
        <v>5.95</v>
      </c>
      <c r="P84">
        <v>113</v>
      </c>
      <c r="Q84">
        <v>107.2</v>
      </c>
      <c r="R84">
        <v>76</v>
      </c>
      <c r="S84">
        <v>101.2</v>
      </c>
      <c r="T84">
        <v>147</v>
      </c>
      <c r="U84">
        <v>18.7</v>
      </c>
      <c r="V84">
        <v>10</v>
      </c>
    </row>
    <row r="85" spans="1:22" x14ac:dyDescent="0.25">
      <c r="A85">
        <f>COUNTIF('Value Matchup'!$D$356:$D$423,C85)</f>
        <v>1</v>
      </c>
      <c r="B85">
        <v>111</v>
      </c>
      <c r="C85" t="s">
        <v>196</v>
      </c>
      <c r="D85" t="s">
        <v>197</v>
      </c>
      <c r="E85" s="79" t="s">
        <v>536</v>
      </c>
      <c r="F85">
        <v>8.0500000000000007</v>
      </c>
      <c r="G85">
        <v>108.4</v>
      </c>
      <c r="H85">
        <v>86</v>
      </c>
      <c r="I85">
        <v>100.4</v>
      </c>
      <c r="J85">
        <v>152</v>
      </c>
      <c r="K85">
        <v>72.400000000000006</v>
      </c>
      <c r="L85">
        <v>28</v>
      </c>
      <c r="M85">
        <v>-8.1000000000000003E-2</v>
      </c>
      <c r="N85">
        <v>323</v>
      </c>
      <c r="O85">
        <v>-3.24</v>
      </c>
      <c r="P85">
        <v>236</v>
      </c>
      <c r="Q85">
        <v>100.6</v>
      </c>
      <c r="R85">
        <v>237</v>
      </c>
      <c r="S85">
        <v>103.8</v>
      </c>
      <c r="T85">
        <v>241</v>
      </c>
      <c r="U85">
        <v>17.739999999999998</v>
      </c>
      <c r="V85">
        <v>12</v>
      </c>
    </row>
    <row r="86" spans="1:22" ht="16.5" customHeight="1" x14ac:dyDescent="0.25">
      <c r="A86">
        <f>COUNTIF('Value Matchup'!$D$356:$D$423,C86)</f>
        <v>0</v>
      </c>
      <c r="B86">
        <v>199</v>
      </c>
      <c r="C86" t="s">
        <v>198</v>
      </c>
      <c r="D86" t="s">
        <v>175</v>
      </c>
      <c r="E86" s="79" t="s">
        <v>629</v>
      </c>
      <c r="F86">
        <v>-2.21</v>
      </c>
      <c r="G86">
        <v>97.5</v>
      </c>
      <c r="H86">
        <v>270</v>
      </c>
      <c r="I86">
        <v>99.8</v>
      </c>
      <c r="J86">
        <v>134</v>
      </c>
      <c r="K86">
        <v>66.8</v>
      </c>
      <c r="L86">
        <v>261</v>
      </c>
      <c r="M86">
        <v>1.4E-2</v>
      </c>
      <c r="N86">
        <v>144</v>
      </c>
      <c r="O86">
        <v>-1.53</v>
      </c>
      <c r="P86">
        <v>205</v>
      </c>
      <c r="Q86">
        <v>102.1</v>
      </c>
      <c r="R86">
        <v>197</v>
      </c>
      <c r="S86">
        <v>103.6</v>
      </c>
      <c r="T86">
        <v>233</v>
      </c>
      <c r="U86">
        <v>-4.3600000000000003</v>
      </c>
      <c r="V86">
        <v>271</v>
      </c>
    </row>
    <row r="87" spans="1:22" ht="15.75" customHeight="1" x14ac:dyDescent="0.25">
      <c r="A87">
        <f>COUNTIF('Value Matchup'!$D$356:$D$423,C87)</f>
        <v>0</v>
      </c>
      <c r="B87">
        <v>204</v>
      </c>
      <c r="C87" t="s">
        <v>199</v>
      </c>
      <c r="D87" t="s">
        <v>143</v>
      </c>
      <c r="E87" s="79" t="s">
        <v>617</v>
      </c>
      <c r="F87">
        <v>-2.59</v>
      </c>
      <c r="G87">
        <v>106.4</v>
      </c>
      <c r="H87">
        <v>114</v>
      </c>
      <c r="I87">
        <v>109</v>
      </c>
      <c r="J87">
        <v>314</v>
      </c>
      <c r="K87">
        <v>62.3</v>
      </c>
      <c r="L87">
        <v>355</v>
      </c>
      <c r="M87">
        <v>1.0999999999999999E-2</v>
      </c>
      <c r="N87">
        <v>149</v>
      </c>
      <c r="O87">
        <v>3.68</v>
      </c>
      <c r="P87">
        <v>137</v>
      </c>
      <c r="Q87">
        <v>103.3</v>
      </c>
      <c r="R87">
        <v>164</v>
      </c>
      <c r="S87">
        <v>99.6</v>
      </c>
      <c r="T87">
        <v>123</v>
      </c>
      <c r="U87">
        <v>-4.76</v>
      </c>
      <c r="V87">
        <v>275</v>
      </c>
    </row>
    <row r="88" spans="1:22" x14ac:dyDescent="0.25">
      <c r="A88">
        <f>COUNTIF('Value Matchup'!$D$356:$D$423,C88)</f>
        <v>0</v>
      </c>
      <c r="B88">
        <v>308</v>
      </c>
      <c r="C88" t="s">
        <v>200</v>
      </c>
      <c r="D88" t="s">
        <v>160</v>
      </c>
      <c r="E88" s="79" t="s">
        <v>630</v>
      </c>
      <c r="F88">
        <v>-11.26</v>
      </c>
      <c r="G88">
        <v>95.5</v>
      </c>
      <c r="H88">
        <v>296</v>
      </c>
      <c r="I88">
        <v>106.8</v>
      </c>
      <c r="J88">
        <v>283</v>
      </c>
      <c r="K88">
        <v>64.599999999999994</v>
      </c>
      <c r="L88">
        <v>335</v>
      </c>
      <c r="M88">
        <v>5.0000000000000001E-3</v>
      </c>
      <c r="N88">
        <v>164</v>
      </c>
      <c r="O88">
        <v>-5.52</v>
      </c>
      <c r="P88">
        <v>293</v>
      </c>
      <c r="Q88">
        <v>96.8</v>
      </c>
      <c r="R88">
        <v>330</v>
      </c>
      <c r="S88">
        <v>102.3</v>
      </c>
      <c r="T88">
        <v>182</v>
      </c>
      <c r="U88">
        <v>-0.56000000000000005</v>
      </c>
      <c r="V88">
        <v>220</v>
      </c>
    </row>
    <row r="89" spans="1:22" x14ac:dyDescent="0.25">
      <c r="A89">
        <f>COUNTIF('Value Matchup'!$D$356:$D$423,C89)</f>
        <v>0</v>
      </c>
      <c r="B89">
        <v>290</v>
      </c>
      <c r="C89" t="s">
        <v>201</v>
      </c>
      <c r="D89" t="s">
        <v>147</v>
      </c>
      <c r="E89" s="79" t="s">
        <v>631</v>
      </c>
      <c r="F89">
        <v>-9.9600000000000009</v>
      </c>
      <c r="G89">
        <v>101.8</v>
      </c>
      <c r="H89">
        <v>193</v>
      </c>
      <c r="I89">
        <v>111.8</v>
      </c>
      <c r="J89">
        <v>342</v>
      </c>
      <c r="K89">
        <v>71</v>
      </c>
      <c r="L89">
        <v>67</v>
      </c>
      <c r="M89">
        <v>1.7000000000000001E-2</v>
      </c>
      <c r="N89">
        <v>140</v>
      </c>
      <c r="O89">
        <v>-5.49</v>
      </c>
      <c r="P89">
        <v>291</v>
      </c>
      <c r="Q89">
        <v>99.1</v>
      </c>
      <c r="R89">
        <v>285</v>
      </c>
      <c r="S89">
        <v>104.6</v>
      </c>
      <c r="T89">
        <v>283</v>
      </c>
      <c r="U89">
        <v>3.9</v>
      </c>
      <c r="V89">
        <v>148</v>
      </c>
    </row>
    <row r="90" spans="1:22" x14ac:dyDescent="0.25">
      <c r="A90">
        <f>COUNTIF('Value Matchup'!$D$356:$D$423,C90)</f>
        <v>0</v>
      </c>
      <c r="B90">
        <v>296</v>
      </c>
      <c r="C90" t="s">
        <v>202</v>
      </c>
      <c r="D90" t="s">
        <v>166</v>
      </c>
      <c r="E90" s="79" t="s">
        <v>632</v>
      </c>
      <c r="F90">
        <v>-10.39</v>
      </c>
      <c r="G90">
        <v>97.9</v>
      </c>
      <c r="H90">
        <v>264</v>
      </c>
      <c r="I90">
        <v>108.3</v>
      </c>
      <c r="J90">
        <v>308</v>
      </c>
      <c r="K90">
        <v>70.7</v>
      </c>
      <c r="L90">
        <v>82</v>
      </c>
      <c r="M90">
        <v>-0.09</v>
      </c>
      <c r="N90">
        <v>328</v>
      </c>
      <c r="O90">
        <v>-0.77</v>
      </c>
      <c r="P90">
        <v>191</v>
      </c>
      <c r="Q90">
        <v>101.6</v>
      </c>
      <c r="R90">
        <v>208</v>
      </c>
      <c r="S90">
        <v>102.3</v>
      </c>
      <c r="T90">
        <v>184</v>
      </c>
      <c r="U90">
        <v>-7.93</v>
      </c>
      <c r="V90">
        <v>304</v>
      </c>
    </row>
    <row r="91" spans="1:22" x14ac:dyDescent="0.25">
      <c r="A91">
        <f>COUNTIF('Value Matchup'!$D$356:$D$423,C91)</f>
        <v>1</v>
      </c>
      <c r="B91">
        <v>37</v>
      </c>
      <c r="C91" t="s">
        <v>81</v>
      </c>
      <c r="D91" t="s">
        <v>114</v>
      </c>
      <c r="E91" s="79" t="s">
        <v>544</v>
      </c>
      <c r="F91">
        <v>18.95</v>
      </c>
      <c r="G91">
        <v>111.7</v>
      </c>
      <c r="H91">
        <v>39</v>
      </c>
      <c r="I91">
        <v>92.8</v>
      </c>
      <c r="J91">
        <v>37</v>
      </c>
      <c r="K91">
        <v>68.7</v>
      </c>
      <c r="L91">
        <v>165</v>
      </c>
      <c r="M91">
        <v>3.0000000000000001E-3</v>
      </c>
      <c r="N91">
        <v>167</v>
      </c>
      <c r="O91">
        <v>14.59</v>
      </c>
      <c r="P91">
        <v>22</v>
      </c>
      <c r="Q91">
        <v>109.7</v>
      </c>
      <c r="R91">
        <v>27</v>
      </c>
      <c r="S91">
        <v>95.2</v>
      </c>
      <c r="T91">
        <v>25</v>
      </c>
      <c r="U91">
        <v>8.5399999999999991</v>
      </c>
      <c r="V91">
        <v>77</v>
      </c>
    </row>
    <row r="92" spans="1:22" x14ac:dyDescent="0.25">
      <c r="A92">
        <f>COUNTIF('Value Matchup'!$D$356:$D$423,C92)</f>
        <v>0</v>
      </c>
      <c r="B92">
        <v>280</v>
      </c>
      <c r="C92" t="s">
        <v>203</v>
      </c>
      <c r="D92" t="s">
        <v>135</v>
      </c>
      <c r="E92" s="79" t="s">
        <v>633</v>
      </c>
      <c r="F92">
        <v>-9.18</v>
      </c>
      <c r="G92">
        <v>91</v>
      </c>
      <c r="H92">
        <v>340</v>
      </c>
      <c r="I92">
        <v>100.2</v>
      </c>
      <c r="J92">
        <v>146</v>
      </c>
      <c r="K92">
        <v>68.7</v>
      </c>
      <c r="L92">
        <v>164</v>
      </c>
      <c r="M92">
        <v>-1.0999999999999999E-2</v>
      </c>
      <c r="N92">
        <v>205</v>
      </c>
      <c r="O92">
        <v>-6.53</v>
      </c>
      <c r="P92">
        <v>311</v>
      </c>
      <c r="Q92">
        <v>98.3</v>
      </c>
      <c r="R92">
        <v>305</v>
      </c>
      <c r="S92">
        <v>104.9</v>
      </c>
      <c r="T92">
        <v>295</v>
      </c>
      <c r="U92">
        <v>12.12</v>
      </c>
      <c r="V92">
        <v>39</v>
      </c>
    </row>
    <row r="93" spans="1:22" x14ac:dyDescent="0.25">
      <c r="A93">
        <f>COUNTIF('Value Matchup'!$D$356:$D$423,C93)</f>
        <v>0</v>
      </c>
      <c r="B93">
        <v>182</v>
      </c>
      <c r="C93" t="s">
        <v>204</v>
      </c>
      <c r="D93" t="s">
        <v>166</v>
      </c>
      <c r="E93" s="79" t="s">
        <v>532</v>
      </c>
      <c r="F93">
        <v>0.25</v>
      </c>
      <c r="G93">
        <v>102.5</v>
      </c>
      <c r="H93">
        <v>180</v>
      </c>
      <c r="I93">
        <v>102.2</v>
      </c>
      <c r="J93">
        <v>191</v>
      </c>
      <c r="K93">
        <v>68.400000000000006</v>
      </c>
      <c r="L93">
        <v>177</v>
      </c>
      <c r="M93">
        <v>-9.8000000000000004E-2</v>
      </c>
      <c r="N93">
        <v>340</v>
      </c>
      <c r="O93">
        <v>-2.02</v>
      </c>
      <c r="P93">
        <v>215</v>
      </c>
      <c r="Q93">
        <v>100.9</v>
      </c>
      <c r="R93">
        <v>230</v>
      </c>
      <c r="S93">
        <v>102.9</v>
      </c>
      <c r="T93">
        <v>205</v>
      </c>
      <c r="U93">
        <v>-0.72</v>
      </c>
      <c r="V93">
        <v>223</v>
      </c>
    </row>
    <row r="94" spans="1:22" x14ac:dyDescent="0.25">
      <c r="A94">
        <f>COUNTIF('Value Matchup'!$D$356:$D$423,C94)</f>
        <v>0</v>
      </c>
      <c r="B94">
        <v>288</v>
      </c>
      <c r="C94" t="s">
        <v>205</v>
      </c>
      <c r="D94" t="s">
        <v>206</v>
      </c>
      <c r="E94" s="79" t="s">
        <v>634</v>
      </c>
      <c r="F94">
        <v>-9.7799999999999994</v>
      </c>
      <c r="G94">
        <v>93.9</v>
      </c>
      <c r="H94">
        <v>312</v>
      </c>
      <c r="I94">
        <v>103.7</v>
      </c>
      <c r="J94">
        <v>218</v>
      </c>
      <c r="K94">
        <v>71</v>
      </c>
      <c r="L94">
        <v>69</v>
      </c>
      <c r="M94">
        <v>7.1999999999999995E-2</v>
      </c>
      <c r="N94">
        <v>40</v>
      </c>
      <c r="O94">
        <v>-7.02</v>
      </c>
      <c r="P94">
        <v>318</v>
      </c>
      <c r="Q94">
        <v>98.5</v>
      </c>
      <c r="R94">
        <v>302</v>
      </c>
      <c r="S94">
        <v>105.5</v>
      </c>
      <c r="T94">
        <v>319</v>
      </c>
      <c r="U94">
        <v>-5.42</v>
      </c>
      <c r="V94">
        <v>284</v>
      </c>
    </row>
    <row r="95" spans="1:22" x14ac:dyDescent="0.25">
      <c r="A95">
        <f>COUNTIF('Value Matchup'!$D$356:$D$423,C95)</f>
        <v>1</v>
      </c>
      <c r="B95">
        <v>15</v>
      </c>
      <c r="C95" t="s">
        <v>207</v>
      </c>
      <c r="D95" t="s">
        <v>139</v>
      </c>
      <c r="E95" s="79" t="s">
        <v>549</v>
      </c>
      <c r="F95">
        <v>23.47</v>
      </c>
      <c r="G95">
        <v>117.2</v>
      </c>
      <c r="H95">
        <v>10</v>
      </c>
      <c r="I95">
        <v>93.7</v>
      </c>
      <c r="J95">
        <v>48</v>
      </c>
      <c r="K95">
        <v>70.599999999999994</v>
      </c>
      <c r="L95">
        <v>84</v>
      </c>
      <c r="M95">
        <v>-1.0999999999999999E-2</v>
      </c>
      <c r="N95">
        <v>207</v>
      </c>
      <c r="O95">
        <v>12.51</v>
      </c>
      <c r="P95">
        <v>44</v>
      </c>
      <c r="Q95">
        <v>108.8</v>
      </c>
      <c r="R95">
        <v>46</v>
      </c>
      <c r="S95">
        <v>96.3</v>
      </c>
      <c r="T95">
        <v>45</v>
      </c>
      <c r="U95">
        <v>4.1900000000000004</v>
      </c>
      <c r="V95">
        <v>142</v>
      </c>
    </row>
    <row r="96" spans="1:22" x14ac:dyDescent="0.25">
      <c r="A96">
        <f>COUNTIF('Value Matchup'!$D$356:$D$423,C96)</f>
        <v>0</v>
      </c>
      <c r="B96">
        <v>302</v>
      </c>
      <c r="C96" t="s">
        <v>208</v>
      </c>
      <c r="D96" t="s">
        <v>181</v>
      </c>
      <c r="E96" s="79" t="s">
        <v>635</v>
      </c>
      <c r="F96">
        <v>-10.82</v>
      </c>
      <c r="G96">
        <v>87.3</v>
      </c>
      <c r="H96">
        <v>352</v>
      </c>
      <c r="I96">
        <v>98.1</v>
      </c>
      <c r="J96">
        <v>107</v>
      </c>
      <c r="K96">
        <v>64.099999999999994</v>
      </c>
      <c r="L96">
        <v>343</v>
      </c>
      <c r="M96">
        <v>1.7999999999999999E-2</v>
      </c>
      <c r="N96">
        <v>137</v>
      </c>
      <c r="O96">
        <v>6.61</v>
      </c>
      <c r="P96">
        <v>105</v>
      </c>
      <c r="Q96">
        <v>105.8</v>
      </c>
      <c r="R96">
        <v>97</v>
      </c>
      <c r="S96">
        <v>99.2</v>
      </c>
      <c r="T96">
        <v>116</v>
      </c>
      <c r="U96">
        <v>-99</v>
      </c>
      <c r="V96">
        <v>331</v>
      </c>
    </row>
    <row r="97" spans="1:22" x14ac:dyDescent="0.25">
      <c r="A97">
        <f>COUNTIF('Value Matchup'!$D$356:$D$423,C97)</f>
        <v>0</v>
      </c>
      <c r="B97">
        <v>187</v>
      </c>
      <c r="C97" t="s">
        <v>209</v>
      </c>
      <c r="D97" t="s">
        <v>110</v>
      </c>
      <c r="E97" s="79" t="s">
        <v>636</v>
      </c>
      <c r="F97">
        <v>-0.5</v>
      </c>
      <c r="G97">
        <v>100.6</v>
      </c>
      <c r="H97">
        <v>218</v>
      </c>
      <c r="I97">
        <v>101.1</v>
      </c>
      <c r="J97">
        <v>169</v>
      </c>
      <c r="K97">
        <v>66.099999999999994</v>
      </c>
      <c r="L97">
        <v>299</v>
      </c>
      <c r="M97">
        <v>6.5000000000000002E-2</v>
      </c>
      <c r="N97">
        <v>47</v>
      </c>
      <c r="O97">
        <v>4.9400000000000004</v>
      </c>
      <c r="P97">
        <v>121</v>
      </c>
      <c r="Q97">
        <v>104.5</v>
      </c>
      <c r="R97">
        <v>132</v>
      </c>
      <c r="S97">
        <v>99.6</v>
      </c>
      <c r="T97">
        <v>122</v>
      </c>
      <c r="U97">
        <v>-99</v>
      </c>
      <c r="V97">
        <v>331</v>
      </c>
    </row>
    <row r="98" spans="1:22" x14ac:dyDescent="0.25">
      <c r="A98">
        <f>COUNTIF('Value Matchup'!$D$356:$D$423,C98)</f>
        <v>0</v>
      </c>
      <c r="B98">
        <v>91</v>
      </c>
      <c r="C98" t="s">
        <v>210</v>
      </c>
      <c r="D98" t="s">
        <v>168</v>
      </c>
      <c r="E98" s="79" t="s">
        <v>550</v>
      </c>
      <c r="F98">
        <v>10.39</v>
      </c>
      <c r="G98">
        <v>110.6</v>
      </c>
      <c r="H98">
        <v>56</v>
      </c>
      <c r="I98">
        <v>100.2</v>
      </c>
      <c r="J98">
        <v>147</v>
      </c>
      <c r="K98">
        <v>67.900000000000006</v>
      </c>
      <c r="L98">
        <v>203</v>
      </c>
      <c r="M98">
        <v>-8.5999999999999993E-2</v>
      </c>
      <c r="N98">
        <v>324</v>
      </c>
      <c r="O98">
        <v>2.4500000000000002</v>
      </c>
      <c r="P98">
        <v>152</v>
      </c>
      <c r="Q98">
        <v>104.1</v>
      </c>
      <c r="R98">
        <v>140</v>
      </c>
      <c r="S98">
        <v>101.6</v>
      </c>
      <c r="T98">
        <v>160</v>
      </c>
      <c r="U98">
        <v>2.74</v>
      </c>
      <c r="V98">
        <v>165</v>
      </c>
    </row>
    <row r="99" spans="1:22" x14ac:dyDescent="0.25">
      <c r="A99">
        <f>COUNTIF('Value Matchup'!$D$356:$D$423,C99)</f>
        <v>0</v>
      </c>
      <c r="B99">
        <v>179</v>
      </c>
      <c r="C99" t="s">
        <v>211</v>
      </c>
      <c r="D99" t="s">
        <v>158</v>
      </c>
      <c r="E99" s="79" t="s">
        <v>637</v>
      </c>
      <c r="F99">
        <v>0.63</v>
      </c>
      <c r="G99">
        <v>105.2</v>
      </c>
      <c r="H99">
        <v>125</v>
      </c>
      <c r="I99">
        <v>104.6</v>
      </c>
      <c r="J99">
        <v>241</v>
      </c>
      <c r="K99">
        <v>67</v>
      </c>
      <c r="L99">
        <v>253</v>
      </c>
      <c r="M99">
        <v>-0.16500000000000001</v>
      </c>
      <c r="N99">
        <v>355</v>
      </c>
      <c r="O99">
        <v>-3.88</v>
      </c>
      <c r="P99">
        <v>253</v>
      </c>
      <c r="Q99">
        <v>100.2</v>
      </c>
      <c r="R99">
        <v>247</v>
      </c>
      <c r="S99">
        <v>104.1</v>
      </c>
      <c r="T99">
        <v>256</v>
      </c>
      <c r="U99">
        <v>12.54</v>
      </c>
      <c r="V99">
        <v>35</v>
      </c>
    </row>
    <row r="100" spans="1:22" x14ac:dyDescent="0.25">
      <c r="A100">
        <f>COUNTIF('Value Matchup'!$D$356:$D$423,C100)</f>
        <v>0</v>
      </c>
      <c r="B100">
        <v>131</v>
      </c>
      <c r="C100" t="s">
        <v>212</v>
      </c>
      <c r="D100" t="s">
        <v>181</v>
      </c>
      <c r="E100" s="79" t="s">
        <v>551</v>
      </c>
      <c r="F100">
        <v>4.8899999999999997</v>
      </c>
      <c r="G100">
        <v>102</v>
      </c>
      <c r="H100">
        <v>186</v>
      </c>
      <c r="I100">
        <v>97.2</v>
      </c>
      <c r="J100">
        <v>92</v>
      </c>
      <c r="K100">
        <v>68.400000000000006</v>
      </c>
      <c r="L100">
        <v>176</v>
      </c>
      <c r="M100">
        <v>4.5999999999999999E-2</v>
      </c>
      <c r="N100">
        <v>80</v>
      </c>
      <c r="O100">
        <v>3.51</v>
      </c>
      <c r="P100">
        <v>140</v>
      </c>
      <c r="Q100">
        <v>104.5</v>
      </c>
      <c r="R100">
        <v>131</v>
      </c>
      <c r="S100">
        <v>101</v>
      </c>
      <c r="T100">
        <v>141</v>
      </c>
      <c r="U100">
        <v>-4.87</v>
      </c>
      <c r="V100">
        <v>277</v>
      </c>
    </row>
    <row r="101" spans="1:22" x14ac:dyDescent="0.25">
      <c r="A101">
        <f>COUNTIF('Value Matchup'!$D$356:$D$423,C101)</f>
        <v>0</v>
      </c>
      <c r="B101">
        <v>224</v>
      </c>
      <c r="C101" t="s">
        <v>213</v>
      </c>
      <c r="D101" t="s">
        <v>181</v>
      </c>
      <c r="E101" s="79" t="s">
        <v>638</v>
      </c>
      <c r="F101">
        <v>-4.13</v>
      </c>
      <c r="G101">
        <v>102.6</v>
      </c>
      <c r="H101">
        <v>178</v>
      </c>
      <c r="I101">
        <v>106.7</v>
      </c>
      <c r="J101">
        <v>282</v>
      </c>
      <c r="K101">
        <v>68.2</v>
      </c>
      <c r="L101">
        <v>190</v>
      </c>
      <c r="M101">
        <v>-9.4E-2</v>
      </c>
      <c r="N101">
        <v>337</v>
      </c>
      <c r="O101">
        <v>0.81</v>
      </c>
      <c r="P101">
        <v>168</v>
      </c>
      <c r="Q101">
        <v>99.8</v>
      </c>
      <c r="R101">
        <v>264</v>
      </c>
      <c r="S101">
        <v>99</v>
      </c>
      <c r="T101">
        <v>113</v>
      </c>
      <c r="U101">
        <v>-6.34</v>
      </c>
      <c r="V101">
        <v>294</v>
      </c>
    </row>
    <row r="102" spans="1:22" x14ac:dyDescent="0.25">
      <c r="A102">
        <f>COUNTIF('Value Matchup'!$D$356:$D$423,C102)</f>
        <v>1</v>
      </c>
      <c r="B102">
        <v>55</v>
      </c>
      <c r="C102" t="s">
        <v>66</v>
      </c>
      <c r="D102" t="s">
        <v>149</v>
      </c>
      <c r="E102" s="79" t="s">
        <v>548</v>
      </c>
      <c r="F102">
        <v>15.46</v>
      </c>
      <c r="G102">
        <v>108.4</v>
      </c>
      <c r="H102">
        <v>85</v>
      </c>
      <c r="I102">
        <v>93</v>
      </c>
      <c r="J102">
        <v>41</v>
      </c>
      <c r="K102">
        <v>69.7</v>
      </c>
      <c r="L102">
        <v>113</v>
      </c>
      <c r="M102">
        <v>1E-3</v>
      </c>
      <c r="N102">
        <v>171</v>
      </c>
      <c r="O102">
        <v>14.43</v>
      </c>
      <c r="P102">
        <v>25</v>
      </c>
      <c r="Q102">
        <v>110.3</v>
      </c>
      <c r="R102">
        <v>21</v>
      </c>
      <c r="S102">
        <v>95.9</v>
      </c>
      <c r="T102">
        <v>40</v>
      </c>
      <c r="U102">
        <v>4.45</v>
      </c>
      <c r="V102">
        <v>135</v>
      </c>
    </row>
    <row r="103" spans="1:22" x14ac:dyDescent="0.25">
      <c r="A103">
        <f>COUNTIF('Value Matchup'!$D$356:$D$423,C103)</f>
        <v>0</v>
      </c>
      <c r="B103">
        <v>93</v>
      </c>
      <c r="C103" t="s">
        <v>60</v>
      </c>
      <c r="D103" t="s">
        <v>114</v>
      </c>
      <c r="E103" s="79" t="s">
        <v>552</v>
      </c>
      <c r="F103">
        <v>10.119999999999999</v>
      </c>
      <c r="G103">
        <v>108.7</v>
      </c>
      <c r="H103">
        <v>81</v>
      </c>
      <c r="I103">
        <v>98.5</v>
      </c>
      <c r="J103">
        <v>118</v>
      </c>
      <c r="K103">
        <v>73.5</v>
      </c>
      <c r="L103">
        <v>15</v>
      </c>
      <c r="M103">
        <v>4.8000000000000001E-2</v>
      </c>
      <c r="N103">
        <v>78</v>
      </c>
      <c r="O103">
        <v>11.96</v>
      </c>
      <c r="P103">
        <v>54</v>
      </c>
      <c r="Q103">
        <v>107.5</v>
      </c>
      <c r="R103">
        <v>73</v>
      </c>
      <c r="S103">
        <v>95.5</v>
      </c>
      <c r="T103">
        <v>33</v>
      </c>
      <c r="U103">
        <v>-6.57</v>
      </c>
      <c r="V103">
        <v>299</v>
      </c>
    </row>
    <row r="104" spans="1:22" x14ac:dyDescent="0.25">
      <c r="A104">
        <f>COUNTIF('Value Matchup'!$D$356:$D$423,C104)</f>
        <v>0</v>
      </c>
      <c r="B104">
        <v>270</v>
      </c>
      <c r="C104" t="s">
        <v>214</v>
      </c>
      <c r="D104" t="s">
        <v>123</v>
      </c>
      <c r="E104" s="79" t="s">
        <v>553</v>
      </c>
      <c r="F104">
        <v>-8.39</v>
      </c>
      <c r="G104">
        <v>94.6</v>
      </c>
      <c r="H104">
        <v>303</v>
      </c>
      <c r="I104">
        <v>103</v>
      </c>
      <c r="J104">
        <v>204</v>
      </c>
      <c r="K104">
        <v>67</v>
      </c>
      <c r="L104">
        <v>250</v>
      </c>
      <c r="M104">
        <v>3.2000000000000001E-2</v>
      </c>
      <c r="N104">
        <v>102</v>
      </c>
      <c r="O104">
        <v>-3.55</v>
      </c>
      <c r="P104">
        <v>246</v>
      </c>
      <c r="Q104">
        <v>100.4</v>
      </c>
      <c r="R104">
        <v>244</v>
      </c>
      <c r="S104">
        <v>103.9</v>
      </c>
      <c r="T104">
        <v>246</v>
      </c>
      <c r="U104">
        <v>-1.49</v>
      </c>
      <c r="V104">
        <v>235</v>
      </c>
    </row>
    <row r="105" spans="1:22" x14ac:dyDescent="0.25">
      <c r="A105">
        <f>COUNTIF('Value Matchup'!$D$356:$D$423,C105)</f>
        <v>0</v>
      </c>
      <c r="B105">
        <v>153</v>
      </c>
      <c r="C105" t="s">
        <v>215</v>
      </c>
      <c r="D105" t="s">
        <v>123</v>
      </c>
      <c r="E105" s="79" t="s">
        <v>549</v>
      </c>
      <c r="F105">
        <v>2.58</v>
      </c>
      <c r="G105">
        <v>106.2</v>
      </c>
      <c r="H105">
        <v>117</v>
      </c>
      <c r="I105">
        <v>103.6</v>
      </c>
      <c r="J105">
        <v>217</v>
      </c>
      <c r="K105">
        <v>70.900000000000006</v>
      </c>
      <c r="L105">
        <v>76</v>
      </c>
      <c r="M105">
        <v>7.5999999999999998E-2</v>
      </c>
      <c r="N105">
        <v>35</v>
      </c>
      <c r="O105">
        <v>-1.97</v>
      </c>
      <c r="P105">
        <v>213</v>
      </c>
      <c r="Q105">
        <v>101.2</v>
      </c>
      <c r="R105">
        <v>222</v>
      </c>
      <c r="S105">
        <v>103.2</v>
      </c>
      <c r="T105">
        <v>219</v>
      </c>
      <c r="U105">
        <v>4.55</v>
      </c>
      <c r="V105">
        <v>131</v>
      </c>
    </row>
    <row r="106" spans="1:22" x14ac:dyDescent="0.25">
      <c r="A106">
        <f>COUNTIF('Value Matchup'!$D$356:$D$423,C106)</f>
        <v>1</v>
      </c>
      <c r="B106">
        <v>32</v>
      </c>
      <c r="C106" t="s">
        <v>216</v>
      </c>
      <c r="D106" t="s">
        <v>139</v>
      </c>
      <c r="E106" s="79" t="s">
        <v>554</v>
      </c>
      <c r="F106">
        <v>19.95</v>
      </c>
      <c r="G106">
        <v>114.1</v>
      </c>
      <c r="H106">
        <v>27</v>
      </c>
      <c r="I106">
        <v>94.1</v>
      </c>
      <c r="J106">
        <v>52</v>
      </c>
      <c r="K106">
        <v>67.8</v>
      </c>
      <c r="L106">
        <v>214</v>
      </c>
      <c r="M106">
        <v>-5.0000000000000001E-3</v>
      </c>
      <c r="N106">
        <v>192</v>
      </c>
      <c r="O106">
        <v>12.22</v>
      </c>
      <c r="P106">
        <v>50</v>
      </c>
      <c r="Q106">
        <v>108.7</v>
      </c>
      <c r="R106">
        <v>47</v>
      </c>
      <c r="S106">
        <v>96.5</v>
      </c>
      <c r="T106">
        <v>52</v>
      </c>
      <c r="U106">
        <v>-1.01</v>
      </c>
      <c r="V106">
        <v>228</v>
      </c>
    </row>
    <row r="107" spans="1:22" x14ac:dyDescent="0.25">
      <c r="A107">
        <f>COUNTIF('Value Matchup'!$D$356:$D$423,C107)</f>
        <v>1</v>
      </c>
      <c r="B107">
        <v>1</v>
      </c>
      <c r="C107" t="s">
        <v>71</v>
      </c>
      <c r="D107" t="s">
        <v>150</v>
      </c>
      <c r="E107" s="79" t="s">
        <v>555</v>
      </c>
      <c r="F107">
        <v>38.020000000000003</v>
      </c>
      <c r="G107">
        <v>126.9</v>
      </c>
      <c r="H107">
        <v>1</v>
      </c>
      <c r="I107">
        <v>88.8</v>
      </c>
      <c r="J107">
        <v>11</v>
      </c>
      <c r="K107">
        <v>74.8</v>
      </c>
      <c r="L107">
        <v>4</v>
      </c>
      <c r="M107">
        <v>1.7999999999999999E-2</v>
      </c>
      <c r="N107">
        <v>138</v>
      </c>
      <c r="O107">
        <v>7.79</v>
      </c>
      <c r="P107">
        <v>93</v>
      </c>
      <c r="Q107">
        <v>105.8</v>
      </c>
      <c r="R107">
        <v>100</v>
      </c>
      <c r="S107">
        <v>98</v>
      </c>
      <c r="T107">
        <v>94</v>
      </c>
      <c r="U107">
        <v>5.95</v>
      </c>
      <c r="V107">
        <v>106</v>
      </c>
    </row>
    <row r="108" spans="1:22" x14ac:dyDescent="0.25">
      <c r="A108">
        <f>COUNTIF('Value Matchup'!$D$356:$D$423,C108)</f>
        <v>0</v>
      </c>
      <c r="B108">
        <v>323</v>
      </c>
      <c r="C108" t="s">
        <v>217</v>
      </c>
      <c r="D108" t="s">
        <v>116</v>
      </c>
      <c r="E108" s="79" t="s">
        <v>636</v>
      </c>
      <c r="F108">
        <v>-13.6</v>
      </c>
      <c r="G108">
        <v>92.3</v>
      </c>
      <c r="H108">
        <v>327</v>
      </c>
      <c r="I108">
        <v>105.9</v>
      </c>
      <c r="J108">
        <v>268</v>
      </c>
      <c r="K108">
        <v>70.099999999999994</v>
      </c>
      <c r="L108">
        <v>95</v>
      </c>
      <c r="M108">
        <v>3.5999999999999997E-2</v>
      </c>
      <c r="N108">
        <v>98</v>
      </c>
      <c r="O108">
        <v>-11.59</v>
      </c>
      <c r="P108">
        <v>342</v>
      </c>
      <c r="Q108">
        <v>93.3</v>
      </c>
      <c r="R108">
        <v>342</v>
      </c>
      <c r="S108">
        <v>104.9</v>
      </c>
      <c r="T108">
        <v>299</v>
      </c>
      <c r="U108">
        <v>6.85</v>
      </c>
      <c r="V108">
        <v>98</v>
      </c>
    </row>
    <row r="109" spans="1:22" x14ac:dyDescent="0.25">
      <c r="A109">
        <f>COUNTIF('Value Matchup'!$D$356:$D$423,C109)</f>
        <v>1</v>
      </c>
      <c r="B109">
        <v>108</v>
      </c>
      <c r="C109" t="s">
        <v>218</v>
      </c>
      <c r="D109" t="s">
        <v>154</v>
      </c>
      <c r="E109" s="79" t="s">
        <v>556</v>
      </c>
      <c r="F109">
        <v>8.3800000000000008</v>
      </c>
      <c r="G109">
        <v>104.3</v>
      </c>
      <c r="H109">
        <v>142</v>
      </c>
      <c r="I109">
        <v>95.9</v>
      </c>
      <c r="J109">
        <v>74</v>
      </c>
      <c r="K109">
        <v>65.5</v>
      </c>
      <c r="L109">
        <v>314</v>
      </c>
      <c r="M109">
        <v>-6.0999999999999999E-2</v>
      </c>
      <c r="N109">
        <v>299</v>
      </c>
      <c r="O109">
        <v>-4.04</v>
      </c>
      <c r="P109">
        <v>255</v>
      </c>
      <c r="Q109">
        <v>100.3</v>
      </c>
      <c r="R109">
        <v>245</v>
      </c>
      <c r="S109">
        <v>104.3</v>
      </c>
      <c r="T109">
        <v>270</v>
      </c>
      <c r="U109">
        <v>0.64</v>
      </c>
      <c r="V109">
        <v>201</v>
      </c>
    </row>
    <row r="110" spans="1:22" x14ac:dyDescent="0.25">
      <c r="A110">
        <f>COUNTIF('Value Matchup'!$D$356:$D$423,C110)</f>
        <v>0</v>
      </c>
      <c r="B110">
        <v>245</v>
      </c>
      <c r="C110" t="s">
        <v>219</v>
      </c>
      <c r="D110" t="s">
        <v>172</v>
      </c>
      <c r="E110" s="79" t="s">
        <v>639</v>
      </c>
      <c r="F110">
        <v>-5.9</v>
      </c>
      <c r="G110">
        <v>103.4</v>
      </c>
      <c r="H110">
        <v>165</v>
      </c>
      <c r="I110">
        <v>109.3</v>
      </c>
      <c r="J110">
        <v>318</v>
      </c>
      <c r="K110">
        <v>66.3</v>
      </c>
      <c r="L110">
        <v>286</v>
      </c>
      <c r="M110">
        <v>-4.2000000000000003E-2</v>
      </c>
      <c r="N110">
        <v>270</v>
      </c>
      <c r="O110">
        <v>-0.64</v>
      </c>
      <c r="P110">
        <v>187</v>
      </c>
      <c r="Q110">
        <v>103.3</v>
      </c>
      <c r="R110">
        <v>160</v>
      </c>
      <c r="S110">
        <v>104</v>
      </c>
      <c r="T110">
        <v>250</v>
      </c>
      <c r="U110">
        <v>13.59</v>
      </c>
      <c r="V110">
        <v>26</v>
      </c>
    </row>
    <row r="111" spans="1:22" x14ac:dyDescent="0.25">
      <c r="A111">
        <f>COUNTIF('Value Matchup'!$D$356:$D$423,C111)</f>
        <v>0</v>
      </c>
      <c r="B111">
        <v>325</v>
      </c>
      <c r="C111" t="s">
        <v>27</v>
      </c>
      <c r="D111" t="s">
        <v>158</v>
      </c>
      <c r="E111" s="79" t="s">
        <v>597</v>
      </c>
      <c r="F111">
        <v>-13.85</v>
      </c>
      <c r="G111">
        <v>95.7</v>
      </c>
      <c r="H111">
        <v>292</v>
      </c>
      <c r="I111">
        <v>109.5</v>
      </c>
      <c r="J111">
        <v>319</v>
      </c>
      <c r="K111">
        <v>70.7</v>
      </c>
      <c r="L111">
        <v>80</v>
      </c>
      <c r="M111">
        <v>0.11799999999999999</v>
      </c>
      <c r="N111">
        <v>12</v>
      </c>
      <c r="O111">
        <v>-7.4</v>
      </c>
      <c r="P111">
        <v>320</v>
      </c>
      <c r="Q111">
        <v>98.5</v>
      </c>
      <c r="R111">
        <v>300</v>
      </c>
      <c r="S111">
        <v>105.9</v>
      </c>
      <c r="T111">
        <v>331</v>
      </c>
      <c r="U111">
        <v>-3.29</v>
      </c>
      <c r="V111">
        <v>257</v>
      </c>
    </row>
    <row r="112" spans="1:22" x14ac:dyDescent="0.25">
      <c r="A112">
        <f>COUNTIF('Value Matchup'!$D$356:$D$423,C112)</f>
        <v>1</v>
      </c>
      <c r="B112">
        <v>192</v>
      </c>
      <c r="C112" t="s">
        <v>220</v>
      </c>
      <c r="D112" t="s">
        <v>118</v>
      </c>
      <c r="E112" s="79" t="s">
        <v>515</v>
      </c>
      <c r="F112">
        <v>-1.33</v>
      </c>
      <c r="G112">
        <v>98.2</v>
      </c>
      <c r="H112">
        <v>254</v>
      </c>
      <c r="I112">
        <v>99.6</v>
      </c>
      <c r="J112">
        <v>127</v>
      </c>
      <c r="K112">
        <v>66.7</v>
      </c>
      <c r="L112">
        <v>269</v>
      </c>
      <c r="M112">
        <v>7.8E-2</v>
      </c>
      <c r="N112">
        <v>32</v>
      </c>
      <c r="O112">
        <v>-6.26</v>
      </c>
      <c r="P112">
        <v>304</v>
      </c>
      <c r="Q112">
        <v>98.2</v>
      </c>
      <c r="R112">
        <v>309</v>
      </c>
      <c r="S112">
        <v>104.5</v>
      </c>
      <c r="T112">
        <v>276</v>
      </c>
      <c r="U112">
        <v>-0.16</v>
      </c>
      <c r="V112">
        <v>213</v>
      </c>
    </row>
    <row r="113" spans="1:22" x14ac:dyDescent="0.25">
      <c r="A113">
        <f>COUNTIF('Value Matchup'!$D$356:$D$423,C113)</f>
        <v>0</v>
      </c>
      <c r="B113">
        <v>180</v>
      </c>
      <c r="C113" t="s">
        <v>43</v>
      </c>
      <c r="D113" t="s">
        <v>145</v>
      </c>
      <c r="E113" s="79" t="s">
        <v>526</v>
      </c>
      <c r="F113">
        <v>0.56000000000000005</v>
      </c>
      <c r="G113">
        <v>102.7</v>
      </c>
      <c r="H113">
        <v>176</v>
      </c>
      <c r="I113">
        <v>102.1</v>
      </c>
      <c r="J113">
        <v>190</v>
      </c>
      <c r="K113">
        <v>68.3</v>
      </c>
      <c r="L113">
        <v>185</v>
      </c>
      <c r="M113">
        <v>0</v>
      </c>
      <c r="N113">
        <v>174</v>
      </c>
      <c r="O113">
        <v>-99</v>
      </c>
      <c r="P113">
        <v>348</v>
      </c>
      <c r="Q113">
        <v>0</v>
      </c>
      <c r="R113">
        <v>348</v>
      </c>
      <c r="S113">
        <v>200</v>
      </c>
      <c r="T113">
        <v>348</v>
      </c>
      <c r="U113">
        <v>-99</v>
      </c>
      <c r="V113">
        <v>331</v>
      </c>
    </row>
    <row r="114" spans="1:22" x14ac:dyDescent="0.25">
      <c r="A114">
        <f>COUNTIF('Value Matchup'!$D$356:$D$423,C114)</f>
        <v>0</v>
      </c>
      <c r="B114">
        <v>196</v>
      </c>
      <c r="C114" t="s">
        <v>221</v>
      </c>
      <c r="D114" t="s">
        <v>152</v>
      </c>
      <c r="E114" s="79" t="s">
        <v>640</v>
      </c>
      <c r="F114">
        <v>-1.83</v>
      </c>
      <c r="G114">
        <v>101.7</v>
      </c>
      <c r="H114">
        <v>196</v>
      </c>
      <c r="I114">
        <v>103.5</v>
      </c>
      <c r="J114">
        <v>214</v>
      </c>
      <c r="K114">
        <v>67.2</v>
      </c>
      <c r="L114">
        <v>244</v>
      </c>
      <c r="M114">
        <v>-0.02</v>
      </c>
      <c r="N114">
        <v>225</v>
      </c>
      <c r="O114">
        <v>-0.94</v>
      </c>
      <c r="P114">
        <v>195</v>
      </c>
      <c r="Q114">
        <v>100.9</v>
      </c>
      <c r="R114">
        <v>227</v>
      </c>
      <c r="S114">
        <v>101.8</v>
      </c>
      <c r="T114">
        <v>169</v>
      </c>
      <c r="U114">
        <v>-99</v>
      </c>
      <c r="V114">
        <v>331</v>
      </c>
    </row>
    <row r="115" spans="1:22" x14ac:dyDescent="0.25">
      <c r="A115">
        <f>COUNTIF('Value Matchup'!$D$356:$D$423,C115)</f>
        <v>0</v>
      </c>
      <c r="B115">
        <v>281</v>
      </c>
      <c r="C115" t="s">
        <v>222</v>
      </c>
      <c r="D115" t="s">
        <v>158</v>
      </c>
      <c r="E115" s="79" t="s">
        <v>631</v>
      </c>
      <c r="F115">
        <v>-9.34</v>
      </c>
      <c r="G115">
        <v>96.9</v>
      </c>
      <c r="H115">
        <v>278</v>
      </c>
      <c r="I115">
        <v>106.3</v>
      </c>
      <c r="J115">
        <v>273</v>
      </c>
      <c r="K115">
        <v>66.400000000000006</v>
      </c>
      <c r="L115">
        <v>278</v>
      </c>
      <c r="M115">
        <v>-3.3000000000000002E-2</v>
      </c>
      <c r="N115">
        <v>250</v>
      </c>
      <c r="O115">
        <v>-4.76</v>
      </c>
      <c r="P115">
        <v>278</v>
      </c>
      <c r="Q115">
        <v>99.7</v>
      </c>
      <c r="R115">
        <v>268</v>
      </c>
      <c r="S115">
        <v>104.5</v>
      </c>
      <c r="T115">
        <v>273</v>
      </c>
      <c r="U115">
        <v>0.25</v>
      </c>
      <c r="V115">
        <v>209</v>
      </c>
    </row>
    <row r="116" spans="1:22" x14ac:dyDescent="0.25">
      <c r="A116">
        <f>COUNTIF('Value Matchup'!$D$356:$D$423,C116)</f>
        <v>0</v>
      </c>
      <c r="B116">
        <v>188</v>
      </c>
      <c r="C116" t="s">
        <v>223</v>
      </c>
      <c r="D116" t="s">
        <v>175</v>
      </c>
      <c r="E116" s="79" t="s">
        <v>532</v>
      </c>
      <c r="F116">
        <v>-0.62</v>
      </c>
      <c r="G116">
        <v>106.6</v>
      </c>
      <c r="H116">
        <v>110</v>
      </c>
      <c r="I116">
        <v>107.3</v>
      </c>
      <c r="J116">
        <v>290</v>
      </c>
      <c r="K116">
        <v>68.400000000000006</v>
      </c>
      <c r="L116">
        <v>182</v>
      </c>
      <c r="M116">
        <v>5.1999999999999998E-2</v>
      </c>
      <c r="N116">
        <v>66</v>
      </c>
      <c r="O116">
        <v>-1.27</v>
      </c>
      <c r="P116">
        <v>200</v>
      </c>
      <c r="Q116">
        <v>101.6</v>
      </c>
      <c r="R116">
        <v>206</v>
      </c>
      <c r="S116">
        <v>102.9</v>
      </c>
      <c r="T116">
        <v>202</v>
      </c>
      <c r="U116">
        <v>5.01</v>
      </c>
      <c r="V116">
        <v>127</v>
      </c>
    </row>
    <row r="117" spans="1:22" x14ac:dyDescent="0.25">
      <c r="A117">
        <f>COUNTIF('Value Matchup'!$D$356:$D$423,C117)</f>
        <v>0</v>
      </c>
      <c r="B117">
        <v>299</v>
      </c>
      <c r="C117" t="s">
        <v>224</v>
      </c>
      <c r="D117" t="s">
        <v>121</v>
      </c>
      <c r="E117" s="79" t="s">
        <v>641</v>
      </c>
      <c r="F117">
        <v>-10.57</v>
      </c>
      <c r="G117">
        <v>98.1</v>
      </c>
      <c r="H117">
        <v>255</v>
      </c>
      <c r="I117">
        <v>108.7</v>
      </c>
      <c r="J117">
        <v>312</v>
      </c>
      <c r="K117">
        <v>69.5</v>
      </c>
      <c r="L117">
        <v>123</v>
      </c>
      <c r="M117">
        <v>-4.7E-2</v>
      </c>
      <c r="N117">
        <v>278</v>
      </c>
      <c r="O117">
        <v>-2.35</v>
      </c>
      <c r="P117">
        <v>220</v>
      </c>
      <c r="Q117">
        <v>101.9</v>
      </c>
      <c r="R117">
        <v>201</v>
      </c>
      <c r="S117">
        <v>104.2</v>
      </c>
      <c r="T117">
        <v>262</v>
      </c>
      <c r="U117">
        <v>-99</v>
      </c>
      <c r="V117">
        <v>331</v>
      </c>
    </row>
    <row r="118" spans="1:22" x14ac:dyDescent="0.25">
      <c r="A118">
        <f>COUNTIF('Value Matchup'!$D$356:$D$423,C118)</f>
        <v>1</v>
      </c>
      <c r="B118">
        <v>6</v>
      </c>
      <c r="C118" t="s">
        <v>225</v>
      </c>
      <c r="D118" t="s">
        <v>170</v>
      </c>
      <c r="E118" s="79" t="s">
        <v>557</v>
      </c>
      <c r="F118">
        <v>29.18</v>
      </c>
      <c r="G118">
        <v>118.8</v>
      </c>
      <c r="H118">
        <v>9</v>
      </c>
      <c r="I118">
        <v>89.6</v>
      </c>
      <c r="J118">
        <v>16</v>
      </c>
      <c r="K118">
        <v>65.099999999999994</v>
      </c>
      <c r="L118">
        <v>322</v>
      </c>
      <c r="M118">
        <v>-7.0000000000000001E-3</v>
      </c>
      <c r="N118">
        <v>200</v>
      </c>
      <c r="O118">
        <v>6.54</v>
      </c>
      <c r="P118">
        <v>106</v>
      </c>
      <c r="Q118">
        <v>103.7</v>
      </c>
      <c r="R118">
        <v>151</v>
      </c>
      <c r="S118">
        <v>97.2</v>
      </c>
      <c r="T118">
        <v>74</v>
      </c>
      <c r="U118">
        <v>1.57</v>
      </c>
      <c r="V118">
        <v>186</v>
      </c>
    </row>
    <row r="119" spans="1:22" x14ac:dyDescent="0.25">
      <c r="A119">
        <f>COUNTIF('Value Matchup'!$D$356:$D$423,C119)</f>
        <v>0</v>
      </c>
      <c r="B119">
        <v>341</v>
      </c>
      <c r="C119" t="s">
        <v>226</v>
      </c>
      <c r="D119" t="s">
        <v>108</v>
      </c>
      <c r="E119" s="79" t="s">
        <v>642</v>
      </c>
      <c r="F119">
        <v>-17.84</v>
      </c>
      <c r="G119">
        <v>92.9</v>
      </c>
      <c r="H119">
        <v>322</v>
      </c>
      <c r="I119">
        <v>110.7</v>
      </c>
      <c r="J119">
        <v>334</v>
      </c>
      <c r="K119">
        <v>72.900000000000006</v>
      </c>
      <c r="L119">
        <v>21</v>
      </c>
      <c r="M119">
        <v>-3.0000000000000001E-3</v>
      </c>
      <c r="N119">
        <v>188</v>
      </c>
      <c r="O119">
        <v>-3.83</v>
      </c>
      <c r="P119">
        <v>252</v>
      </c>
      <c r="Q119">
        <v>100.1</v>
      </c>
      <c r="R119">
        <v>252</v>
      </c>
      <c r="S119">
        <v>103.9</v>
      </c>
      <c r="T119">
        <v>248</v>
      </c>
      <c r="U119">
        <v>10.23</v>
      </c>
      <c r="V119">
        <v>54</v>
      </c>
    </row>
    <row r="120" spans="1:22" x14ac:dyDescent="0.25">
      <c r="A120">
        <f>COUNTIF('Value Matchup'!$D$356:$D$423,C120)</f>
        <v>0</v>
      </c>
      <c r="B120">
        <v>314</v>
      </c>
      <c r="C120" t="s">
        <v>227</v>
      </c>
      <c r="D120" t="s">
        <v>135</v>
      </c>
      <c r="E120" s="79" t="s">
        <v>643</v>
      </c>
      <c r="F120">
        <v>-12.19</v>
      </c>
      <c r="G120">
        <v>99</v>
      </c>
      <c r="H120">
        <v>244</v>
      </c>
      <c r="I120">
        <v>111.2</v>
      </c>
      <c r="J120">
        <v>336</v>
      </c>
      <c r="K120">
        <v>70</v>
      </c>
      <c r="L120">
        <v>102</v>
      </c>
      <c r="M120">
        <v>0.10199999999999999</v>
      </c>
      <c r="N120">
        <v>17</v>
      </c>
      <c r="O120">
        <v>-1.54</v>
      </c>
      <c r="P120">
        <v>206</v>
      </c>
      <c r="Q120">
        <v>103.2</v>
      </c>
      <c r="R120">
        <v>165</v>
      </c>
      <c r="S120">
        <v>104.8</v>
      </c>
      <c r="T120">
        <v>292</v>
      </c>
      <c r="U120">
        <v>-1.54</v>
      </c>
      <c r="V120">
        <v>236</v>
      </c>
    </row>
    <row r="121" spans="1:22" x14ac:dyDescent="0.25">
      <c r="A121">
        <f>COUNTIF('Value Matchup'!$D$356:$D$423,C121)</f>
        <v>0</v>
      </c>
      <c r="B121">
        <v>352</v>
      </c>
      <c r="C121" t="s">
        <v>228</v>
      </c>
      <c r="D121" t="s">
        <v>197</v>
      </c>
      <c r="E121" s="79" t="s">
        <v>644</v>
      </c>
      <c r="F121">
        <v>-23.01</v>
      </c>
      <c r="G121">
        <v>90.5</v>
      </c>
      <c r="H121">
        <v>343</v>
      </c>
      <c r="I121">
        <v>113.5</v>
      </c>
      <c r="J121">
        <v>352</v>
      </c>
      <c r="K121">
        <v>67.099999999999994</v>
      </c>
      <c r="L121">
        <v>247</v>
      </c>
      <c r="M121">
        <v>-2.1000000000000001E-2</v>
      </c>
      <c r="N121">
        <v>227</v>
      </c>
      <c r="O121">
        <v>-1.44</v>
      </c>
      <c r="P121">
        <v>204</v>
      </c>
      <c r="Q121">
        <v>101.9</v>
      </c>
      <c r="R121">
        <v>202</v>
      </c>
      <c r="S121">
        <v>103.3</v>
      </c>
      <c r="T121">
        <v>224</v>
      </c>
      <c r="U121">
        <v>11.96</v>
      </c>
      <c r="V121">
        <v>40</v>
      </c>
    </row>
    <row r="122" spans="1:22" x14ac:dyDescent="0.25">
      <c r="A122">
        <f>COUNTIF('Value Matchup'!$D$356:$D$423,C122)</f>
        <v>0</v>
      </c>
      <c r="B122">
        <v>268</v>
      </c>
      <c r="C122" t="s">
        <v>229</v>
      </c>
      <c r="D122" t="s">
        <v>197</v>
      </c>
      <c r="E122" s="79" t="s">
        <v>547</v>
      </c>
      <c r="F122">
        <v>-8.35</v>
      </c>
      <c r="G122">
        <v>93.7</v>
      </c>
      <c r="H122">
        <v>314</v>
      </c>
      <c r="I122">
        <v>102.1</v>
      </c>
      <c r="J122">
        <v>186</v>
      </c>
      <c r="K122">
        <v>64.5</v>
      </c>
      <c r="L122">
        <v>337</v>
      </c>
      <c r="M122">
        <v>0</v>
      </c>
      <c r="N122">
        <v>173</v>
      </c>
      <c r="O122">
        <v>-4.2300000000000004</v>
      </c>
      <c r="P122">
        <v>258</v>
      </c>
      <c r="Q122">
        <v>100</v>
      </c>
      <c r="R122">
        <v>256</v>
      </c>
      <c r="S122">
        <v>104.3</v>
      </c>
      <c r="T122">
        <v>268</v>
      </c>
      <c r="U122">
        <v>3.73</v>
      </c>
      <c r="V122">
        <v>150</v>
      </c>
    </row>
    <row r="123" spans="1:22" x14ac:dyDescent="0.25">
      <c r="A123">
        <f>COUNTIF('Value Matchup'!$D$356:$D$423,C123)</f>
        <v>1</v>
      </c>
      <c r="B123">
        <v>3</v>
      </c>
      <c r="C123" t="s">
        <v>230</v>
      </c>
      <c r="D123" t="s">
        <v>231</v>
      </c>
      <c r="E123" s="79" t="s">
        <v>519</v>
      </c>
      <c r="F123">
        <v>32.06</v>
      </c>
      <c r="G123">
        <v>119.5</v>
      </c>
      <c r="H123">
        <v>7</v>
      </c>
      <c r="I123">
        <v>87.4</v>
      </c>
      <c r="J123">
        <v>5</v>
      </c>
      <c r="K123">
        <v>70.8</v>
      </c>
      <c r="L123">
        <v>79</v>
      </c>
      <c r="M123">
        <v>0.02</v>
      </c>
      <c r="N123">
        <v>130</v>
      </c>
      <c r="O123">
        <v>18.53</v>
      </c>
      <c r="P123">
        <v>5</v>
      </c>
      <c r="Q123">
        <v>112.2</v>
      </c>
      <c r="R123">
        <v>6</v>
      </c>
      <c r="S123">
        <v>93.7</v>
      </c>
      <c r="T123">
        <v>8</v>
      </c>
      <c r="U123">
        <v>9.91</v>
      </c>
      <c r="V123">
        <v>57</v>
      </c>
    </row>
    <row r="124" spans="1:22" x14ac:dyDescent="0.25">
      <c r="A124">
        <f>COUNTIF('Value Matchup'!$D$356:$D$423,C124)</f>
        <v>0</v>
      </c>
      <c r="B124">
        <v>279</v>
      </c>
      <c r="C124" t="s">
        <v>232</v>
      </c>
      <c r="D124" t="s">
        <v>172</v>
      </c>
      <c r="E124" s="79" t="s">
        <v>609</v>
      </c>
      <c r="F124">
        <v>-9.1</v>
      </c>
      <c r="G124">
        <v>94.2</v>
      </c>
      <c r="H124">
        <v>307</v>
      </c>
      <c r="I124">
        <v>103.3</v>
      </c>
      <c r="J124">
        <v>209</v>
      </c>
      <c r="K124">
        <v>68.5</v>
      </c>
      <c r="L124">
        <v>175</v>
      </c>
      <c r="M124">
        <v>0.05</v>
      </c>
      <c r="N124">
        <v>70</v>
      </c>
      <c r="O124">
        <v>-2.87</v>
      </c>
      <c r="P124">
        <v>231</v>
      </c>
      <c r="Q124">
        <v>102.5</v>
      </c>
      <c r="R124">
        <v>179</v>
      </c>
      <c r="S124">
        <v>105.4</v>
      </c>
      <c r="T124">
        <v>317</v>
      </c>
      <c r="U124">
        <v>-0.94</v>
      </c>
      <c r="V124">
        <v>226</v>
      </c>
    </row>
    <row r="125" spans="1:22" x14ac:dyDescent="0.25">
      <c r="A125">
        <f>COUNTIF('Value Matchup'!$D$356:$D$423,C125)</f>
        <v>0</v>
      </c>
      <c r="B125">
        <v>198</v>
      </c>
      <c r="C125" t="s">
        <v>233</v>
      </c>
      <c r="D125" t="s">
        <v>143</v>
      </c>
      <c r="E125" s="79" t="s">
        <v>645</v>
      </c>
      <c r="F125">
        <v>-2</v>
      </c>
      <c r="G125">
        <v>99.4</v>
      </c>
      <c r="H125">
        <v>240</v>
      </c>
      <c r="I125">
        <v>101.4</v>
      </c>
      <c r="J125">
        <v>178</v>
      </c>
      <c r="K125">
        <v>69.3</v>
      </c>
      <c r="L125">
        <v>133</v>
      </c>
      <c r="M125">
        <v>-0.112</v>
      </c>
      <c r="N125">
        <v>348</v>
      </c>
      <c r="O125">
        <v>5.1100000000000003</v>
      </c>
      <c r="P125">
        <v>117</v>
      </c>
      <c r="Q125">
        <v>105.2</v>
      </c>
      <c r="R125">
        <v>110</v>
      </c>
      <c r="S125">
        <v>100.1</v>
      </c>
      <c r="T125">
        <v>133</v>
      </c>
      <c r="U125">
        <v>2.1800000000000002</v>
      </c>
      <c r="V125">
        <v>175</v>
      </c>
    </row>
    <row r="126" spans="1:22" x14ac:dyDescent="0.25">
      <c r="A126">
        <f>COUNTIF('Value Matchup'!$D$356:$D$423,C126)</f>
        <v>0</v>
      </c>
      <c r="B126">
        <v>342</v>
      </c>
      <c r="C126" t="s">
        <v>234</v>
      </c>
      <c r="D126" t="s">
        <v>108</v>
      </c>
      <c r="E126" s="79" t="s">
        <v>646</v>
      </c>
      <c r="F126">
        <v>-17.899999999999999</v>
      </c>
      <c r="G126">
        <v>93.9</v>
      </c>
      <c r="H126">
        <v>311</v>
      </c>
      <c r="I126">
        <v>111.8</v>
      </c>
      <c r="J126">
        <v>343</v>
      </c>
      <c r="K126">
        <v>65</v>
      </c>
      <c r="L126">
        <v>326</v>
      </c>
      <c r="M126">
        <v>-4.9000000000000002E-2</v>
      </c>
      <c r="N126">
        <v>282</v>
      </c>
      <c r="O126">
        <v>-7.79</v>
      </c>
      <c r="P126">
        <v>326</v>
      </c>
      <c r="Q126">
        <v>97.9</v>
      </c>
      <c r="R126">
        <v>316</v>
      </c>
      <c r="S126">
        <v>105.7</v>
      </c>
      <c r="T126">
        <v>326</v>
      </c>
      <c r="U126">
        <v>6.87</v>
      </c>
      <c r="V126">
        <v>97</v>
      </c>
    </row>
    <row r="127" spans="1:22" x14ac:dyDescent="0.25">
      <c r="A127">
        <f>COUNTIF('Value Matchup'!$D$356:$D$423,C127)</f>
        <v>0</v>
      </c>
      <c r="B127">
        <v>46</v>
      </c>
      <c r="C127" t="s">
        <v>36</v>
      </c>
      <c r="D127" t="s">
        <v>231</v>
      </c>
      <c r="E127" s="79" t="s">
        <v>647</v>
      </c>
      <c r="F127">
        <v>17.21</v>
      </c>
      <c r="G127">
        <v>110.1</v>
      </c>
      <c r="H127">
        <v>63</v>
      </c>
      <c r="I127">
        <v>92.9</v>
      </c>
      <c r="J127">
        <v>38</v>
      </c>
      <c r="K127">
        <v>66.2</v>
      </c>
      <c r="L127">
        <v>292</v>
      </c>
      <c r="M127">
        <v>-5.2999999999999999E-2</v>
      </c>
      <c r="N127">
        <v>291</v>
      </c>
      <c r="O127">
        <v>18.72</v>
      </c>
      <c r="P127">
        <v>4</v>
      </c>
      <c r="Q127">
        <v>111.6</v>
      </c>
      <c r="R127">
        <v>9</v>
      </c>
      <c r="S127">
        <v>92.8</v>
      </c>
      <c r="T127">
        <v>2</v>
      </c>
      <c r="U127">
        <v>8.3000000000000007</v>
      </c>
      <c r="V127">
        <v>78</v>
      </c>
    </row>
    <row r="128" spans="1:22" ht="16.5" customHeight="1" x14ac:dyDescent="0.25">
      <c r="A128">
        <f>COUNTIF('Value Matchup'!$D$356:$D$423,C128)</f>
        <v>0</v>
      </c>
      <c r="B128">
        <v>118</v>
      </c>
      <c r="C128" t="s">
        <v>235</v>
      </c>
      <c r="D128" t="s">
        <v>143</v>
      </c>
      <c r="E128" s="79" t="s">
        <v>558</v>
      </c>
      <c r="F128">
        <v>6.96</v>
      </c>
      <c r="G128">
        <v>103.3</v>
      </c>
      <c r="H128">
        <v>166</v>
      </c>
      <c r="I128">
        <v>96.3</v>
      </c>
      <c r="J128">
        <v>81</v>
      </c>
      <c r="K128">
        <v>67.2</v>
      </c>
      <c r="L128">
        <v>243</v>
      </c>
      <c r="M128">
        <v>7.9000000000000001E-2</v>
      </c>
      <c r="N128">
        <v>30</v>
      </c>
      <c r="O128">
        <v>6.27</v>
      </c>
      <c r="P128">
        <v>108</v>
      </c>
      <c r="Q128">
        <v>105.5</v>
      </c>
      <c r="R128">
        <v>106</v>
      </c>
      <c r="S128">
        <v>99.2</v>
      </c>
      <c r="T128">
        <v>117</v>
      </c>
      <c r="U128">
        <v>9.1300000000000008</v>
      </c>
      <c r="V128">
        <v>66</v>
      </c>
    </row>
    <row r="129" spans="1:22" ht="15.75" customHeight="1" x14ac:dyDescent="0.25">
      <c r="A129">
        <f>COUNTIF('Value Matchup'!$D$356:$D$423,C129)</f>
        <v>1</v>
      </c>
      <c r="B129">
        <v>181</v>
      </c>
      <c r="C129" t="s">
        <v>236</v>
      </c>
      <c r="D129" t="s">
        <v>160</v>
      </c>
      <c r="E129" s="79" t="s">
        <v>648</v>
      </c>
      <c r="F129">
        <v>0.37</v>
      </c>
      <c r="G129">
        <v>101.1</v>
      </c>
      <c r="H129">
        <v>210</v>
      </c>
      <c r="I129">
        <v>100.8</v>
      </c>
      <c r="J129">
        <v>160</v>
      </c>
      <c r="K129">
        <v>68.3</v>
      </c>
      <c r="L129">
        <v>184</v>
      </c>
      <c r="M129">
        <v>3.7999999999999999E-2</v>
      </c>
      <c r="N129">
        <v>93</v>
      </c>
      <c r="O129">
        <v>-7.08</v>
      </c>
      <c r="P129">
        <v>319</v>
      </c>
      <c r="Q129">
        <v>97.4</v>
      </c>
      <c r="R129">
        <v>321</v>
      </c>
      <c r="S129">
        <v>104.5</v>
      </c>
      <c r="T129">
        <v>277</v>
      </c>
      <c r="U129">
        <v>-0.45</v>
      </c>
      <c r="V129">
        <v>217</v>
      </c>
    </row>
    <row r="130" spans="1:22" x14ac:dyDescent="0.25">
      <c r="A130">
        <f>COUNTIF('Value Matchup'!$D$356:$D$423,C130)</f>
        <v>1</v>
      </c>
      <c r="B130">
        <v>5</v>
      </c>
      <c r="C130" t="s">
        <v>69</v>
      </c>
      <c r="D130" t="s">
        <v>231</v>
      </c>
      <c r="E130" s="79" t="s">
        <v>559</v>
      </c>
      <c r="F130">
        <v>30.29</v>
      </c>
      <c r="G130">
        <v>124.3</v>
      </c>
      <c r="H130">
        <v>2</v>
      </c>
      <c r="I130">
        <v>94</v>
      </c>
      <c r="J130">
        <v>50</v>
      </c>
      <c r="K130">
        <v>70</v>
      </c>
      <c r="L130">
        <v>99</v>
      </c>
      <c r="M130">
        <v>-2.8000000000000001E-2</v>
      </c>
      <c r="N130">
        <v>240</v>
      </c>
      <c r="O130">
        <v>16.87</v>
      </c>
      <c r="P130">
        <v>13</v>
      </c>
      <c r="Q130">
        <v>110.4</v>
      </c>
      <c r="R130">
        <v>20</v>
      </c>
      <c r="S130">
        <v>93.5</v>
      </c>
      <c r="T130">
        <v>6</v>
      </c>
      <c r="U130">
        <v>-5.47</v>
      </c>
      <c r="V130">
        <v>286</v>
      </c>
    </row>
    <row r="131" spans="1:22" x14ac:dyDescent="0.25">
      <c r="A131">
        <f>COUNTIF('Value Matchup'!$D$356:$D$423,C131)</f>
        <v>0</v>
      </c>
      <c r="B131">
        <v>178</v>
      </c>
      <c r="C131" t="s">
        <v>237</v>
      </c>
      <c r="D131" t="s">
        <v>133</v>
      </c>
      <c r="E131" s="79" t="s">
        <v>649</v>
      </c>
      <c r="F131">
        <v>0.68</v>
      </c>
      <c r="G131">
        <v>100.5</v>
      </c>
      <c r="H131">
        <v>223</v>
      </c>
      <c r="I131">
        <v>99.8</v>
      </c>
      <c r="J131">
        <v>138</v>
      </c>
      <c r="K131">
        <v>70.2</v>
      </c>
      <c r="L131">
        <v>93</v>
      </c>
      <c r="M131">
        <v>-0.12</v>
      </c>
      <c r="N131">
        <v>349</v>
      </c>
      <c r="O131">
        <v>16.38</v>
      </c>
      <c r="P131">
        <v>16</v>
      </c>
      <c r="Q131">
        <v>111</v>
      </c>
      <c r="R131">
        <v>13</v>
      </c>
      <c r="S131">
        <v>94.6</v>
      </c>
      <c r="T131">
        <v>18</v>
      </c>
      <c r="U131">
        <v>2.89</v>
      </c>
      <c r="V131">
        <v>159</v>
      </c>
    </row>
    <row r="132" spans="1:22" x14ac:dyDescent="0.25">
      <c r="A132">
        <f>COUNTIF('Value Matchup'!$D$356:$D$423,C132)</f>
        <v>0</v>
      </c>
      <c r="B132">
        <v>256</v>
      </c>
      <c r="C132" t="s">
        <v>238</v>
      </c>
      <c r="D132" t="s">
        <v>172</v>
      </c>
      <c r="E132" s="79" t="s">
        <v>650</v>
      </c>
      <c r="F132">
        <v>-7.01</v>
      </c>
      <c r="G132">
        <v>97.2</v>
      </c>
      <c r="H132">
        <v>274</v>
      </c>
      <c r="I132">
        <v>104.2</v>
      </c>
      <c r="J132">
        <v>230</v>
      </c>
      <c r="K132">
        <v>72.5</v>
      </c>
      <c r="L132">
        <v>26</v>
      </c>
      <c r="M132">
        <v>7.5999999999999998E-2</v>
      </c>
      <c r="N132">
        <v>36</v>
      </c>
      <c r="O132">
        <v>-1.93</v>
      </c>
      <c r="P132">
        <v>210</v>
      </c>
      <c r="Q132">
        <v>102.2</v>
      </c>
      <c r="R132">
        <v>189</v>
      </c>
      <c r="S132">
        <v>104.2</v>
      </c>
      <c r="T132">
        <v>258</v>
      </c>
      <c r="U132">
        <v>-15.85</v>
      </c>
      <c r="V132">
        <v>326</v>
      </c>
    </row>
    <row r="133" spans="1:22" x14ac:dyDescent="0.25">
      <c r="A133">
        <f>COUNTIF('Value Matchup'!$D$356:$D$423,C133)</f>
        <v>0</v>
      </c>
      <c r="B133">
        <v>272</v>
      </c>
      <c r="C133" t="s">
        <v>239</v>
      </c>
      <c r="D133" t="s">
        <v>116</v>
      </c>
      <c r="E133" s="79" t="s">
        <v>651</v>
      </c>
      <c r="F133">
        <v>-8.68</v>
      </c>
      <c r="G133">
        <v>88.5</v>
      </c>
      <c r="H133">
        <v>349</v>
      </c>
      <c r="I133">
        <v>97.2</v>
      </c>
      <c r="J133">
        <v>93</v>
      </c>
      <c r="K133">
        <v>68.8</v>
      </c>
      <c r="L133">
        <v>159</v>
      </c>
      <c r="M133">
        <v>0.111</v>
      </c>
      <c r="N133">
        <v>14</v>
      </c>
      <c r="O133">
        <v>-13.49</v>
      </c>
      <c r="P133">
        <v>344</v>
      </c>
      <c r="Q133">
        <v>93.1</v>
      </c>
      <c r="R133">
        <v>343</v>
      </c>
      <c r="S133">
        <v>106.6</v>
      </c>
      <c r="T133">
        <v>339</v>
      </c>
      <c r="U133">
        <v>12.31</v>
      </c>
      <c r="V133">
        <v>36</v>
      </c>
    </row>
    <row r="134" spans="1:22" x14ac:dyDescent="0.25">
      <c r="A134">
        <f>COUNTIF('Value Matchup'!$D$356:$D$423,C134)</f>
        <v>0</v>
      </c>
      <c r="B134">
        <v>300</v>
      </c>
      <c r="C134" t="s">
        <v>240</v>
      </c>
      <c r="D134" t="s">
        <v>206</v>
      </c>
      <c r="E134" s="79" t="s">
        <v>599</v>
      </c>
      <c r="F134">
        <v>-10.79</v>
      </c>
      <c r="G134">
        <v>93.9</v>
      </c>
      <c r="H134">
        <v>310</v>
      </c>
      <c r="I134">
        <v>104.7</v>
      </c>
      <c r="J134">
        <v>243</v>
      </c>
      <c r="K134">
        <v>67.900000000000006</v>
      </c>
      <c r="L134">
        <v>202</v>
      </c>
      <c r="M134">
        <v>0.05</v>
      </c>
      <c r="N134">
        <v>72</v>
      </c>
      <c r="O134">
        <v>-5.34</v>
      </c>
      <c r="P134">
        <v>288</v>
      </c>
      <c r="Q134">
        <v>100</v>
      </c>
      <c r="R134">
        <v>258</v>
      </c>
      <c r="S134">
        <v>105.3</v>
      </c>
      <c r="T134">
        <v>315</v>
      </c>
      <c r="U134">
        <v>-5.28</v>
      </c>
      <c r="V134">
        <v>281</v>
      </c>
    </row>
    <row r="135" spans="1:22" x14ac:dyDescent="0.25">
      <c r="A135">
        <f>COUNTIF('Value Matchup'!$D$356:$D$423,C135)</f>
        <v>0</v>
      </c>
      <c r="B135">
        <v>158</v>
      </c>
      <c r="C135" t="s">
        <v>241</v>
      </c>
      <c r="D135" t="s">
        <v>131</v>
      </c>
      <c r="E135" s="79" t="s">
        <v>560</v>
      </c>
      <c r="F135">
        <v>2.17</v>
      </c>
      <c r="G135">
        <v>105.7</v>
      </c>
      <c r="H135">
        <v>121</v>
      </c>
      <c r="I135">
        <v>103.6</v>
      </c>
      <c r="J135">
        <v>215</v>
      </c>
      <c r="K135">
        <v>66.099999999999994</v>
      </c>
      <c r="L135">
        <v>295</v>
      </c>
      <c r="M135">
        <v>1.7000000000000001E-2</v>
      </c>
      <c r="N135">
        <v>141</v>
      </c>
      <c r="O135">
        <v>-2.81</v>
      </c>
      <c r="P135">
        <v>230</v>
      </c>
      <c r="Q135">
        <v>100.9</v>
      </c>
      <c r="R135">
        <v>228</v>
      </c>
      <c r="S135">
        <v>103.7</v>
      </c>
      <c r="T135">
        <v>236</v>
      </c>
      <c r="U135">
        <v>4.26</v>
      </c>
      <c r="V135">
        <v>138</v>
      </c>
    </row>
    <row r="136" spans="1:22" x14ac:dyDescent="0.25">
      <c r="A136">
        <f>COUNTIF('Value Matchup'!$D$356:$D$423,C136)</f>
        <v>0</v>
      </c>
      <c r="B136">
        <v>171</v>
      </c>
      <c r="C136" t="s">
        <v>242</v>
      </c>
      <c r="D136" t="s">
        <v>175</v>
      </c>
      <c r="E136" s="79" t="s">
        <v>524</v>
      </c>
      <c r="F136">
        <v>1.23</v>
      </c>
      <c r="G136">
        <v>104.2</v>
      </c>
      <c r="H136">
        <v>144</v>
      </c>
      <c r="I136">
        <v>103</v>
      </c>
      <c r="J136">
        <v>203</v>
      </c>
      <c r="K136">
        <v>72.2</v>
      </c>
      <c r="L136">
        <v>34</v>
      </c>
      <c r="M136">
        <v>-4.8000000000000001E-2</v>
      </c>
      <c r="N136">
        <v>279</v>
      </c>
      <c r="O136">
        <v>-1.87</v>
      </c>
      <c r="P136">
        <v>209</v>
      </c>
      <c r="Q136">
        <v>101.1</v>
      </c>
      <c r="R136">
        <v>224</v>
      </c>
      <c r="S136">
        <v>103</v>
      </c>
      <c r="T136">
        <v>209</v>
      </c>
      <c r="U136">
        <v>-0.4</v>
      </c>
      <c r="V136">
        <v>215</v>
      </c>
    </row>
    <row r="137" spans="1:22" x14ac:dyDescent="0.25">
      <c r="A137">
        <f>COUNTIF('Value Matchup'!$D$356:$D$423,C137)</f>
        <v>1</v>
      </c>
      <c r="B137">
        <v>22</v>
      </c>
      <c r="C137" t="s">
        <v>37</v>
      </c>
      <c r="D137" t="s">
        <v>133</v>
      </c>
      <c r="E137" s="79" t="s">
        <v>542</v>
      </c>
      <c r="F137">
        <v>22.41</v>
      </c>
      <c r="G137">
        <v>110.3</v>
      </c>
      <c r="H137">
        <v>59</v>
      </c>
      <c r="I137">
        <v>87.9</v>
      </c>
      <c r="J137">
        <v>6</v>
      </c>
      <c r="K137">
        <v>68.3</v>
      </c>
      <c r="L137">
        <v>186</v>
      </c>
      <c r="M137">
        <v>4.2000000000000003E-2</v>
      </c>
      <c r="N137">
        <v>88</v>
      </c>
      <c r="O137">
        <v>14.66</v>
      </c>
      <c r="P137">
        <v>20</v>
      </c>
      <c r="Q137">
        <v>110.1</v>
      </c>
      <c r="R137">
        <v>23</v>
      </c>
      <c r="S137">
        <v>95.4</v>
      </c>
      <c r="T137">
        <v>32</v>
      </c>
      <c r="U137">
        <v>10.1</v>
      </c>
      <c r="V137">
        <v>56</v>
      </c>
    </row>
    <row r="138" spans="1:22" x14ac:dyDescent="0.25">
      <c r="A138">
        <f>COUNTIF('Value Matchup'!$D$356:$D$423,C138)</f>
        <v>0</v>
      </c>
      <c r="B138">
        <v>157</v>
      </c>
      <c r="C138" t="s">
        <v>243</v>
      </c>
      <c r="D138" t="s">
        <v>133</v>
      </c>
      <c r="E138" s="79" t="s">
        <v>610</v>
      </c>
      <c r="F138">
        <v>2.25</v>
      </c>
      <c r="G138">
        <v>99.8</v>
      </c>
      <c r="H138">
        <v>234</v>
      </c>
      <c r="I138">
        <v>97.6</v>
      </c>
      <c r="J138">
        <v>99</v>
      </c>
      <c r="K138">
        <v>65.8</v>
      </c>
      <c r="L138">
        <v>307</v>
      </c>
      <c r="M138">
        <v>2.5999999999999999E-2</v>
      </c>
      <c r="N138">
        <v>115</v>
      </c>
      <c r="O138">
        <v>13.03</v>
      </c>
      <c r="P138">
        <v>39</v>
      </c>
      <c r="Q138">
        <v>109.4</v>
      </c>
      <c r="R138">
        <v>33</v>
      </c>
      <c r="S138">
        <v>96.4</v>
      </c>
      <c r="T138">
        <v>48</v>
      </c>
      <c r="U138">
        <v>-2.14</v>
      </c>
      <c r="V138">
        <v>245</v>
      </c>
    </row>
    <row r="139" spans="1:22" x14ac:dyDescent="0.25">
      <c r="A139">
        <f>COUNTIF('Value Matchup'!$D$356:$D$423,C139)</f>
        <v>0</v>
      </c>
      <c r="B139">
        <v>336</v>
      </c>
      <c r="C139" t="s">
        <v>244</v>
      </c>
      <c r="D139" t="s">
        <v>206</v>
      </c>
      <c r="E139" s="79" t="s">
        <v>612</v>
      </c>
      <c r="F139">
        <v>-16.52</v>
      </c>
      <c r="G139">
        <v>88</v>
      </c>
      <c r="H139">
        <v>350</v>
      </c>
      <c r="I139">
        <v>104.6</v>
      </c>
      <c r="J139">
        <v>240</v>
      </c>
      <c r="K139">
        <v>69.7</v>
      </c>
      <c r="L139">
        <v>112</v>
      </c>
      <c r="M139">
        <v>-8.7999999999999995E-2</v>
      </c>
      <c r="N139">
        <v>327</v>
      </c>
      <c r="O139">
        <v>-2.4</v>
      </c>
      <c r="P139">
        <v>221</v>
      </c>
      <c r="Q139">
        <v>102.6</v>
      </c>
      <c r="R139">
        <v>177</v>
      </c>
      <c r="S139">
        <v>105</v>
      </c>
      <c r="T139">
        <v>300</v>
      </c>
      <c r="U139">
        <v>8.6199999999999992</v>
      </c>
      <c r="V139">
        <v>75</v>
      </c>
    </row>
    <row r="140" spans="1:22" x14ac:dyDescent="0.25">
      <c r="A140">
        <f>COUNTIF('Value Matchup'!$D$356:$D$423,C140)</f>
        <v>0</v>
      </c>
      <c r="B140">
        <v>106</v>
      </c>
      <c r="C140" t="s">
        <v>245</v>
      </c>
      <c r="D140" t="s">
        <v>112</v>
      </c>
      <c r="E140" s="79" t="s">
        <v>515</v>
      </c>
      <c r="F140">
        <v>8.7799999999999994</v>
      </c>
      <c r="G140">
        <v>106.8</v>
      </c>
      <c r="H140">
        <v>109</v>
      </c>
      <c r="I140">
        <v>98</v>
      </c>
      <c r="J140">
        <v>106</v>
      </c>
      <c r="K140">
        <v>70.099999999999994</v>
      </c>
      <c r="L140">
        <v>98</v>
      </c>
      <c r="M140">
        <v>2.3E-2</v>
      </c>
      <c r="N140">
        <v>122</v>
      </c>
      <c r="O140">
        <v>4.54</v>
      </c>
      <c r="P140">
        <v>125</v>
      </c>
      <c r="Q140">
        <v>106.9</v>
      </c>
      <c r="R140">
        <v>80</v>
      </c>
      <c r="S140">
        <v>102.3</v>
      </c>
      <c r="T140">
        <v>183</v>
      </c>
      <c r="U140">
        <v>8.6199999999999992</v>
      </c>
      <c r="V140">
        <v>74</v>
      </c>
    </row>
    <row r="141" spans="1:22" x14ac:dyDescent="0.25">
      <c r="A141">
        <f>COUNTIF('Value Matchup'!$D$356:$D$423,C141)</f>
        <v>0</v>
      </c>
      <c r="B141">
        <v>49</v>
      </c>
      <c r="C141" t="s">
        <v>26</v>
      </c>
      <c r="D141" t="s">
        <v>114</v>
      </c>
      <c r="E141" s="79" t="s">
        <v>617</v>
      </c>
      <c r="F141">
        <v>16.64</v>
      </c>
      <c r="G141">
        <v>109</v>
      </c>
      <c r="H141">
        <v>78</v>
      </c>
      <c r="I141">
        <v>92.3</v>
      </c>
      <c r="J141">
        <v>31</v>
      </c>
      <c r="K141">
        <v>68.400000000000006</v>
      </c>
      <c r="L141">
        <v>183</v>
      </c>
      <c r="M141">
        <v>-0.14799999999999999</v>
      </c>
      <c r="N141">
        <v>354</v>
      </c>
      <c r="O141">
        <v>16.7</v>
      </c>
      <c r="P141">
        <v>15</v>
      </c>
      <c r="Q141">
        <v>110.5</v>
      </c>
      <c r="R141">
        <v>18</v>
      </c>
      <c r="S141">
        <v>93.8</v>
      </c>
      <c r="T141">
        <v>10</v>
      </c>
      <c r="U141">
        <v>15.6</v>
      </c>
      <c r="V141">
        <v>16</v>
      </c>
    </row>
    <row r="142" spans="1:22" x14ac:dyDescent="0.25">
      <c r="A142">
        <f>COUNTIF('Value Matchup'!$D$356:$D$423,C142)</f>
        <v>0</v>
      </c>
      <c r="B142">
        <v>194</v>
      </c>
      <c r="C142" t="s">
        <v>246</v>
      </c>
      <c r="D142" t="s">
        <v>181</v>
      </c>
      <c r="E142" s="79" t="s">
        <v>617</v>
      </c>
      <c r="F142">
        <v>-1.67</v>
      </c>
      <c r="G142">
        <v>102.8</v>
      </c>
      <c r="H142">
        <v>174</v>
      </c>
      <c r="I142">
        <v>104.4</v>
      </c>
      <c r="J142">
        <v>236</v>
      </c>
      <c r="K142">
        <v>68.900000000000006</v>
      </c>
      <c r="L142">
        <v>155</v>
      </c>
      <c r="M142">
        <v>-1.2E-2</v>
      </c>
      <c r="N142">
        <v>208</v>
      </c>
      <c r="O142">
        <v>7.36</v>
      </c>
      <c r="P142">
        <v>96</v>
      </c>
      <c r="Q142">
        <v>104.7</v>
      </c>
      <c r="R142">
        <v>126</v>
      </c>
      <c r="S142">
        <v>97.4</v>
      </c>
      <c r="T142">
        <v>78</v>
      </c>
      <c r="U142">
        <v>6.21</v>
      </c>
      <c r="V142">
        <v>104</v>
      </c>
    </row>
    <row r="143" spans="1:22" x14ac:dyDescent="0.25">
      <c r="A143">
        <f>COUNTIF('Value Matchup'!$D$356:$D$423,C143)</f>
        <v>0</v>
      </c>
      <c r="B143">
        <v>258</v>
      </c>
      <c r="C143" t="s">
        <v>51</v>
      </c>
      <c r="D143" t="s">
        <v>121</v>
      </c>
      <c r="E143" s="79" t="s">
        <v>652</v>
      </c>
      <c r="F143">
        <v>-7.16</v>
      </c>
      <c r="G143">
        <v>103.9</v>
      </c>
      <c r="H143">
        <v>153</v>
      </c>
      <c r="I143">
        <v>111.1</v>
      </c>
      <c r="J143">
        <v>335</v>
      </c>
      <c r="K143">
        <v>68.8</v>
      </c>
      <c r="L143">
        <v>158</v>
      </c>
      <c r="M143">
        <v>6.2E-2</v>
      </c>
      <c r="N143">
        <v>51</v>
      </c>
      <c r="O143">
        <v>-8.74</v>
      </c>
      <c r="P143">
        <v>337</v>
      </c>
      <c r="Q143">
        <v>96.3</v>
      </c>
      <c r="R143">
        <v>336</v>
      </c>
      <c r="S143">
        <v>105</v>
      </c>
      <c r="T143">
        <v>302</v>
      </c>
      <c r="U143">
        <v>-99</v>
      </c>
      <c r="V143">
        <v>331</v>
      </c>
    </row>
    <row r="144" spans="1:22" x14ac:dyDescent="0.25">
      <c r="A144">
        <f>COUNTIF('Value Matchup'!$D$356:$D$423,C144)</f>
        <v>0</v>
      </c>
      <c r="B144">
        <v>310</v>
      </c>
      <c r="C144" t="s">
        <v>247</v>
      </c>
      <c r="D144" t="s">
        <v>108</v>
      </c>
      <c r="E144" s="79" t="s">
        <v>653</v>
      </c>
      <c r="F144">
        <v>-11.67</v>
      </c>
      <c r="G144">
        <v>93.4</v>
      </c>
      <c r="H144">
        <v>317</v>
      </c>
      <c r="I144">
        <v>105.1</v>
      </c>
      <c r="J144">
        <v>253</v>
      </c>
      <c r="K144">
        <v>67.8</v>
      </c>
      <c r="L144">
        <v>211</v>
      </c>
      <c r="M144">
        <v>8.9999999999999993E-3</v>
      </c>
      <c r="N144">
        <v>152</v>
      </c>
      <c r="O144">
        <v>-4.9400000000000004</v>
      </c>
      <c r="P144">
        <v>280</v>
      </c>
      <c r="Q144">
        <v>98.9</v>
      </c>
      <c r="R144">
        <v>287</v>
      </c>
      <c r="S144">
        <v>103.9</v>
      </c>
      <c r="T144">
        <v>243</v>
      </c>
      <c r="U144">
        <v>1.92</v>
      </c>
      <c r="V144">
        <v>181</v>
      </c>
    </row>
    <row r="145" spans="1:22" x14ac:dyDescent="0.25">
      <c r="A145">
        <f>COUNTIF('Value Matchup'!$D$356:$D$423,C145)</f>
        <v>0</v>
      </c>
      <c r="B145">
        <v>333</v>
      </c>
      <c r="C145" t="s">
        <v>248</v>
      </c>
      <c r="D145" t="s">
        <v>121</v>
      </c>
      <c r="E145" s="79" t="s">
        <v>654</v>
      </c>
      <c r="F145">
        <v>-15.46</v>
      </c>
      <c r="G145">
        <v>92.5</v>
      </c>
      <c r="H145">
        <v>324</v>
      </c>
      <c r="I145">
        <v>108</v>
      </c>
      <c r="J145">
        <v>301</v>
      </c>
      <c r="K145">
        <v>70.3</v>
      </c>
      <c r="L145">
        <v>89</v>
      </c>
      <c r="M145">
        <v>6.3E-2</v>
      </c>
      <c r="N145">
        <v>50</v>
      </c>
      <c r="O145">
        <v>-5.73</v>
      </c>
      <c r="P145">
        <v>298</v>
      </c>
      <c r="Q145">
        <v>100.9</v>
      </c>
      <c r="R145">
        <v>229</v>
      </c>
      <c r="S145">
        <v>106.6</v>
      </c>
      <c r="T145">
        <v>340</v>
      </c>
      <c r="U145">
        <v>-99</v>
      </c>
      <c r="V145">
        <v>331</v>
      </c>
    </row>
    <row r="146" spans="1:22" x14ac:dyDescent="0.25">
      <c r="A146">
        <f>COUNTIF('Value Matchup'!$D$356:$D$423,C146)</f>
        <v>1</v>
      </c>
      <c r="B146">
        <v>97</v>
      </c>
      <c r="C146" t="s">
        <v>249</v>
      </c>
      <c r="D146" t="s">
        <v>206</v>
      </c>
      <c r="E146" s="79" t="s">
        <v>561</v>
      </c>
      <c r="F146">
        <v>9.7799999999999994</v>
      </c>
      <c r="G146">
        <v>110.9</v>
      </c>
      <c r="H146">
        <v>51</v>
      </c>
      <c r="I146">
        <v>101.1</v>
      </c>
      <c r="J146">
        <v>168</v>
      </c>
      <c r="K146">
        <v>63.1</v>
      </c>
      <c r="L146">
        <v>348</v>
      </c>
      <c r="M146">
        <v>-1.2999999999999999E-2</v>
      </c>
      <c r="N146">
        <v>211</v>
      </c>
      <c r="O146">
        <v>-6.65</v>
      </c>
      <c r="P146">
        <v>313</v>
      </c>
      <c r="Q146">
        <v>98.5</v>
      </c>
      <c r="R146">
        <v>299</v>
      </c>
      <c r="S146">
        <v>105.2</v>
      </c>
      <c r="T146">
        <v>310</v>
      </c>
      <c r="U146">
        <v>1.1299999999999999</v>
      </c>
      <c r="V146">
        <v>195</v>
      </c>
    </row>
    <row r="147" spans="1:22" x14ac:dyDescent="0.25">
      <c r="A147">
        <f>COUNTIF('Value Matchup'!$D$356:$D$423,C147)</f>
        <v>0</v>
      </c>
      <c r="B147">
        <v>242</v>
      </c>
      <c r="C147" t="s">
        <v>250</v>
      </c>
      <c r="D147" t="s">
        <v>206</v>
      </c>
      <c r="E147" s="79" t="s">
        <v>562</v>
      </c>
      <c r="F147">
        <v>-5.67</v>
      </c>
      <c r="G147">
        <v>101.3</v>
      </c>
      <c r="H147">
        <v>206</v>
      </c>
      <c r="I147">
        <v>106.9</v>
      </c>
      <c r="J147">
        <v>287</v>
      </c>
      <c r="K147">
        <v>66.400000000000006</v>
      </c>
      <c r="L147">
        <v>279</v>
      </c>
      <c r="M147">
        <v>2.4E-2</v>
      </c>
      <c r="N147">
        <v>118</v>
      </c>
      <c r="O147">
        <v>-4.4400000000000004</v>
      </c>
      <c r="P147">
        <v>267</v>
      </c>
      <c r="Q147">
        <v>99.8</v>
      </c>
      <c r="R147">
        <v>266</v>
      </c>
      <c r="S147">
        <v>104.2</v>
      </c>
      <c r="T147">
        <v>263</v>
      </c>
      <c r="U147">
        <v>2.78</v>
      </c>
      <c r="V147">
        <v>163</v>
      </c>
    </row>
    <row r="148" spans="1:22" x14ac:dyDescent="0.25">
      <c r="A148">
        <f>COUNTIF('Value Matchup'!$D$356:$D$423,C148)</f>
        <v>0</v>
      </c>
      <c r="B148">
        <v>240</v>
      </c>
      <c r="C148" t="s">
        <v>472</v>
      </c>
      <c r="D148" t="s">
        <v>123</v>
      </c>
      <c r="E148" s="79" t="s">
        <v>637</v>
      </c>
      <c r="F148">
        <v>-5.6</v>
      </c>
      <c r="G148">
        <v>98.8</v>
      </c>
      <c r="H148">
        <v>246</v>
      </c>
      <c r="I148">
        <v>104.4</v>
      </c>
      <c r="J148">
        <v>238</v>
      </c>
      <c r="K148">
        <v>67.3</v>
      </c>
      <c r="L148">
        <v>237</v>
      </c>
      <c r="M148">
        <v>-0.04</v>
      </c>
      <c r="N148">
        <v>265</v>
      </c>
      <c r="O148">
        <v>-3.37</v>
      </c>
      <c r="P148">
        <v>239</v>
      </c>
      <c r="Q148">
        <v>99.4</v>
      </c>
      <c r="R148">
        <v>273</v>
      </c>
      <c r="S148">
        <v>102.8</v>
      </c>
      <c r="T148">
        <v>201</v>
      </c>
      <c r="U148">
        <v>3.53</v>
      </c>
      <c r="V148">
        <v>151</v>
      </c>
    </row>
    <row r="149" spans="1:22" x14ac:dyDescent="0.25">
      <c r="A149">
        <f>COUNTIF('Value Matchup'!$D$356:$D$423,C149)</f>
        <v>0</v>
      </c>
      <c r="B149">
        <v>263</v>
      </c>
      <c r="C149" t="s">
        <v>563</v>
      </c>
      <c r="D149" t="s">
        <v>147</v>
      </c>
      <c r="E149" s="79" t="s">
        <v>625</v>
      </c>
      <c r="F149">
        <v>-7.84</v>
      </c>
      <c r="G149">
        <v>94.5</v>
      </c>
      <c r="H149">
        <v>305</v>
      </c>
      <c r="I149">
        <v>102.4</v>
      </c>
      <c r="J149">
        <v>194</v>
      </c>
      <c r="K149">
        <v>74</v>
      </c>
      <c r="L149">
        <v>9</v>
      </c>
      <c r="M149">
        <v>-2.1000000000000001E-2</v>
      </c>
      <c r="N149">
        <v>228</v>
      </c>
      <c r="O149">
        <v>-8.4600000000000009</v>
      </c>
      <c r="P149">
        <v>336</v>
      </c>
      <c r="Q149">
        <v>98.5</v>
      </c>
      <c r="R149">
        <v>301</v>
      </c>
      <c r="S149">
        <v>107</v>
      </c>
      <c r="T149">
        <v>343</v>
      </c>
      <c r="U149">
        <v>-99</v>
      </c>
      <c r="V149">
        <v>331</v>
      </c>
    </row>
    <row r="150" spans="1:22" x14ac:dyDescent="0.25">
      <c r="A150">
        <f>COUNTIF('Value Matchup'!$D$356:$D$423,C150)</f>
        <v>0</v>
      </c>
      <c r="B150">
        <v>252</v>
      </c>
      <c r="C150" t="s">
        <v>252</v>
      </c>
      <c r="D150" t="s">
        <v>152</v>
      </c>
      <c r="E150" s="79" t="s">
        <v>628</v>
      </c>
      <c r="F150">
        <v>-6.63</v>
      </c>
      <c r="G150">
        <v>97.8</v>
      </c>
      <c r="H150">
        <v>267</v>
      </c>
      <c r="I150">
        <v>104.4</v>
      </c>
      <c r="J150">
        <v>234</v>
      </c>
      <c r="K150">
        <v>74.099999999999994</v>
      </c>
      <c r="L150">
        <v>8</v>
      </c>
      <c r="M150">
        <v>-1.0999999999999999E-2</v>
      </c>
      <c r="N150">
        <v>206</v>
      </c>
      <c r="O150">
        <v>-0.83</v>
      </c>
      <c r="P150">
        <v>192</v>
      </c>
      <c r="Q150">
        <v>101.6</v>
      </c>
      <c r="R150">
        <v>209</v>
      </c>
      <c r="S150">
        <v>102.4</v>
      </c>
      <c r="T150">
        <v>187</v>
      </c>
      <c r="U150">
        <v>3.52</v>
      </c>
      <c r="V150">
        <v>152</v>
      </c>
    </row>
    <row r="151" spans="1:22" x14ac:dyDescent="0.25">
      <c r="A151">
        <f>COUNTIF('Value Matchup'!$D$356:$D$423,C151)</f>
        <v>0</v>
      </c>
      <c r="B151">
        <v>238</v>
      </c>
      <c r="C151" t="s">
        <v>253</v>
      </c>
      <c r="D151" t="s">
        <v>158</v>
      </c>
      <c r="E151" s="79" t="s">
        <v>604</v>
      </c>
      <c r="F151">
        <v>-5.35</v>
      </c>
      <c r="G151">
        <v>98.7</v>
      </c>
      <c r="H151">
        <v>248</v>
      </c>
      <c r="I151">
        <v>104.1</v>
      </c>
      <c r="J151">
        <v>228</v>
      </c>
      <c r="K151">
        <v>65.3</v>
      </c>
      <c r="L151">
        <v>318</v>
      </c>
      <c r="M151">
        <v>-2.5000000000000001E-2</v>
      </c>
      <c r="N151">
        <v>235</v>
      </c>
      <c r="O151">
        <v>-4.67</v>
      </c>
      <c r="P151">
        <v>273</v>
      </c>
      <c r="Q151">
        <v>100</v>
      </c>
      <c r="R151">
        <v>260</v>
      </c>
      <c r="S151">
        <v>104.6</v>
      </c>
      <c r="T151">
        <v>286</v>
      </c>
      <c r="U151">
        <v>1.9</v>
      </c>
      <c r="V151">
        <v>182</v>
      </c>
    </row>
    <row r="152" spans="1:22" x14ac:dyDescent="0.25">
      <c r="A152">
        <f>COUNTIF('Value Matchup'!$D$356:$D$423,C152)</f>
        <v>0</v>
      </c>
      <c r="B152">
        <v>206</v>
      </c>
      <c r="C152" t="s">
        <v>489</v>
      </c>
      <c r="D152" t="s">
        <v>123</v>
      </c>
      <c r="E152" s="79" t="s">
        <v>518</v>
      </c>
      <c r="F152">
        <v>-2.71</v>
      </c>
      <c r="G152">
        <v>100.9</v>
      </c>
      <c r="H152">
        <v>215</v>
      </c>
      <c r="I152">
        <v>103.6</v>
      </c>
      <c r="J152">
        <v>216</v>
      </c>
      <c r="K152">
        <v>71.3</v>
      </c>
      <c r="L152">
        <v>54</v>
      </c>
      <c r="M152">
        <v>9.6000000000000002E-2</v>
      </c>
      <c r="N152">
        <v>20</v>
      </c>
      <c r="O152">
        <v>-4.38</v>
      </c>
      <c r="P152">
        <v>264</v>
      </c>
      <c r="Q152">
        <v>99.9</v>
      </c>
      <c r="R152">
        <v>261</v>
      </c>
      <c r="S152">
        <v>104.3</v>
      </c>
      <c r="T152">
        <v>269</v>
      </c>
      <c r="U152">
        <v>-2.4700000000000002</v>
      </c>
      <c r="V152">
        <v>249</v>
      </c>
    </row>
    <row r="153" spans="1:22" x14ac:dyDescent="0.25">
      <c r="A153">
        <f>COUNTIF('Value Matchup'!$D$356:$D$423,C153)</f>
        <v>0</v>
      </c>
      <c r="B153">
        <v>305</v>
      </c>
      <c r="C153" t="s">
        <v>255</v>
      </c>
      <c r="D153" t="s">
        <v>123</v>
      </c>
      <c r="E153" s="79" t="s">
        <v>655</v>
      </c>
      <c r="F153">
        <v>-10.96</v>
      </c>
      <c r="G153">
        <v>93.8</v>
      </c>
      <c r="H153">
        <v>313</v>
      </c>
      <c r="I153">
        <v>104.7</v>
      </c>
      <c r="J153">
        <v>244</v>
      </c>
      <c r="K153">
        <v>67.5</v>
      </c>
      <c r="L153">
        <v>229</v>
      </c>
      <c r="M153">
        <v>-0.04</v>
      </c>
      <c r="N153">
        <v>266</v>
      </c>
      <c r="O153">
        <v>-4.3</v>
      </c>
      <c r="P153">
        <v>260</v>
      </c>
      <c r="Q153">
        <v>99.2</v>
      </c>
      <c r="R153">
        <v>282</v>
      </c>
      <c r="S153">
        <v>103.5</v>
      </c>
      <c r="T153">
        <v>231</v>
      </c>
      <c r="U153">
        <v>-3.56</v>
      </c>
      <c r="V153">
        <v>259</v>
      </c>
    </row>
    <row r="154" spans="1:22" x14ac:dyDescent="0.25">
      <c r="A154">
        <f>COUNTIF('Value Matchup'!$D$356:$D$423,C154)</f>
        <v>0</v>
      </c>
      <c r="B154">
        <v>82</v>
      </c>
      <c r="C154" t="s">
        <v>256</v>
      </c>
      <c r="D154" t="s">
        <v>166</v>
      </c>
      <c r="E154" s="79" t="s">
        <v>505</v>
      </c>
      <c r="F154">
        <v>11.72</v>
      </c>
      <c r="G154">
        <v>104.1</v>
      </c>
      <c r="H154">
        <v>149</v>
      </c>
      <c r="I154">
        <v>92.4</v>
      </c>
      <c r="J154">
        <v>34</v>
      </c>
      <c r="K154">
        <v>69.400000000000006</v>
      </c>
      <c r="L154">
        <v>124</v>
      </c>
      <c r="M154">
        <v>2.1000000000000001E-2</v>
      </c>
      <c r="N154">
        <v>128</v>
      </c>
      <c r="O154">
        <v>0.63</v>
      </c>
      <c r="P154">
        <v>171</v>
      </c>
      <c r="Q154">
        <v>101.9</v>
      </c>
      <c r="R154">
        <v>200</v>
      </c>
      <c r="S154">
        <v>101.3</v>
      </c>
      <c r="T154">
        <v>148</v>
      </c>
      <c r="U154">
        <v>-9.33</v>
      </c>
      <c r="V154">
        <v>311</v>
      </c>
    </row>
    <row r="155" spans="1:22" x14ac:dyDescent="0.25">
      <c r="A155">
        <f>COUNTIF('Value Matchup'!$D$356:$D$423,C155)</f>
        <v>0</v>
      </c>
      <c r="B155">
        <v>54</v>
      </c>
      <c r="C155" t="s">
        <v>54</v>
      </c>
      <c r="D155" t="s">
        <v>139</v>
      </c>
      <c r="E155" s="79" t="s">
        <v>524</v>
      </c>
      <c r="F155">
        <v>15.5</v>
      </c>
      <c r="G155">
        <v>108.5</v>
      </c>
      <c r="H155">
        <v>84</v>
      </c>
      <c r="I155">
        <v>93</v>
      </c>
      <c r="J155">
        <v>43</v>
      </c>
      <c r="K155">
        <v>66</v>
      </c>
      <c r="L155">
        <v>303</v>
      </c>
      <c r="M155">
        <v>0.11799999999999999</v>
      </c>
      <c r="N155">
        <v>11</v>
      </c>
      <c r="O155">
        <v>13.37</v>
      </c>
      <c r="P155">
        <v>38</v>
      </c>
      <c r="Q155">
        <v>109.8</v>
      </c>
      <c r="R155">
        <v>26</v>
      </c>
      <c r="S155">
        <v>96.5</v>
      </c>
      <c r="T155">
        <v>49</v>
      </c>
      <c r="U155">
        <v>7.35</v>
      </c>
      <c r="V155">
        <v>90</v>
      </c>
    </row>
    <row r="156" spans="1:22" x14ac:dyDescent="0.25">
      <c r="A156">
        <f>COUNTIF('Value Matchup'!$D$356:$D$423,C156)</f>
        <v>1</v>
      </c>
      <c r="B156">
        <v>9</v>
      </c>
      <c r="C156" t="s">
        <v>257</v>
      </c>
      <c r="D156" t="s">
        <v>143</v>
      </c>
      <c r="E156" s="79" t="s">
        <v>564</v>
      </c>
      <c r="F156">
        <v>25.14</v>
      </c>
      <c r="G156">
        <v>111.2</v>
      </c>
      <c r="H156">
        <v>48</v>
      </c>
      <c r="I156">
        <v>86</v>
      </c>
      <c r="J156">
        <v>2</v>
      </c>
      <c r="K156">
        <v>64.2</v>
      </c>
      <c r="L156">
        <v>342</v>
      </c>
      <c r="M156">
        <v>-0.02</v>
      </c>
      <c r="N156">
        <v>226</v>
      </c>
      <c r="O156">
        <v>4.0599999999999996</v>
      </c>
      <c r="P156">
        <v>134</v>
      </c>
      <c r="Q156">
        <v>104.3</v>
      </c>
      <c r="R156">
        <v>136</v>
      </c>
      <c r="S156">
        <v>100.2</v>
      </c>
      <c r="T156">
        <v>136</v>
      </c>
      <c r="U156">
        <v>4.6399999999999997</v>
      </c>
      <c r="V156">
        <v>129</v>
      </c>
    </row>
    <row r="157" spans="1:22" x14ac:dyDescent="0.25">
      <c r="A157">
        <f>COUNTIF('Value Matchup'!$D$356:$D$423,C157)</f>
        <v>0</v>
      </c>
      <c r="B157">
        <v>102</v>
      </c>
      <c r="C157" t="s">
        <v>258</v>
      </c>
      <c r="D157" t="s">
        <v>150</v>
      </c>
      <c r="E157" s="79" t="s">
        <v>551</v>
      </c>
      <c r="F157">
        <v>9.48</v>
      </c>
      <c r="G157">
        <v>108</v>
      </c>
      <c r="H157">
        <v>91</v>
      </c>
      <c r="I157">
        <v>98.6</v>
      </c>
      <c r="J157">
        <v>119</v>
      </c>
      <c r="K157">
        <v>66.3</v>
      </c>
      <c r="L157">
        <v>285</v>
      </c>
      <c r="M157">
        <v>3.3000000000000002E-2</v>
      </c>
      <c r="N157">
        <v>99</v>
      </c>
      <c r="O157">
        <v>7.21</v>
      </c>
      <c r="P157">
        <v>99</v>
      </c>
      <c r="Q157">
        <v>104.9</v>
      </c>
      <c r="R157">
        <v>119</v>
      </c>
      <c r="S157">
        <v>97.7</v>
      </c>
      <c r="T157">
        <v>88</v>
      </c>
      <c r="U157">
        <v>5.66</v>
      </c>
      <c r="V157">
        <v>115</v>
      </c>
    </row>
    <row r="158" spans="1:22" x14ac:dyDescent="0.25">
      <c r="A158">
        <f>COUNTIF('Value Matchup'!$D$356:$D$423,C158)</f>
        <v>0</v>
      </c>
      <c r="B158">
        <v>210</v>
      </c>
      <c r="C158" t="s">
        <v>259</v>
      </c>
      <c r="D158" t="s">
        <v>121</v>
      </c>
      <c r="E158" s="79" t="s">
        <v>608</v>
      </c>
      <c r="F158">
        <v>-3.11</v>
      </c>
      <c r="G158">
        <v>97</v>
      </c>
      <c r="H158">
        <v>277</v>
      </c>
      <c r="I158">
        <v>100.1</v>
      </c>
      <c r="J158">
        <v>145</v>
      </c>
      <c r="K158">
        <v>69.2</v>
      </c>
      <c r="L158">
        <v>140</v>
      </c>
      <c r="M158">
        <v>-0.20100000000000001</v>
      </c>
      <c r="N158">
        <v>357</v>
      </c>
      <c r="O158">
        <v>-5.32</v>
      </c>
      <c r="P158">
        <v>286</v>
      </c>
      <c r="Q158">
        <v>101.4</v>
      </c>
      <c r="R158">
        <v>218</v>
      </c>
      <c r="S158">
        <v>106.7</v>
      </c>
      <c r="T158">
        <v>342</v>
      </c>
      <c r="U158">
        <v>-99</v>
      </c>
      <c r="V158">
        <v>331</v>
      </c>
    </row>
    <row r="159" spans="1:22" x14ac:dyDescent="0.25">
      <c r="A159">
        <f>COUNTIF('Value Matchup'!$D$356:$D$423,C159)</f>
        <v>1</v>
      </c>
      <c r="B159">
        <v>29</v>
      </c>
      <c r="C159" t="s">
        <v>52</v>
      </c>
      <c r="D159" t="s">
        <v>114</v>
      </c>
      <c r="E159" s="79" t="s">
        <v>527</v>
      </c>
      <c r="F159">
        <v>20.83</v>
      </c>
      <c r="G159">
        <v>120</v>
      </c>
      <c r="H159">
        <v>6</v>
      </c>
      <c r="I159">
        <v>99.2</v>
      </c>
      <c r="J159">
        <v>125</v>
      </c>
      <c r="K159">
        <v>71.099999999999994</v>
      </c>
      <c r="L159">
        <v>63</v>
      </c>
      <c r="M159">
        <v>2.4E-2</v>
      </c>
      <c r="N159">
        <v>119</v>
      </c>
      <c r="O159">
        <v>12.9</v>
      </c>
      <c r="P159">
        <v>41</v>
      </c>
      <c r="Q159">
        <v>107.6</v>
      </c>
      <c r="R159">
        <v>69</v>
      </c>
      <c r="S159">
        <v>94.7</v>
      </c>
      <c r="T159">
        <v>19</v>
      </c>
      <c r="U159">
        <v>0.5</v>
      </c>
      <c r="V159">
        <v>206</v>
      </c>
    </row>
    <row r="160" spans="1:22" x14ac:dyDescent="0.25">
      <c r="A160">
        <f>COUNTIF('Value Matchup'!$D$356:$D$423,C160)</f>
        <v>0</v>
      </c>
      <c r="B160">
        <v>344</v>
      </c>
      <c r="C160" t="s">
        <v>260</v>
      </c>
      <c r="D160" t="s">
        <v>118</v>
      </c>
      <c r="E160" s="79" t="s">
        <v>656</v>
      </c>
      <c r="F160">
        <v>-18.18</v>
      </c>
      <c r="G160">
        <v>86.6</v>
      </c>
      <c r="H160">
        <v>353</v>
      </c>
      <c r="I160">
        <v>104.8</v>
      </c>
      <c r="J160">
        <v>246</v>
      </c>
      <c r="K160">
        <v>64.900000000000006</v>
      </c>
      <c r="L160">
        <v>328</v>
      </c>
      <c r="M160">
        <v>2.8000000000000001E-2</v>
      </c>
      <c r="N160">
        <v>110</v>
      </c>
      <c r="O160">
        <v>-0.9</v>
      </c>
      <c r="P160">
        <v>193</v>
      </c>
      <c r="Q160">
        <v>100.8</v>
      </c>
      <c r="R160">
        <v>233</v>
      </c>
      <c r="S160">
        <v>101.7</v>
      </c>
      <c r="T160">
        <v>165</v>
      </c>
      <c r="U160">
        <v>6.54</v>
      </c>
      <c r="V160">
        <v>101</v>
      </c>
    </row>
    <row r="161" spans="1:22" x14ac:dyDescent="0.25">
      <c r="A161">
        <f>COUNTIF('Value Matchup'!$D$356:$D$423,C161)</f>
        <v>0</v>
      </c>
      <c r="B161">
        <v>315</v>
      </c>
      <c r="C161" t="s">
        <v>73</v>
      </c>
      <c r="D161" t="s">
        <v>160</v>
      </c>
      <c r="E161" s="79" t="s">
        <v>657</v>
      </c>
      <c r="F161">
        <v>-12.54</v>
      </c>
      <c r="G161">
        <v>90.2</v>
      </c>
      <c r="H161">
        <v>345</v>
      </c>
      <c r="I161">
        <v>102.8</v>
      </c>
      <c r="J161">
        <v>200</v>
      </c>
      <c r="K161">
        <v>67.400000000000006</v>
      </c>
      <c r="L161">
        <v>232</v>
      </c>
      <c r="M161">
        <v>-6.0000000000000001E-3</v>
      </c>
      <c r="N161">
        <v>193</v>
      </c>
      <c r="O161">
        <v>-7.5</v>
      </c>
      <c r="P161">
        <v>322</v>
      </c>
      <c r="Q161">
        <v>96.4</v>
      </c>
      <c r="R161">
        <v>333</v>
      </c>
      <c r="S161">
        <v>103.9</v>
      </c>
      <c r="T161">
        <v>242</v>
      </c>
      <c r="U161">
        <v>-19.440000000000001</v>
      </c>
      <c r="V161">
        <v>329</v>
      </c>
    </row>
    <row r="162" spans="1:22" x14ac:dyDescent="0.25">
      <c r="A162">
        <f>COUNTIF('Value Matchup'!$D$356:$D$423,C162)</f>
        <v>0</v>
      </c>
      <c r="B162">
        <v>264</v>
      </c>
      <c r="C162" t="s">
        <v>261</v>
      </c>
      <c r="D162" t="s">
        <v>160</v>
      </c>
      <c r="E162" s="79" t="s">
        <v>600</v>
      </c>
      <c r="F162">
        <v>-8</v>
      </c>
      <c r="G162">
        <v>92.3</v>
      </c>
      <c r="H162">
        <v>326</v>
      </c>
      <c r="I162">
        <v>100.3</v>
      </c>
      <c r="J162">
        <v>151</v>
      </c>
      <c r="K162">
        <v>66.400000000000006</v>
      </c>
      <c r="L162">
        <v>277</v>
      </c>
      <c r="M162">
        <v>8.2000000000000003E-2</v>
      </c>
      <c r="N162">
        <v>29</v>
      </c>
      <c r="O162">
        <v>-7.55</v>
      </c>
      <c r="P162">
        <v>324</v>
      </c>
      <c r="Q162">
        <v>97</v>
      </c>
      <c r="R162">
        <v>327</v>
      </c>
      <c r="S162">
        <v>104.5</v>
      </c>
      <c r="T162">
        <v>279</v>
      </c>
      <c r="U162">
        <v>-13.5</v>
      </c>
      <c r="V162">
        <v>323</v>
      </c>
    </row>
    <row r="163" spans="1:22" x14ac:dyDescent="0.25">
      <c r="A163">
        <f>COUNTIF('Value Matchup'!$D$356:$D$423,C163)</f>
        <v>0</v>
      </c>
      <c r="B163">
        <v>79</v>
      </c>
      <c r="C163" t="s">
        <v>262</v>
      </c>
      <c r="D163" t="s">
        <v>149</v>
      </c>
      <c r="E163" s="79" t="s">
        <v>520</v>
      </c>
      <c r="F163">
        <v>12.16</v>
      </c>
      <c r="G163">
        <v>108.3</v>
      </c>
      <c r="H163">
        <v>87</v>
      </c>
      <c r="I163">
        <v>96.1</v>
      </c>
      <c r="J163">
        <v>79</v>
      </c>
      <c r="K163">
        <v>67.7</v>
      </c>
      <c r="L163">
        <v>218</v>
      </c>
      <c r="M163">
        <v>-7.0000000000000001E-3</v>
      </c>
      <c r="N163">
        <v>198</v>
      </c>
      <c r="O163">
        <v>14.02</v>
      </c>
      <c r="P163">
        <v>29</v>
      </c>
      <c r="Q163">
        <v>109.5</v>
      </c>
      <c r="R163">
        <v>31</v>
      </c>
      <c r="S163">
        <v>95.5</v>
      </c>
      <c r="T163">
        <v>34</v>
      </c>
      <c r="U163">
        <v>6.62</v>
      </c>
      <c r="V163">
        <v>100</v>
      </c>
    </row>
    <row r="164" spans="1:22" x14ac:dyDescent="0.25">
      <c r="A164">
        <f>COUNTIF('Value Matchup'!$D$356:$D$423,C164)</f>
        <v>0</v>
      </c>
      <c r="B164">
        <v>90</v>
      </c>
      <c r="C164" t="s">
        <v>263</v>
      </c>
      <c r="D164" t="s">
        <v>166</v>
      </c>
      <c r="E164" s="79" t="s">
        <v>541</v>
      </c>
      <c r="F164">
        <v>10.52</v>
      </c>
      <c r="G164">
        <v>110.1</v>
      </c>
      <c r="H164">
        <v>64</v>
      </c>
      <c r="I164">
        <v>99.6</v>
      </c>
      <c r="J164">
        <v>128</v>
      </c>
      <c r="K164">
        <v>72.900000000000006</v>
      </c>
      <c r="L164">
        <v>19</v>
      </c>
      <c r="M164">
        <v>-6.8000000000000005E-2</v>
      </c>
      <c r="N164">
        <v>310</v>
      </c>
      <c r="O164">
        <v>1.22</v>
      </c>
      <c r="P164">
        <v>164</v>
      </c>
      <c r="Q164">
        <v>102.5</v>
      </c>
      <c r="R164">
        <v>181</v>
      </c>
      <c r="S164">
        <v>101.3</v>
      </c>
      <c r="T164">
        <v>149</v>
      </c>
      <c r="U164">
        <v>0.79</v>
      </c>
      <c r="V164">
        <v>199</v>
      </c>
    </row>
    <row r="165" spans="1:22" x14ac:dyDescent="0.25">
      <c r="A165">
        <f>COUNTIF('Value Matchup'!$D$356:$D$423,C165)</f>
        <v>1</v>
      </c>
      <c r="B165">
        <v>31</v>
      </c>
      <c r="C165" t="s">
        <v>31</v>
      </c>
      <c r="D165" t="s">
        <v>231</v>
      </c>
      <c r="E165" s="79" t="s">
        <v>565</v>
      </c>
      <c r="F165">
        <v>20.100000000000001</v>
      </c>
      <c r="G165">
        <v>111.7</v>
      </c>
      <c r="H165">
        <v>41</v>
      </c>
      <c r="I165">
        <v>91.6</v>
      </c>
      <c r="J165">
        <v>27</v>
      </c>
      <c r="K165">
        <v>65.3</v>
      </c>
      <c r="L165">
        <v>317</v>
      </c>
      <c r="M165">
        <v>-3.5000000000000003E-2</v>
      </c>
      <c r="N165">
        <v>253</v>
      </c>
      <c r="O165">
        <v>17.02</v>
      </c>
      <c r="P165">
        <v>12</v>
      </c>
      <c r="Q165">
        <v>110.2</v>
      </c>
      <c r="R165">
        <v>22</v>
      </c>
      <c r="S165">
        <v>93.1</v>
      </c>
      <c r="T165">
        <v>3</v>
      </c>
      <c r="U165">
        <v>-0.86</v>
      </c>
      <c r="V165">
        <v>225</v>
      </c>
    </row>
    <row r="166" spans="1:22" x14ac:dyDescent="0.25">
      <c r="A166">
        <f>COUNTIF('Value Matchup'!$D$356:$D$423,C166)</f>
        <v>0</v>
      </c>
      <c r="B166">
        <v>355</v>
      </c>
      <c r="C166" t="s">
        <v>264</v>
      </c>
      <c r="D166" t="s">
        <v>135</v>
      </c>
      <c r="E166" s="79" t="s">
        <v>526</v>
      </c>
      <c r="F166">
        <v>-25.73</v>
      </c>
      <c r="G166">
        <v>84.7</v>
      </c>
      <c r="H166">
        <v>355</v>
      </c>
      <c r="I166">
        <v>110.5</v>
      </c>
      <c r="J166">
        <v>332</v>
      </c>
      <c r="K166">
        <v>68</v>
      </c>
      <c r="L166">
        <v>200</v>
      </c>
      <c r="M166">
        <v>0</v>
      </c>
      <c r="N166">
        <v>174</v>
      </c>
      <c r="O166">
        <v>-99</v>
      </c>
      <c r="P166">
        <v>348</v>
      </c>
      <c r="Q166">
        <v>0</v>
      </c>
      <c r="R166">
        <v>348</v>
      </c>
      <c r="S166">
        <v>200</v>
      </c>
      <c r="T166">
        <v>348</v>
      </c>
      <c r="U166">
        <v>-99</v>
      </c>
      <c r="V166">
        <v>331</v>
      </c>
    </row>
    <row r="167" spans="1:22" x14ac:dyDescent="0.25">
      <c r="A167">
        <f>COUNTIF('Value Matchup'!$D$356:$D$423,C167)</f>
        <v>0</v>
      </c>
      <c r="B167">
        <v>115</v>
      </c>
      <c r="C167" t="s">
        <v>265</v>
      </c>
      <c r="D167" t="s">
        <v>181</v>
      </c>
      <c r="E167" s="79" t="s">
        <v>658</v>
      </c>
      <c r="F167">
        <v>7.5</v>
      </c>
      <c r="G167">
        <v>106.4</v>
      </c>
      <c r="H167">
        <v>115</v>
      </c>
      <c r="I167">
        <v>98.9</v>
      </c>
      <c r="J167">
        <v>122</v>
      </c>
      <c r="K167">
        <v>72</v>
      </c>
      <c r="L167">
        <v>40</v>
      </c>
      <c r="M167">
        <v>-5.7000000000000002E-2</v>
      </c>
      <c r="N167">
        <v>298</v>
      </c>
      <c r="O167">
        <v>4</v>
      </c>
      <c r="P167">
        <v>135</v>
      </c>
      <c r="Q167">
        <v>103.1</v>
      </c>
      <c r="R167">
        <v>168</v>
      </c>
      <c r="S167">
        <v>99.1</v>
      </c>
      <c r="T167">
        <v>114</v>
      </c>
      <c r="U167">
        <v>0.51</v>
      </c>
      <c r="V167">
        <v>204</v>
      </c>
    </row>
    <row r="168" spans="1:22" x14ac:dyDescent="0.25">
      <c r="A168">
        <f>COUNTIF('Value Matchup'!$D$356:$D$423,C168)</f>
        <v>0</v>
      </c>
      <c r="B168">
        <v>340</v>
      </c>
      <c r="C168" t="s">
        <v>266</v>
      </c>
      <c r="D168" t="s">
        <v>108</v>
      </c>
      <c r="E168" s="79" t="s">
        <v>659</v>
      </c>
      <c r="F168">
        <v>-17.59</v>
      </c>
      <c r="G168">
        <v>96.2</v>
      </c>
      <c r="H168">
        <v>285</v>
      </c>
      <c r="I168">
        <v>113.8</v>
      </c>
      <c r="J168">
        <v>353</v>
      </c>
      <c r="K168">
        <v>68.8</v>
      </c>
      <c r="L168">
        <v>157</v>
      </c>
      <c r="M168">
        <v>-0.09</v>
      </c>
      <c r="N168">
        <v>329</v>
      </c>
      <c r="O168">
        <v>-9.99</v>
      </c>
      <c r="P168">
        <v>340</v>
      </c>
      <c r="Q168">
        <v>97.1</v>
      </c>
      <c r="R168">
        <v>325</v>
      </c>
      <c r="S168">
        <v>107.1</v>
      </c>
      <c r="T168">
        <v>345</v>
      </c>
      <c r="U168">
        <v>6.42</v>
      </c>
      <c r="V168">
        <v>102</v>
      </c>
    </row>
    <row r="169" spans="1:22" x14ac:dyDescent="0.25">
      <c r="A169">
        <f>COUNTIF('Value Matchup'!$D$356:$D$423,C169)</f>
        <v>0</v>
      </c>
      <c r="B169">
        <v>39</v>
      </c>
      <c r="C169" t="s">
        <v>267</v>
      </c>
      <c r="D169" t="s">
        <v>170</v>
      </c>
      <c r="E169" s="79" t="s">
        <v>530</v>
      </c>
      <c r="F169">
        <v>18.03</v>
      </c>
      <c r="G169">
        <v>104.2</v>
      </c>
      <c r="H169">
        <v>145</v>
      </c>
      <c r="I169">
        <v>86.2</v>
      </c>
      <c r="J169">
        <v>3</v>
      </c>
      <c r="K169">
        <v>72.099999999999994</v>
      </c>
      <c r="L169">
        <v>38</v>
      </c>
      <c r="M169">
        <v>-0.09</v>
      </c>
      <c r="N169">
        <v>330</v>
      </c>
      <c r="O169">
        <v>6.94</v>
      </c>
      <c r="P169">
        <v>100</v>
      </c>
      <c r="Q169">
        <v>104.6</v>
      </c>
      <c r="R169">
        <v>127</v>
      </c>
      <c r="S169">
        <v>97.7</v>
      </c>
      <c r="T169">
        <v>87</v>
      </c>
      <c r="U169">
        <v>1.06</v>
      </c>
      <c r="V169">
        <v>197</v>
      </c>
    </row>
    <row r="170" spans="1:22" ht="16.5" customHeight="1" x14ac:dyDescent="0.25">
      <c r="A170">
        <f>COUNTIF('Value Matchup'!$D$356:$D$423,C170)</f>
        <v>0</v>
      </c>
      <c r="B170">
        <v>129</v>
      </c>
      <c r="C170" t="s">
        <v>268</v>
      </c>
      <c r="D170" t="s">
        <v>168</v>
      </c>
      <c r="E170" s="79" t="s">
        <v>501</v>
      </c>
      <c r="F170">
        <v>5.15</v>
      </c>
      <c r="G170">
        <v>107</v>
      </c>
      <c r="H170">
        <v>107</v>
      </c>
      <c r="I170">
        <v>101.8</v>
      </c>
      <c r="J170">
        <v>182</v>
      </c>
      <c r="K170">
        <v>68</v>
      </c>
      <c r="L170">
        <v>197</v>
      </c>
      <c r="M170">
        <v>-2E-3</v>
      </c>
      <c r="N170">
        <v>185</v>
      </c>
      <c r="O170">
        <v>1.9</v>
      </c>
      <c r="P170">
        <v>158</v>
      </c>
      <c r="Q170">
        <v>103.9</v>
      </c>
      <c r="R170">
        <v>146</v>
      </c>
      <c r="S170">
        <v>102</v>
      </c>
      <c r="T170">
        <v>172</v>
      </c>
      <c r="U170">
        <v>1.36</v>
      </c>
      <c r="V170">
        <v>193</v>
      </c>
    </row>
    <row r="171" spans="1:22" ht="15.75" customHeight="1" x14ac:dyDescent="0.25">
      <c r="A171">
        <f>COUNTIF('Value Matchup'!$D$356:$D$423,C171)</f>
        <v>0</v>
      </c>
      <c r="B171">
        <v>277</v>
      </c>
      <c r="C171" t="s">
        <v>566</v>
      </c>
      <c r="D171" t="s">
        <v>147</v>
      </c>
      <c r="E171" s="79" t="s">
        <v>625</v>
      </c>
      <c r="F171">
        <v>-8.89</v>
      </c>
      <c r="G171">
        <v>91.8</v>
      </c>
      <c r="H171">
        <v>330</v>
      </c>
      <c r="I171">
        <v>100.7</v>
      </c>
      <c r="J171">
        <v>159</v>
      </c>
      <c r="K171">
        <v>66.900000000000006</v>
      </c>
      <c r="L171">
        <v>257</v>
      </c>
      <c r="M171">
        <v>1.4E-2</v>
      </c>
      <c r="N171">
        <v>145</v>
      </c>
      <c r="O171">
        <v>-8.34</v>
      </c>
      <c r="P171">
        <v>333</v>
      </c>
      <c r="Q171">
        <v>98.8</v>
      </c>
      <c r="R171">
        <v>292</v>
      </c>
      <c r="S171">
        <v>107.1</v>
      </c>
      <c r="T171">
        <v>346</v>
      </c>
      <c r="U171">
        <v>-99</v>
      </c>
      <c r="V171">
        <v>331</v>
      </c>
    </row>
    <row r="172" spans="1:22" x14ac:dyDescent="0.25">
      <c r="A172">
        <f>COUNTIF('Value Matchup'!$D$356:$D$423,C172)</f>
        <v>0</v>
      </c>
      <c r="B172">
        <v>132</v>
      </c>
      <c r="C172" t="s">
        <v>269</v>
      </c>
      <c r="D172" t="s">
        <v>139</v>
      </c>
      <c r="E172" s="79" t="s">
        <v>630</v>
      </c>
      <c r="F172">
        <v>4.88</v>
      </c>
      <c r="G172">
        <v>102.9</v>
      </c>
      <c r="H172">
        <v>172</v>
      </c>
      <c r="I172">
        <v>98</v>
      </c>
      <c r="J172">
        <v>105</v>
      </c>
      <c r="K172">
        <v>68.099999999999994</v>
      </c>
      <c r="L172">
        <v>194</v>
      </c>
      <c r="M172">
        <v>1.9E-2</v>
      </c>
      <c r="N172">
        <v>132</v>
      </c>
      <c r="O172">
        <v>12.01</v>
      </c>
      <c r="P172">
        <v>51</v>
      </c>
      <c r="Q172">
        <v>109.3</v>
      </c>
      <c r="R172">
        <v>37</v>
      </c>
      <c r="S172">
        <v>97.3</v>
      </c>
      <c r="T172">
        <v>76</v>
      </c>
      <c r="U172">
        <v>-8.02</v>
      </c>
      <c r="V172">
        <v>305</v>
      </c>
    </row>
    <row r="173" spans="1:22" x14ac:dyDescent="0.25">
      <c r="A173">
        <f>COUNTIF('Value Matchup'!$D$356:$D$423,C173)</f>
        <v>0</v>
      </c>
      <c r="B173">
        <v>146</v>
      </c>
      <c r="C173" t="s">
        <v>270</v>
      </c>
      <c r="D173" t="s">
        <v>112</v>
      </c>
      <c r="E173" s="79" t="s">
        <v>660</v>
      </c>
      <c r="F173">
        <v>3</v>
      </c>
      <c r="G173">
        <v>106.9</v>
      </c>
      <c r="H173">
        <v>108</v>
      </c>
      <c r="I173">
        <v>104</v>
      </c>
      <c r="J173">
        <v>226</v>
      </c>
      <c r="K173">
        <v>66.099999999999994</v>
      </c>
      <c r="L173">
        <v>297</v>
      </c>
      <c r="M173">
        <v>2E-3</v>
      </c>
      <c r="N173">
        <v>169</v>
      </c>
      <c r="O173">
        <v>3.32</v>
      </c>
      <c r="P173">
        <v>142</v>
      </c>
      <c r="Q173">
        <v>104.9</v>
      </c>
      <c r="R173">
        <v>118</v>
      </c>
      <c r="S173">
        <v>101.6</v>
      </c>
      <c r="T173">
        <v>159</v>
      </c>
      <c r="U173">
        <v>-1.21</v>
      </c>
      <c r="V173">
        <v>232</v>
      </c>
    </row>
    <row r="174" spans="1:22" x14ac:dyDescent="0.25">
      <c r="A174">
        <f>COUNTIF('Value Matchup'!$D$356:$D$423,C174)</f>
        <v>1</v>
      </c>
      <c r="B174">
        <v>2</v>
      </c>
      <c r="C174" t="s">
        <v>82</v>
      </c>
      <c r="D174" t="s">
        <v>231</v>
      </c>
      <c r="E174" s="79" t="s">
        <v>567</v>
      </c>
      <c r="F174">
        <v>32.18</v>
      </c>
      <c r="G174">
        <v>120.2</v>
      </c>
      <c r="H174">
        <v>5</v>
      </c>
      <c r="I174">
        <v>88</v>
      </c>
      <c r="J174">
        <v>7</v>
      </c>
      <c r="K174">
        <v>66.8</v>
      </c>
      <c r="L174">
        <v>260</v>
      </c>
      <c r="M174">
        <v>2.5999999999999999E-2</v>
      </c>
      <c r="N174">
        <v>113</v>
      </c>
      <c r="O174">
        <v>16.829999999999998</v>
      </c>
      <c r="P174">
        <v>14</v>
      </c>
      <c r="Q174">
        <v>111.3</v>
      </c>
      <c r="R174">
        <v>12</v>
      </c>
      <c r="S174">
        <v>94.5</v>
      </c>
      <c r="T174">
        <v>17</v>
      </c>
      <c r="U174">
        <v>2.94</v>
      </c>
      <c r="V174">
        <v>158</v>
      </c>
    </row>
    <row r="175" spans="1:22" x14ac:dyDescent="0.25">
      <c r="A175">
        <f>COUNTIF('Value Matchup'!$D$356:$D$423,C175)</f>
        <v>1</v>
      </c>
      <c r="B175">
        <v>56</v>
      </c>
      <c r="C175" t="s">
        <v>271</v>
      </c>
      <c r="D175" t="s">
        <v>231</v>
      </c>
      <c r="E175" s="79" t="s">
        <v>562</v>
      </c>
      <c r="F175">
        <v>15.4</v>
      </c>
      <c r="G175">
        <v>107.7</v>
      </c>
      <c r="H175">
        <v>97</v>
      </c>
      <c r="I175">
        <v>92.3</v>
      </c>
      <c r="J175">
        <v>33</v>
      </c>
      <c r="K175">
        <v>68.599999999999994</v>
      </c>
      <c r="L175">
        <v>166</v>
      </c>
      <c r="M175">
        <v>0.106</v>
      </c>
      <c r="N175">
        <v>15</v>
      </c>
      <c r="O175">
        <v>18.12</v>
      </c>
      <c r="P175">
        <v>8</v>
      </c>
      <c r="Q175">
        <v>112.5</v>
      </c>
      <c r="R175">
        <v>2</v>
      </c>
      <c r="S175">
        <v>94.4</v>
      </c>
      <c r="T175">
        <v>14</v>
      </c>
      <c r="U175">
        <v>-0.56999999999999995</v>
      </c>
      <c r="V175">
        <v>222</v>
      </c>
    </row>
    <row r="176" spans="1:22" x14ac:dyDescent="0.25">
      <c r="A176">
        <f>COUNTIF('Value Matchup'!$D$356:$D$423,C176)</f>
        <v>0</v>
      </c>
      <c r="B176">
        <v>307</v>
      </c>
      <c r="C176" t="s">
        <v>272</v>
      </c>
      <c r="D176" t="s">
        <v>166</v>
      </c>
      <c r="E176" s="79" t="s">
        <v>661</v>
      </c>
      <c r="F176">
        <v>-11.21</v>
      </c>
      <c r="G176">
        <v>91.9</v>
      </c>
      <c r="H176">
        <v>329</v>
      </c>
      <c r="I176">
        <v>103.1</v>
      </c>
      <c r="J176">
        <v>206</v>
      </c>
      <c r="K176">
        <v>69.599999999999994</v>
      </c>
      <c r="L176">
        <v>118</v>
      </c>
      <c r="M176">
        <v>-3.5000000000000003E-2</v>
      </c>
      <c r="N176">
        <v>255</v>
      </c>
      <c r="O176">
        <v>2.23</v>
      </c>
      <c r="P176">
        <v>156</v>
      </c>
      <c r="Q176">
        <v>102.2</v>
      </c>
      <c r="R176">
        <v>192</v>
      </c>
      <c r="S176">
        <v>100</v>
      </c>
      <c r="T176">
        <v>129</v>
      </c>
      <c r="U176">
        <v>0.67</v>
      </c>
      <c r="V176">
        <v>200</v>
      </c>
    </row>
    <row r="177" spans="1:22" x14ac:dyDescent="0.25">
      <c r="A177">
        <f>COUNTIF('Value Matchup'!$D$356:$D$423,C177)</f>
        <v>0</v>
      </c>
      <c r="B177">
        <v>205</v>
      </c>
      <c r="C177" t="s">
        <v>273</v>
      </c>
      <c r="D177" t="s">
        <v>172</v>
      </c>
      <c r="E177" s="79" t="s">
        <v>662</v>
      </c>
      <c r="F177">
        <v>-2.65</v>
      </c>
      <c r="G177">
        <v>102.9</v>
      </c>
      <c r="H177">
        <v>171</v>
      </c>
      <c r="I177">
        <v>105.6</v>
      </c>
      <c r="J177">
        <v>265</v>
      </c>
      <c r="K177">
        <v>70.099999999999994</v>
      </c>
      <c r="L177">
        <v>94</v>
      </c>
      <c r="M177">
        <v>-0.01</v>
      </c>
      <c r="N177">
        <v>203</v>
      </c>
      <c r="O177">
        <v>-1.62</v>
      </c>
      <c r="P177">
        <v>208</v>
      </c>
      <c r="Q177">
        <v>102</v>
      </c>
      <c r="R177">
        <v>198</v>
      </c>
      <c r="S177">
        <v>103.7</v>
      </c>
      <c r="T177">
        <v>235</v>
      </c>
      <c r="U177">
        <v>0.4</v>
      </c>
      <c r="V177">
        <v>207</v>
      </c>
    </row>
    <row r="178" spans="1:22" x14ac:dyDescent="0.25">
      <c r="A178">
        <f>COUNTIF('Value Matchup'!$D$356:$D$423,C178)</f>
        <v>0</v>
      </c>
      <c r="B178">
        <v>57</v>
      </c>
      <c r="C178" t="s">
        <v>274</v>
      </c>
      <c r="D178" t="s">
        <v>231</v>
      </c>
      <c r="E178" s="79" t="s">
        <v>568</v>
      </c>
      <c r="F178">
        <v>15.34</v>
      </c>
      <c r="G178">
        <v>109.4</v>
      </c>
      <c r="H178">
        <v>73</v>
      </c>
      <c r="I178">
        <v>94.1</v>
      </c>
      <c r="J178">
        <v>51</v>
      </c>
      <c r="K178">
        <v>70.3</v>
      </c>
      <c r="L178">
        <v>90</v>
      </c>
      <c r="M178">
        <v>1.0999999999999999E-2</v>
      </c>
      <c r="N178">
        <v>150</v>
      </c>
      <c r="O178">
        <v>17.59</v>
      </c>
      <c r="P178">
        <v>10</v>
      </c>
      <c r="Q178">
        <v>111.6</v>
      </c>
      <c r="R178">
        <v>8</v>
      </c>
      <c r="S178">
        <v>94</v>
      </c>
      <c r="T178">
        <v>11</v>
      </c>
      <c r="U178">
        <v>-0.47</v>
      </c>
      <c r="V178">
        <v>218</v>
      </c>
    </row>
    <row r="179" spans="1:22" x14ac:dyDescent="0.25">
      <c r="A179">
        <f>COUNTIF('Value Matchup'!$D$356:$D$423,C179)</f>
        <v>0</v>
      </c>
      <c r="B179">
        <v>48</v>
      </c>
      <c r="C179" t="s">
        <v>45</v>
      </c>
      <c r="D179" t="s">
        <v>114</v>
      </c>
      <c r="E179" s="79" t="s">
        <v>569</v>
      </c>
      <c r="F179">
        <v>16.739999999999998</v>
      </c>
      <c r="G179">
        <v>107.2</v>
      </c>
      <c r="H179">
        <v>104</v>
      </c>
      <c r="I179">
        <v>90.4</v>
      </c>
      <c r="J179">
        <v>21</v>
      </c>
      <c r="K179">
        <v>65.099999999999994</v>
      </c>
      <c r="L179">
        <v>323</v>
      </c>
      <c r="M179">
        <v>-5.3999999999999999E-2</v>
      </c>
      <c r="N179">
        <v>293</v>
      </c>
      <c r="O179">
        <v>10.14</v>
      </c>
      <c r="P179">
        <v>73</v>
      </c>
      <c r="Q179">
        <v>107.6</v>
      </c>
      <c r="R179">
        <v>70</v>
      </c>
      <c r="S179">
        <v>97.5</v>
      </c>
      <c r="T179">
        <v>79</v>
      </c>
      <c r="U179">
        <v>-7.28</v>
      </c>
      <c r="V179">
        <v>303</v>
      </c>
    </row>
    <row r="180" spans="1:22" x14ac:dyDescent="0.25">
      <c r="A180">
        <f>COUNTIF('Value Matchup'!$D$356:$D$423,C180)</f>
        <v>0</v>
      </c>
      <c r="B180">
        <v>77</v>
      </c>
      <c r="C180" t="s">
        <v>275</v>
      </c>
      <c r="D180" t="s">
        <v>114</v>
      </c>
      <c r="E180" s="79" t="s">
        <v>570</v>
      </c>
      <c r="F180">
        <v>12.6</v>
      </c>
      <c r="G180">
        <v>107.3</v>
      </c>
      <c r="H180">
        <v>100</v>
      </c>
      <c r="I180">
        <v>94.7</v>
      </c>
      <c r="J180">
        <v>59</v>
      </c>
      <c r="K180">
        <v>65.7</v>
      </c>
      <c r="L180">
        <v>311</v>
      </c>
      <c r="M180">
        <v>-3.2000000000000001E-2</v>
      </c>
      <c r="N180">
        <v>246</v>
      </c>
      <c r="O180">
        <v>11.34</v>
      </c>
      <c r="P180">
        <v>58</v>
      </c>
      <c r="Q180">
        <v>106.9</v>
      </c>
      <c r="R180">
        <v>78</v>
      </c>
      <c r="S180">
        <v>95.6</v>
      </c>
      <c r="T180">
        <v>36</v>
      </c>
      <c r="U180">
        <v>-2</v>
      </c>
      <c r="V180">
        <v>241</v>
      </c>
    </row>
    <row r="181" spans="1:22" x14ac:dyDescent="0.25">
      <c r="A181">
        <f>COUNTIF('Value Matchup'!$D$356:$D$423,C181)</f>
        <v>0</v>
      </c>
      <c r="B181">
        <v>357</v>
      </c>
      <c r="C181" t="s">
        <v>276</v>
      </c>
      <c r="D181" t="s">
        <v>116</v>
      </c>
      <c r="E181" s="79" t="s">
        <v>649</v>
      </c>
      <c r="F181">
        <v>-40.53</v>
      </c>
      <c r="G181">
        <v>79.7</v>
      </c>
      <c r="H181">
        <v>357</v>
      </c>
      <c r="I181">
        <v>120.2</v>
      </c>
      <c r="J181">
        <v>357</v>
      </c>
      <c r="K181">
        <v>71.400000000000006</v>
      </c>
      <c r="L181">
        <v>50</v>
      </c>
      <c r="M181">
        <v>0.04</v>
      </c>
      <c r="N181">
        <v>89</v>
      </c>
      <c r="O181">
        <v>-5.05</v>
      </c>
      <c r="P181">
        <v>281</v>
      </c>
      <c r="Q181">
        <v>96.9</v>
      </c>
      <c r="R181">
        <v>329</v>
      </c>
      <c r="S181">
        <v>101.9</v>
      </c>
      <c r="T181">
        <v>170</v>
      </c>
      <c r="U181">
        <v>15.36</v>
      </c>
      <c r="V181">
        <v>18</v>
      </c>
    </row>
    <row r="182" spans="1:22" x14ac:dyDescent="0.25">
      <c r="A182">
        <f>COUNTIF('Value Matchup'!$D$356:$D$423,C182)</f>
        <v>1</v>
      </c>
      <c r="B182">
        <v>51</v>
      </c>
      <c r="C182" t="s">
        <v>277</v>
      </c>
      <c r="D182" t="s">
        <v>114</v>
      </c>
      <c r="E182" s="79" t="s">
        <v>550</v>
      </c>
      <c r="F182">
        <v>16.55</v>
      </c>
      <c r="G182">
        <v>111</v>
      </c>
      <c r="H182">
        <v>50</v>
      </c>
      <c r="I182">
        <v>94.5</v>
      </c>
      <c r="J182">
        <v>58</v>
      </c>
      <c r="K182">
        <v>68.7</v>
      </c>
      <c r="L182">
        <v>161</v>
      </c>
      <c r="M182">
        <v>8.7999999999999995E-2</v>
      </c>
      <c r="N182">
        <v>24</v>
      </c>
      <c r="O182">
        <v>15.05</v>
      </c>
      <c r="P182">
        <v>17</v>
      </c>
      <c r="Q182">
        <v>109.8</v>
      </c>
      <c r="R182">
        <v>25</v>
      </c>
      <c r="S182">
        <v>94.8</v>
      </c>
      <c r="T182">
        <v>20</v>
      </c>
      <c r="U182">
        <v>9.74</v>
      </c>
      <c r="V182">
        <v>59</v>
      </c>
    </row>
    <row r="183" spans="1:22" x14ac:dyDescent="0.25">
      <c r="A183">
        <f>COUNTIF('Value Matchup'!$D$356:$D$423,C183)</f>
        <v>0</v>
      </c>
      <c r="B183">
        <v>88</v>
      </c>
      <c r="C183" t="s">
        <v>278</v>
      </c>
      <c r="D183" t="s">
        <v>143</v>
      </c>
      <c r="E183" s="79" t="s">
        <v>571</v>
      </c>
      <c r="F183">
        <v>10.81</v>
      </c>
      <c r="G183">
        <v>108.2</v>
      </c>
      <c r="H183">
        <v>88</v>
      </c>
      <c r="I183">
        <v>97.4</v>
      </c>
      <c r="J183">
        <v>97</v>
      </c>
      <c r="K183">
        <v>69.400000000000006</v>
      </c>
      <c r="L183">
        <v>127</v>
      </c>
      <c r="M183">
        <v>3.9E-2</v>
      </c>
      <c r="N183">
        <v>91</v>
      </c>
      <c r="O183">
        <v>3.53</v>
      </c>
      <c r="P183">
        <v>139</v>
      </c>
      <c r="Q183">
        <v>103.8</v>
      </c>
      <c r="R183">
        <v>149</v>
      </c>
      <c r="S183">
        <v>100.3</v>
      </c>
      <c r="T183">
        <v>137</v>
      </c>
      <c r="U183">
        <v>-12.73</v>
      </c>
      <c r="V183">
        <v>320</v>
      </c>
    </row>
    <row r="184" spans="1:22" x14ac:dyDescent="0.25">
      <c r="A184">
        <f>COUNTIF('Value Matchup'!$D$356:$D$423,C184)</f>
        <v>0</v>
      </c>
      <c r="B184">
        <v>227</v>
      </c>
      <c r="C184" t="s">
        <v>279</v>
      </c>
      <c r="D184" t="s">
        <v>160</v>
      </c>
      <c r="E184" s="79" t="s">
        <v>663</v>
      </c>
      <c r="F184">
        <v>-4.46</v>
      </c>
      <c r="G184">
        <v>99.7</v>
      </c>
      <c r="H184">
        <v>237</v>
      </c>
      <c r="I184">
        <v>104.1</v>
      </c>
      <c r="J184">
        <v>229</v>
      </c>
      <c r="K184">
        <v>74.5</v>
      </c>
      <c r="L184">
        <v>6</v>
      </c>
      <c r="M184">
        <v>0.05</v>
      </c>
      <c r="N184">
        <v>73</v>
      </c>
      <c r="O184">
        <v>-6.38</v>
      </c>
      <c r="P184">
        <v>306</v>
      </c>
      <c r="Q184">
        <v>96.8</v>
      </c>
      <c r="R184">
        <v>331</v>
      </c>
      <c r="S184">
        <v>103.1</v>
      </c>
      <c r="T184">
        <v>217</v>
      </c>
      <c r="U184">
        <v>-3.66</v>
      </c>
      <c r="V184">
        <v>261</v>
      </c>
    </row>
    <row r="185" spans="1:22" x14ac:dyDescent="0.25">
      <c r="A185">
        <f>COUNTIF('Value Matchup'!$D$356:$D$423,C185)</f>
        <v>0</v>
      </c>
      <c r="B185">
        <v>201</v>
      </c>
      <c r="C185" t="s">
        <v>280</v>
      </c>
      <c r="D185" t="s">
        <v>197</v>
      </c>
      <c r="E185" s="79" t="s">
        <v>572</v>
      </c>
      <c r="F185">
        <v>-2.4500000000000002</v>
      </c>
      <c r="G185">
        <v>98.8</v>
      </c>
      <c r="H185">
        <v>247</v>
      </c>
      <c r="I185">
        <v>101.2</v>
      </c>
      <c r="J185">
        <v>172</v>
      </c>
      <c r="K185">
        <v>66</v>
      </c>
      <c r="L185">
        <v>302</v>
      </c>
      <c r="M185">
        <v>8.9999999999999993E-3</v>
      </c>
      <c r="N185">
        <v>151</v>
      </c>
      <c r="O185">
        <v>0.66</v>
      </c>
      <c r="P185">
        <v>170</v>
      </c>
      <c r="Q185">
        <v>103.5</v>
      </c>
      <c r="R185">
        <v>156</v>
      </c>
      <c r="S185">
        <v>102.9</v>
      </c>
      <c r="T185">
        <v>203</v>
      </c>
      <c r="U185">
        <v>16.239999999999998</v>
      </c>
      <c r="V185">
        <v>15</v>
      </c>
    </row>
    <row r="186" spans="1:22" x14ac:dyDescent="0.25">
      <c r="A186">
        <f>COUNTIF('Value Matchup'!$D$356:$D$423,C186)</f>
        <v>0</v>
      </c>
      <c r="B186">
        <v>223</v>
      </c>
      <c r="C186" t="s">
        <v>281</v>
      </c>
      <c r="D186" t="s">
        <v>197</v>
      </c>
      <c r="E186" s="79" t="s">
        <v>532</v>
      </c>
      <c r="F186">
        <v>-4.05</v>
      </c>
      <c r="G186">
        <v>99.5</v>
      </c>
      <c r="H186">
        <v>238</v>
      </c>
      <c r="I186">
        <v>103.5</v>
      </c>
      <c r="J186">
        <v>213</v>
      </c>
      <c r="K186">
        <v>68.599999999999994</v>
      </c>
      <c r="L186">
        <v>170</v>
      </c>
      <c r="M186">
        <v>5.5E-2</v>
      </c>
      <c r="N186">
        <v>62</v>
      </c>
      <c r="O186">
        <v>-2.8</v>
      </c>
      <c r="P186">
        <v>229</v>
      </c>
      <c r="Q186">
        <v>101.4</v>
      </c>
      <c r="R186">
        <v>217</v>
      </c>
      <c r="S186">
        <v>104.2</v>
      </c>
      <c r="T186">
        <v>260</v>
      </c>
      <c r="U186">
        <v>4.04</v>
      </c>
      <c r="V186">
        <v>143</v>
      </c>
    </row>
    <row r="187" spans="1:22" x14ac:dyDescent="0.25">
      <c r="A187">
        <f>COUNTIF('Value Matchup'!$D$356:$D$423,C187)</f>
        <v>1</v>
      </c>
      <c r="B187">
        <v>128</v>
      </c>
      <c r="C187" t="s">
        <v>282</v>
      </c>
      <c r="D187" t="s">
        <v>131</v>
      </c>
      <c r="E187" s="79" t="s">
        <v>573</v>
      </c>
      <c r="F187">
        <v>5.28</v>
      </c>
      <c r="G187">
        <v>100.9</v>
      </c>
      <c r="H187">
        <v>214</v>
      </c>
      <c r="I187">
        <v>95.6</v>
      </c>
      <c r="J187">
        <v>72</v>
      </c>
      <c r="K187">
        <v>65.599999999999994</v>
      </c>
      <c r="L187">
        <v>312</v>
      </c>
      <c r="M187">
        <v>0.152</v>
      </c>
      <c r="N187">
        <v>3</v>
      </c>
      <c r="O187">
        <v>-2.0299999999999998</v>
      </c>
      <c r="P187">
        <v>216</v>
      </c>
      <c r="Q187">
        <v>101.4</v>
      </c>
      <c r="R187">
        <v>215</v>
      </c>
      <c r="S187">
        <v>103.5</v>
      </c>
      <c r="T187">
        <v>230</v>
      </c>
      <c r="U187">
        <v>16.27</v>
      </c>
      <c r="V187">
        <v>14</v>
      </c>
    </row>
    <row r="188" spans="1:22" x14ac:dyDescent="0.25">
      <c r="A188">
        <f>COUNTIF('Value Matchup'!$D$356:$D$423,C188)</f>
        <v>0</v>
      </c>
      <c r="B188">
        <v>221</v>
      </c>
      <c r="C188" t="s">
        <v>283</v>
      </c>
      <c r="D188" t="s">
        <v>135</v>
      </c>
      <c r="E188" s="79" t="s">
        <v>574</v>
      </c>
      <c r="F188">
        <v>-3.72</v>
      </c>
      <c r="G188">
        <v>100.6</v>
      </c>
      <c r="H188">
        <v>222</v>
      </c>
      <c r="I188">
        <v>104.3</v>
      </c>
      <c r="J188">
        <v>231</v>
      </c>
      <c r="K188">
        <v>72.2</v>
      </c>
      <c r="L188">
        <v>32</v>
      </c>
      <c r="M188">
        <v>-3.6999999999999998E-2</v>
      </c>
      <c r="N188">
        <v>258</v>
      </c>
      <c r="O188">
        <v>-8.2899999999999991</v>
      </c>
      <c r="P188">
        <v>332</v>
      </c>
      <c r="Q188">
        <v>96.1</v>
      </c>
      <c r="R188">
        <v>338</v>
      </c>
      <c r="S188">
        <v>104.4</v>
      </c>
      <c r="T188">
        <v>272</v>
      </c>
      <c r="U188">
        <v>0.18</v>
      </c>
      <c r="V188">
        <v>211</v>
      </c>
    </row>
    <row r="189" spans="1:22" x14ac:dyDescent="0.25">
      <c r="A189">
        <f>COUNTIF('Value Matchup'!$D$356:$D$423,C189)</f>
        <v>1</v>
      </c>
      <c r="B189">
        <v>219</v>
      </c>
      <c r="C189" t="s">
        <v>284</v>
      </c>
      <c r="D189" t="s">
        <v>147</v>
      </c>
      <c r="E189" s="79" t="s">
        <v>618</v>
      </c>
      <c r="F189">
        <v>-3.61</v>
      </c>
      <c r="G189">
        <v>96.2</v>
      </c>
      <c r="H189">
        <v>287</v>
      </c>
      <c r="I189">
        <v>99.8</v>
      </c>
      <c r="J189">
        <v>137</v>
      </c>
      <c r="K189">
        <v>62.2</v>
      </c>
      <c r="L189">
        <v>356</v>
      </c>
      <c r="M189">
        <v>6.0000000000000001E-3</v>
      </c>
      <c r="N189">
        <v>159</v>
      </c>
      <c r="O189">
        <v>-6.09</v>
      </c>
      <c r="P189">
        <v>303</v>
      </c>
      <c r="Q189">
        <v>99.4</v>
      </c>
      <c r="R189">
        <v>274</v>
      </c>
      <c r="S189">
        <v>105.5</v>
      </c>
      <c r="T189">
        <v>320</v>
      </c>
      <c r="U189">
        <v>11.53</v>
      </c>
      <c r="V189">
        <v>43</v>
      </c>
    </row>
    <row r="190" spans="1:22" x14ac:dyDescent="0.25">
      <c r="A190">
        <f>COUNTIF('Value Matchup'!$D$356:$D$423,C190)</f>
        <v>0</v>
      </c>
      <c r="B190">
        <v>168</v>
      </c>
      <c r="C190" t="s">
        <v>285</v>
      </c>
      <c r="D190" t="s">
        <v>131</v>
      </c>
      <c r="E190" s="79" t="s">
        <v>553</v>
      </c>
      <c r="F190">
        <v>1.57</v>
      </c>
      <c r="G190">
        <v>104.1</v>
      </c>
      <c r="H190">
        <v>151</v>
      </c>
      <c r="I190">
        <v>102.5</v>
      </c>
      <c r="J190">
        <v>196</v>
      </c>
      <c r="K190">
        <v>66.5</v>
      </c>
      <c r="L190">
        <v>275</v>
      </c>
      <c r="M190">
        <v>-0.17699999999999999</v>
      </c>
      <c r="N190">
        <v>356</v>
      </c>
      <c r="O190">
        <v>-5.17</v>
      </c>
      <c r="P190">
        <v>283</v>
      </c>
      <c r="Q190">
        <v>99.4</v>
      </c>
      <c r="R190">
        <v>275</v>
      </c>
      <c r="S190">
        <v>104.6</v>
      </c>
      <c r="T190">
        <v>285</v>
      </c>
      <c r="U190">
        <v>-3.84</v>
      </c>
      <c r="V190">
        <v>265</v>
      </c>
    </row>
    <row r="191" spans="1:22" x14ac:dyDescent="0.25">
      <c r="A191">
        <f>COUNTIF('Value Matchup'!$D$356:$D$423,C191)</f>
        <v>0</v>
      </c>
      <c r="B191">
        <v>73</v>
      </c>
      <c r="C191" t="s">
        <v>575</v>
      </c>
      <c r="D191" t="s">
        <v>139</v>
      </c>
      <c r="E191" s="79" t="s">
        <v>532</v>
      </c>
      <c r="F191">
        <v>13.05</v>
      </c>
      <c r="G191">
        <v>110.1</v>
      </c>
      <c r="H191">
        <v>62</v>
      </c>
      <c r="I191">
        <v>97.1</v>
      </c>
      <c r="J191">
        <v>91</v>
      </c>
      <c r="K191">
        <v>68.2</v>
      </c>
      <c r="L191">
        <v>188</v>
      </c>
      <c r="M191">
        <v>2E-3</v>
      </c>
      <c r="N191">
        <v>168</v>
      </c>
      <c r="O191">
        <v>10.65</v>
      </c>
      <c r="P191">
        <v>69</v>
      </c>
      <c r="Q191">
        <v>108.9</v>
      </c>
      <c r="R191">
        <v>43</v>
      </c>
      <c r="S191">
        <v>98.2</v>
      </c>
      <c r="T191">
        <v>101</v>
      </c>
      <c r="U191">
        <v>-6.38</v>
      </c>
      <c r="V191">
        <v>295</v>
      </c>
    </row>
    <row r="192" spans="1:22" x14ac:dyDescent="0.25">
      <c r="A192">
        <f>COUNTIF('Value Matchup'!$D$356:$D$423,C192)</f>
        <v>0</v>
      </c>
      <c r="B192">
        <v>159</v>
      </c>
      <c r="C192" t="s">
        <v>286</v>
      </c>
      <c r="D192" t="s">
        <v>121</v>
      </c>
      <c r="E192" s="79" t="s">
        <v>576</v>
      </c>
      <c r="F192">
        <v>2.1</v>
      </c>
      <c r="G192">
        <v>104.8</v>
      </c>
      <c r="H192">
        <v>132</v>
      </c>
      <c r="I192">
        <v>102.7</v>
      </c>
      <c r="J192">
        <v>199</v>
      </c>
      <c r="K192">
        <v>66.2</v>
      </c>
      <c r="L192">
        <v>289</v>
      </c>
      <c r="M192">
        <v>0.17899999999999999</v>
      </c>
      <c r="N192">
        <v>2</v>
      </c>
      <c r="O192">
        <v>-5.08</v>
      </c>
      <c r="P192">
        <v>282</v>
      </c>
      <c r="Q192">
        <v>98</v>
      </c>
      <c r="R192">
        <v>315</v>
      </c>
      <c r="S192">
        <v>103.1</v>
      </c>
      <c r="T192">
        <v>215</v>
      </c>
      <c r="U192">
        <v>8.02</v>
      </c>
      <c r="V192">
        <v>83</v>
      </c>
    </row>
    <row r="193" spans="1:22" x14ac:dyDescent="0.25">
      <c r="A193">
        <f>COUNTIF('Value Matchup'!$D$356:$D$423,C193)</f>
        <v>0</v>
      </c>
      <c r="B193">
        <v>94</v>
      </c>
      <c r="C193" t="s">
        <v>287</v>
      </c>
      <c r="D193" t="s">
        <v>231</v>
      </c>
      <c r="E193" s="79" t="s">
        <v>664</v>
      </c>
      <c r="F193">
        <v>10.050000000000001</v>
      </c>
      <c r="G193">
        <v>103</v>
      </c>
      <c r="H193">
        <v>169</v>
      </c>
      <c r="I193">
        <v>92.9</v>
      </c>
      <c r="J193">
        <v>40</v>
      </c>
      <c r="K193">
        <v>72.099999999999994</v>
      </c>
      <c r="L193">
        <v>36</v>
      </c>
      <c r="M193">
        <v>-0.128</v>
      </c>
      <c r="N193">
        <v>351</v>
      </c>
      <c r="O193">
        <v>18.809999999999999</v>
      </c>
      <c r="P193">
        <v>3</v>
      </c>
      <c r="Q193">
        <v>112.5</v>
      </c>
      <c r="R193">
        <v>4</v>
      </c>
      <c r="S193">
        <v>93.6</v>
      </c>
      <c r="T193">
        <v>7</v>
      </c>
      <c r="U193">
        <v>5.04</v>
      </c>
      <c r="V193">
        <v>126</v>
      </c>
    </row>
    <row r="194" spans="1:22" x14ac:dyDescent="0.25">
      <c r="A194">
        <f>COUNTIF('Value Matchup'!$D$356:$D$423,C194)</f>
        <v>0</v>
      </c>
      <c r="B194">
        <v>312</v>
      </c>
      <c r="C194" t="s">
        <v>288</v>
      </c>
      <c r="D194" t="s">
        <v>185</v>
      </c>
      <c r="E194" s="79" t="s">
        <v>591</v>
      </c>
      <c r="F194">
        <v>-11.98</v>
      </c>
      <c r="G194">
        <v>94.5</v>
      </c>
      <c r="H194">
        <v>304</v>
      </c>
      <c r="I194">
        <v>106.5</v>
      </c>
      <c r="J194">
        <v>276</v>
      </c>
      <c r="K194">
        <v>71</v>
      </c>
      <c r="L194">
        <v>66</v>
      </c>
      <c r="M194">
        <v>-1.7000000000000001E-2</v>
      </c>
      <c r="N194">
        <v>219</v>
      </c>
      <c r="O194">
        <v>0.94</v>
      </c>
      <c r="P194">
        <v>167</v>
      </c>
      <c r="Q194">
        <v>103.7</v>
      </c>
      <c r="R194">
        <v>153</v>
      </c>
      <c r="S194">
        <v>102.7</v>
      </c>
      <c r="T194">
        <v>198</v>
      </c>
      <c r="U194">
        <v>9.67</v>
      </c>
      <c r="V194">
        <v>60</v>
      </c>
    </row>
    <row r="195" spans="1:22" x14ac:dyDescent="0.25">
      <c r="A195">
        <f>COUNTIF('Value Matchup'!$D$356:$D$423,C195)</f>
        <v>0</v>
      </c>
      <c r="B195">
        <v>87</v>
      </c>
      <c r="C195" t="s">
        <v>289</v>
      </c>
      <c r="D195" t="s">
        <v>110</v>
      </c>
      <c r="E195" s="79" t="s">
        <v>577</v>
      </c>
      <c r="F195">
        <v>10.83</v>
      </c>
      <c r="G195">
        <v>109.8</v>
      </c>
      <c r="H195">
        <v>69</v>
      </c>
      <c r="I195">
        <v>98.9</v>
      </c>
      <c r="J195">
        <v>123</v>
      </c>
      <c r="K195">
        <v>70.099999999999994</v>
      </c>
      <c r="L195">
        <v>96</v>
      </c>
      <c r="M195">
        <v>-1.2E-2</v>
      </c>
      <c r="N195">
        <v>209</v>
      </c>
      <c r="O195">
        <v>6.13</v>
      </c>
      <c r="P195">
        <v>112</v>
      </c>
      <c r="Q195">
        <v>104.5</v>
      </c>
      <c r="R195">
        <v>133</v>
      </c>
      <c r="S195">
        <v>98.3</v>
      </c>
      <c r="T195">
        <v>103</v>
      </c>
      <c r="U195">
        <v>6.31</v>
      </c>
      <c r="V195">
        <v>103</v>
      </c>
    </row>
    <row r="196" spans="1:22" x14ac:dyDescent="0.25">
      <c r="A196">
        <f>COUNTIF('Value Matchup'!$D$356:$D$423,C196)</f>
        <v>0</v>
      </c>
      <c r="B196">
        <v>265</v>
      </c>
      <c r="C196" t="s">
        <v>290</v>
      </c>
      <c r="D196" t="s">
        <v>118</v>
      </c>
      <c r="E196" s="79" t="s">
        <v>629</v>
      </c>
      <c r="F196">
        <v>-8.01</v>
      </c>
      <c r="G196">
        <v>96.7</v>
      </c>
      <c r="H196">
        <v>281</v>
      </c>
      <c r="I196">
        <v>104.7</v>
      </c>
      <c r="J196">
        <v>245</v>
      </c>
      <c r="K196">
        <v>66.8</v>
      </c>
      <c r="L196">
        <v>266</v>
      </c>
      <c r="M196">
        <v>5.6000000000000001E-2</v>
      </c>
      <c r="N196">
        <v>56</v>
      </c>
      <c r="O196">
        <v>-6.31</v>
      </c>
      <c r="P196">
        <v>305</v>
      </c>
      <c r="Q196">
        <v>97.2</v>
      </c>
      <c r="R196">
        <v>323</v>
      </c>
      <c r="S196">
        <v>103.5</v>
      </c>
      <c r="T196">
        <v>232</v>
      </c>
      <c r="U196">
        <v>-4.1399999999999997</v>
      </c>
      <c r="V196">
        <v>269</v>
      </c>
    </row>
    <row r="197" spans="1:22" x14ac:dyDescent="0.25">
      <c r="A197">
        <f>COUNTIF('Value Matchup'!$D$356:$D$423,C197)</f>
        <v>0</v>
      </c>
      <c r="B197">
        <v>289</v>
      </c>
      <c r="C197" t="s">
        <v>291</v>
      </c>
      <c r="D197" t="s">
        <v>110</v>
      </c>
      <c r="E197" s="79" t="s">
        <v>665</v>
      </c>
      <c r="F197">
        <v>-9.94</v>
      </c>
      <c r="G197">
        <v>92.4</v>
      </c>
      <c r="H197">
        <v>325</v>
      </c>
      <c r="I197">
        <v>102.3</v>
      </c>
      <c r="J197">
        <v>193</v>
      </c>
      <c r="K197">
        <v>68.099999999999994</v>
      </c>
      <c r="L197">
        <v>195</v>
      </c>
      <c r="M197">
        <v>-3.9E-2</v>
      </c>
      <c r="N197">
        <v>263</v>
      </c>
      <c r="O197">
        <v>3.66</v>
      </c>
      <c r="P197">
        <v>138</v>
      </c>
      <c r="Q197">
        <v>104.6</v>
      </c>
      <c r="R197">
        <v>128</v>
      </c>
      <c r="S197">
        <v>101</v>
      </c>
      <c r="T197">
        <v>140</v>
      </c>
      <c r="U197">
        <v>-5.03</v>
      </c>
      <c r="V197">
        <v>279</v>
      </c>
    </row>
    <row r="198" spans="1:22" x14ac:dyDescent="0.25">
      <c r="A198">
        <f>COUNTIF('Value Matchup'!$D$356:$D$423,C198)</f>
        <v>0</v>
      </c>
      <c r="B198">
        <v>160</v>
      </c>
      <c r="C198" t="s">
        <v>292</v>
      </c>
      <c r="D198" t="s">
        <v>154</v>
      </c>
      <c r="E198" s="79" t="s">
        <v>663</v>
      </c>
      <c r="F198">
        <v>2.09</v>
      </c>
      <c r="G198">
        <v>104.4</v>
      </c>
      <c r="H198">
        <v>141</v>
      </c>
      <c r="I198">
        <v>102.3</v>
      </c>
      <c r="J198">
        <v>192</v>
      </c>
      <c r="K198">
        <v>65</v>
      </c>
      <c r="L198">
        <v>325</v>
      </c>
      <c r="M198">
        <v>-6.6000000000000003E-2</v>
      </c>
      <c r="N198">
        <v>306</v>
      </c>
      <c r="O198">
        <v>-3.79</v>
      </c>
      <c r="P198">
        <v>250</v>
      </c>
      <c r="Q198">
        <v>99.6</v>
      </c>
      <c r="R198">
        <v>270</v>
      </c>
      <c r="S198">
        <v>103.4</v>
      </c>
      <c r="T198">
        <v>227</v>
      </c>
      <c r="U198">
        <v>-5.32</v>
      </c>
      <c r="V198">
        <v>282</v>
      </c>
    </row>
    <row r="199" spans="1:22" x14ac:dyDescent="0.25">
      <c r="A199">
        <f>COUNTIF('Value Matchup'!$D$356:$D$423,C199)</f>
        <v>0</v>
      </c>
      <c r="B199">
        <v>286</v>
      </c>
      <c r="C199" t="s">
        <v>293</v>
      </c>
      <c r="D199" t="s">
        <v>108</v>
      </c>
      <c r="E199" s="79" t="s">
        <v>606</v>
      </c>
      <c r="F199">
        <v>-9.6199999999999992</v>
      </c>
      <c r="G199">
        <v>97.8</v>
      </c>
      <c r="H199">
        <v>266</v>
      </c>
      <c r="I199">
        <v>107.4</v>
      </c>
      <c r="J199">
        <v>292</v>
      </c>
      <c r="K199">
        <v>72.7</v>
      </c>
      <c r="L199">
        <v>24</v>
      </c>
      <c r="M199">
        <v>-9.2999999999999999E-2</v>
      </c>
      <c r="N199">
        <v>335</v>
      </c>
      <c r="O199">
        <v>-8.8000000000000007</v>
      </c>
      <c r="P199">
        <v>338</v>
      </c>
      <c r="Q199">
        <v>98.2</v>
      </c>
      <c r="R199">
        <v>311</v>
      </c>
      <c r="S199">
        <v>107</v>
      </c>
      <c r="T199">
        <v>344</v>
      </c>
      <c r="U199">
        <v>1.81</v>
      </c>
      <c r="V199">
        <v>184</v>
      </c>
    </row>
    <row r="200" spans="1:22" x14ac:dyDescent="0.25">
      <c r="A200">
        <f>COUNTIF('Value Matchup'!$D$356:$D$423,C200)</f>
        <v>0</v>
      </c>
      <c r="B200">
        <v>249</v>
      </c>
      <c r="C200" t="s">
        <v>294</v>
      </c>
      <c r="D200" t="s">
        <v>160</v>
      </c>
      <c r="E200" s="79" t="s">
        <v>666</v>
      </c>
      <c r="F200">
        <v>-6.08</v>
      </c>
      <c r="G200">
        <v>100.5</v>
      </c>
      <c r="H200">
        <v>225</v>
      </c>
      <c r="I200">
        <v>106.6</v>
      </c>
      <c r="J200">
        <v>277</v>
      </c>
      <c r="K200">
        <v>64.8</v>
      </c>
      <c r="L200">
        <v>331</v>
      </c>
      <c r="M200">
        <v>-4.1000000000000002E-2</v>
      </c>
      <c r="N200">
        <v>267</v>
      </c>
      <c r="O200">
        <v>-5.94</v>
      </c>
      <c r="P200">
        <v>301</v>
      </c>
      <c r="Q200">
        <v>96.3</v>
      </c>
      <c r="R200">
        <v>334</v>
      </c>
      <c r="S200">
        <v>102.3</v>
      </c>
      <c r="T200">
        <v>181</v>
      </c>
      <c r="U200">
        <v>9.6300000000000008</v>
      </c>
      <c r="V200">
        <v>62</v>
      </c>
    </row>
    <row r="201" spans="1:22" x14ac:dyDescent="0.25">
      <c r="A201">
        <f>COUNTIF('Value Matchup'!$D$356:$D$423,C201)</f>
        <v>0</v>
      </c>
      <c r="B201">
        <v>202</v>
      </c>
      <c r="C201" t="s">
        <v>295</v>
      </c>
      <c r="D201" t="s">
        <v>108</v>
      </c>
      <c r="E201" s="79" t="s">
        <v>578</v>
      </c>
      <c r="F201">
        <v>-2.4700000000000002</v>
      </c>
      <c r="G201">
        <v>100.7</v>
      </c>
      <c r="H201">
        <v>217</v>
      </c>
      <c r="I201">
        <v>103.2</v>
      </c>
      <c r="J201">
        <v>208</v>
      </c>
      <c r="K201">
        <v>71.900000000000006</v>
      </c>
      <c r="L201">
        <v>44</v>
      </c>
      <c r="M201">
        <v>0.121</v>
      </c>
      <c r="N201">
        <v>9</v>
      </c>
      <c r="O201">
        <v>-7.92</v>
      </c>
      <c r="P201">
        <v>328</v>
      </c>
      <c r="Q201">
        <v>98.1</v>
      </c>
      <c r="R201">
        <v>312</v>
      </c>
      <c r="S201">
        <v>106</v>
      </c>
      <c r="T201">
        <v>333</v>
      </c>
      <c r="U201">
        <v>6.66</v>
      </c>
      <c r="V201">
        <v>99</v>
      </c>
    </row>
    <row r="202" spans="1:22" x14ac:dyDescent="0.25">
      <c r="A202">
        <f>COUNTIF('Value Matchup'!$D$356:$D$423,C202)</f>
        <v>0</v>
      </c>
      <c r="B202">
        <v>295</v>
      </c>
      <c r="C202" t="s">
        <v>296</v>
      </c>
      <c r="D202" t="s">
        <v>118</v>
      </c>
      <c r="E202" s="79" t="s">
        <v>667</v>
      </c>
      <c r="F202">
        <v>-10.32</v>
      </c>
      <c r="G202">
        <v>94.9</v>
      </c>
      <c r="H202">
        <v>301</v>
      </c>
      <c r="I202">
        <v>105.2</v>
      </c>
      <c r="J202">
        <v>258</v>
      </c>
      <c r="K202">
        <v>68.599999999999994</v>
      </c>
      <c r="L202">
        <v>171</v>
      </c>
      <c r="M202">
        <v>2.4E-2</v>
      </c>
      <c r="N202">
        <v>120</v>
      </c>
      <c r="O202">
        <v>-4.41</v>
      </c>
      <c r="P202">
        <v>265</v>
      </c>
      <c r="Q202">
        <v>98.7</v>
      </c>
      <c r="R202">
        <v>296</v>
      </c>
      <c r="S202">
        <v>103.1</v>
      </c>
      <c r="T202">
        <v>216</v>
      </c>
      <c r="U202">
        <v>-0.98</v>
      </c>
      <c r="V202">
        <v>227</v>
      </c>
    </row>
    <row r="203" spans="1:22" x14ac:dyDescent="0.25">
      <c r="A203">
        <f>COUNTIF('Value Matchup'!$D$356:$D$423,C203)</f>
        <v>1</v>
      </c>
      <c r="B203">
        <v>200</v>
      </c>
      <c r="C203" t="s">
        <v>297</v>
      </c>
      <c r="D203" t="s">
        <v>135</v>
      </c>
      <c r="E203" s="79" t="s">
        <v>536</v>
      </c>
      <c r="F203">
        <v>-2.34</v>
      </c>
      <c r="G203">
        <v>101.4</v>
      </c>
      <c r="H203">
        <v>204</v>
      </c>
      <c r="I203">
        <v>103.7</v>
      </c>
      <c r="J203">
        <v>219</v>
      </c>
      <c r="K203">
        <v>67.7</v>
      </c>
      <c r="L203">
        <v>220</v>
      </c>
      <c r="M203">
        <v>3.1E-2</v>
      </c>
      <c r="N203">
        <v>106</v>
      </c>
      <c r="O203">
        <v>-8.34</v>
      </c>
      <c r="P203">
        <v>334</v>
      </c>
      <c r="Q203">
        <v>97</v>
      </c>
      <c r="R203">
        <v>326</v>
      </c>
      <c r="S203">
        <v>105.3</v>
      </c>
      <c r="T203">
        <v>312</v>
      </c>
      <c r="U203">
        <v>-0.77</v>
      </c>
      <c r="V203">
        <v>224</v>
      </c>
    </row>
    <row r="204" spans="1:22" x14ac:dyDescent="0.25">
      <c r="A204">
        <f>COUNTIF('Value Matchup'!$D$356:$D$423,C204)</f>
        <v>0</v>
      </c>
      <c r="B204">
        <v>283</v>
      </c>
      <c r="C204" t="s">
        <v>490</v>
      </c>
      <c r="D204" t="s">
        <v>206</v>
      </c>
      <c r="E204" s="79" t="s">
        <v>547</v>
      </c>
      <c r="F204">
        <v>-9.44</v>
      </c>
      <c r="G204">
        <v>95</v>
      </c>
      <c r="H204">
        <v>300</v>
      </c>
      <c r="I204">
        <v>104.4</v>
      </c>
      <c r="J204">
        <v>237</v>
      </c>
      <c r="K204">
        <v>70.900000000000006</v>
      </c>
      <c r="L204">
        <v>71</v>
      </c>
      <c r="M204">
        <v>5.0999999999999997E-2</v>
      </c>
      <c r="N204">
        <v>67</v>
      </c>
      <c r="O204">
        <v>-5.58</v>
      </c>
      <c r="P204">
        <v>294</v>
      </c>
      <c r="Q204">
        <v>100.1</v>
      </c>
      <c r="R204">
        <v>251</v>
      </c>
      <c r="S204">
        <v>105.7</v>
      </c>
      <c r="T204">
        <v>327</v>
      </c>
      <c r="U204">
        <v>2.88</v>
      </c>
      <c r="V204">
        <v>160</v>
      </c>
    </row>
    <row r="205" spans="1:22" x14ac:dyDescent="0.25">
      <c r="A205">
        <f>COUNTIF('Value Matchup'!$D$356:$D$423,C205)</f>
        <v>1</v>
      </c>
      <c r="B205">
        <v>27</v>
      </c>
      <c r="C205" t="s">
        <v>298</v>
      </c>
      <c r="D205" t="s">
        <v>139</v>
      </c>
      <c r="E205" s="79" t="s">
        <v>502</v>
      </c>
      <c r="F205">
        <v>21.48</v>
      </c>
      <c r="G205">
        <v>110.9</v>
      </c>
      <c r="H205">
        <v>52</v>
      </c>
      <c r="I205">
        <v>89.4</v>
      </c>
      <c r="J205">
        <v>14</v>
      </c>
      <c r="K205">
        <v>71.8</v>
      </c>
      <c r="L205">
        <v>45</v>
      </c>
      <c r="M205">
        <v>-1.7000000000000001E-2</v>
      </c>
      <c r="N205">
        <v>217</v>
      </c>
      <c r="O205">
        <v>14.17</v>
      </c>
      <c r="P205">
        <v>27</v>
      </c>
      <c r="Q205">
        <v>110.8</v>
      </c>
      <c r="R205">
        <v>14</v>
      </c>
      <c r="S205">
        <v>96.6</v>
      </c>
      <c r="T205">
        <v>54</v>
      </c>
      <c r="U205">
        <v>7.64</v>
      </c>
      <c r="V205">
        <v>86</v>
      </c>
    </row>
    <row r="206" spans="1:22" x14ac:dyDescent="0.25">
      <c r="A206">
        <f>COUNTIF('Value Matchup'!$D$356:$D$423,C206)</f>
        <v>0</v>
      </c>
      <c r="B206">
        <v>285</v>
      </c>
      <c r="C206" t="s">
        <v>299</v>
      </c>
      <c r="D206" t="s">
        <v>135</v>
      </c>
      <c r="E206" s="79" t="s">
        <v>640</v>
      </c>
      <c r="F206">
        <v>-9.5</v>
      </c>
      <c r="G206">
        <v>96.1</v>
      </c>
      <c r="H206">
        <v>288</v>
      </c>
      <c r="I206">
        <v>105.6</v>
      </c>
      <c r="J206">
        <v>266</v>
      </c>
      <c r="K206">
        <v>70.900000000000006</v>
      </c>
      <c r="L206">
        <v>73</v>
      </c>
      <c r="M206">
        <v>7.8E-2</v>
      </c>
      <c r="N206">
        <v>31</v>
      </c>
      <c r="O206">
        <v>-5.3</v>
      </c>
      <c r="P206">
        <v>285</v>
      </c>
      <c r="Q206">
        <v>97.6</v>
      </c>
      <c r="R206">
        <v>319</v>
      </c>
      <c r="S206">
        <v>102.9</v>
      </c>
      <c r="T206">
        <v>206</v>
      </c>
      <c r="U206">
        <v>2.41</v>
      </c>
      <c r="V206">
        <v>172</v>
      </c>
    </row>
    <row r="207" spans="1:22" x14ac:dyDescent="0.25">
      <c r="A207">
        <f>COUNTIF('Value Matchup'!$D$356:$D$423,C207)</f>
        <v>0</v>
      </c>
      <c r="B207">
        <v>327</v>
      </c>
      <c r="C207" t="s">
        <v>300</v>
      </c>
      <c r="D207" t="s">
        <v>135</v>
      </c>
      <c r="E207" s="79" t="s">
        <v>668</v>
      </c>
      <c r="F207">
        <v>-14.44</v>
      </c>
      <c r="G207">
        <v>94</v>
      </c>
      <c r="H207">
        <v>309</v>
      </c>
      <c r="I207">
        <v>108.4</v>
      </c>
      <c r="J207">
        <v>310</v>
      </c>
      <c r="K207">
        <v>66.3</v>
      </c>
      <c r="L207">
        <v>283</v>
      </c>
      <c r="M207">
        <v>3.3000000000000002E-2</v>
      </c>
      <c r="N207">
        <v>100</v>
      </c>
      <c r="O207">
        <v>-6.39</v>
      </c>
      <c r="P207">
        <v>307</v>
      </c>
      <c r="Q207">
        <v>96.3</v>
      </c>
      <c r="R207">
        <v>335</v>
      </c>
      <c r="S207">
        <v>102.7</v>
      </c>
      <c r="T207">
        <v>196</v>
      </c>
      <c r="U207">
        <v>13.38</v>
      </c>
      <c r="V207">
        <v>29</v>
      </c>
    </row>
    <row r="208" spans="1:22" x14ac:dyDescent="0.25">
      <c r="A208">
        <f>COUNTIF('Value Matchup'!$D$356:$D$423,C208)</f>
        <v>0</v>
      </c>
      <c r="B208">
        <v>293</v>
      </c>
      <c r="C208" t="s">
        <v>302</v>
      </c>
      <c r="D208" t="s">
        <v>185</v>
      </c>
      <c r="E208" s="79" t="s">
        <v>632</v>
      </c>
      <c r="F208">
        <v>-10.09</v>
      </c>
      <c r="G208">
        <v>97.6</v>
      </c>
      <c r="H208">
        <v>269</v>
      </c>
      <c r="I208">
        <v>107.7</v>
      </c>
      <c r="J208">
        <v>297</v>
      </c>
      <c r="K208">
        <v>67.400000000000006</v>
      </c>
      <c r="L208">
        <v>231</v>
      </c>
      <c r="M208">
        <v>7.6999999999999999E-2</v>
      </c>
      <c r="N208">
        <v>33</v>
      </c>
      <c r="O208">
        <v>-0.61</v>
      </c>
      <c r="P208">
        <v>186</v>
      </c>
      <c r="Q208">
        <v>103.6</v>
      </c>
      <c r="R208">
        <v>155</v>
      </c>
      <c r="S208">
        <v>104.2</v>
      </c>
      <c r="T208">
        <v>259</v>
      </c>
      <c r="U208">
        <v>5.24</v>
      </c>
      <c r="V208">
        <v>122</v>
      </c>
    </row>
    <row r="209" spans="1:22" x14ac:dyDescent="0.25">
      <c r="A209">
        <f>COUNTIF('Value Matchup'!$D$356:$D$423,C209)</f>
        <v>0</v>
      </c>
      <c r="B209">
        <v>144</v>
      </c>
      <c r="C209" t="s">
        <v>303</v>
      </c>
      <c r="D209" t="s">
        <v>185</v>
      </c>
      <c r="E209" s="79" t="s">
        <v>562</v>
      </c>
      <c r="F209">
        <v>3.13</v>
      </c>
      <c r="G209">
        <v>103.7</v>
      </c>
      <c r="H209">
        <v>162</v>
      </c>
      <c r="I209">
        <v>100.5</v>
      </c>
      <c r="J209">
        <v>155</v>
      </c>
      <c r="K209">
        <v>64.900000000000006</v>
      </c>
      <c r="L209">
        <v>329</v>
      </c>
      <c r="M209">
        <v>-3.3000000000000002E-2</v>
      </c>
      <c r="N209">
        <v>251</v>
      </c>
      <c r="O209">
        <v>-0.37</v>
      </c>
      <c r="P209">
        <v>182</v>
      </c>
      <c r="Q209">
        <v>103.5</v>
      </c>
      <c r="R209">
        <v>157</v>
      </c>
      <c r="S209">
        <v>103.9</v>
      </c>
      <c r="T209">
        <v>245</v>
      </c>
      <c r="U209">
        <v>10.28</v>
      </c>
      <c r="V209">
        <v>52</v>
      </c>
    </row>
    <row r="210" spans="1:22" x14ac:dyDescent="0.25">
      <c r="A210">
        <f>COUNTIF('Value Matchup'!$D$356:$D$423,C210)</f>
        <v>0</v>
      </c>
      <c r="B210">
        <v>306</v>
      </c>
      <c r="C210" t="s">
        <v>304</v>
      </c>
      <c r="D210" t="s">
        <v>206</v>
      </c>
      <c r="E210" s="79" t="s">
        <v>669</v>
      </c>
      <c r="F210">
        <v>-11.2</v>
      </c>
      <c r="G210">
        <v>102.2</v>
      </c>
      <c r="H210">
        <v>183</v>
      </c>
      <c r="I210">
        <v>113.4</v>
      </c>
      <c r="J210">
        <v>351</v>
      </c>
      <c r="K210">
        <v>66.8</v>
      </c>
      <c r="L210">
        <v>262</v>
      </c>
      <c r="M210">
        <v>3.5999999999999997E-2</v>
      </c>
      <c r="N210">
        <v>97</v>
      </c>
      <c r="O210">
        <v>-2.5499999999999998</v>
      </c>
      <c r="P210">
        <v>225</v>
      </c>
      <c r="Q210">
        <v>100.5</v>
      </c>
      <c r="R210">
        <v>240</v>
      </c>
      <c r="S210">
        <v>103</v>
      </c>
      <c r="T210">
        <v>212</v>
      </c>
      <c r="U210">
        <v>4.01</v>
      </c>
      <c r="V210">
        <v>144</v>
      </c>
    </row>
    <row r="211" spans="1:22" x14ac:dyDescent="0.25">
      <c r="A211">
        <f>COUNTIF('Value Matchup'!$D$356:$D$423,C211)</f>
        <v>1</v>
      </c>
      <c r="B211">
        <v>72</v>
      </c>
      <c r="C211" t="s">
        <v>305</v>
      </c>
      <c r="D211" t="s">
        <v>166</v>
      </c>
      <c r="E211" s="79" t="s">
        <v>518</v>
      </c>
      <c r="F211">
        <v>13.08</v>
      </c>
      <c r="G211">
        <v>106.1</v>
      </c>
      <c r="H211">
        <v>118</v>
      </c>
      <c r="I211">
        <v>93</v>
      </c>
      <c r="J211">
        <v>42</v>
      </c>
      <c r="K211">
        <v>63.1</v>
      </c>
      <c r="L211">
        <v>350</v>
      </c>
      <c r="M211">
        <v>-4.2000000000000003E-2</v>
      </c>
      <c r="N211">
        <v>271</v>
      </c>
      <c r="O211">
        <v>4.29</v>
      </c>
      <c r="P211">
        <v>132</v>
      </c>
      <c r="Q211">
        <v>103.5</v>
      </c>
      <c r="R211">
        <v>158</v>
      </c>
      <c r="S211">
        <v>99.2</v>
      </c>
      <c r="T211">
        <v>115</v>
      </c>
      <c r="U211">
        <v>5.19</v>
      </c>
      <c r="V211">
        <v>124</v>
      </c>
    </row>
    <row r="212" spans="1:22" ht="16.5" customHeight="1" x14ac:dyDescent="0.25">
      <c r="A212">
        <f>COUNTIF('Value Matchup'!$D$356:$D$423,C212)</f>
        <v>0</v>
      </c>
      <c r="B212">
        <v>163</v>
      </c>
      <c r="C212" t="s">
        <v>306</v>
      </c>
      <c r="D212" t="s">
        <v>175</v>
      </c>
      <c r="E212" s="79" t="s">
        <v>629</v>
      </c>
      <c r="F212">
        <v>1.8</v>
      </c>
      <c r="G212">
        <v>99.4</v>
      </c>
      <c r="H212">
        <v>241</v>
      </c>
      <c r="I212">
        <v>97.6</v>
      </c>
      <c r="J212">
        <v>98</v>
      </c>
      <c r="K212">
        <v>67.3</v>
      </c>
      <c r="L212">
        <v>234</v>
      </c>
      <c r="M212">
        <v>5.6000000000000001E-2</v>
      </c>
      <c r="N212">
        <v>58</v>
      </c>
      <c r="O212">
        <v>3.06</v>
      </c>
      <c r="P212">
        <v>147</v>
      </c>
      <c r="Q212">
        <v>105.1</v>
      </c>
      <c r="R212">
        <v>112</v>
      </c>
      <c r="S212">
        <v>102</v>
      </c>
      <c r="T212">
        <v>175</v>
      </c>
      <c r="U212">
        <v>14.98</v>
      </c>
      <c r="V212">
        <v>20</v>
      </c>
    </row>
    <row r="213" spans="1:22" ht="15.75" customHeight="1" x14ac:dyDescent="0.25">
      <c r="A213">
        <f>COUNTIF('Value Matchup'!$D$356:$D$423,C213)</f>
        <v>0</v>
      </c>
      <c r="B213">
        <v>326</v>
      </c>
      <c r="C213" t="s">
        <v>307</v>
      </c>
      <c r="D213" t="s">
        <v>197</v>
      </c>
      <c r="E213" s="79" t="s">
        <v>665</v>
      </c>
      <c r="F213">
        <v>-14.11</v>
      </c>
      <c r="G213">
        <v>98.4</v>
      </c>
      <c r="H213">
        <v>251</v>
      </c>
      <c r="I213">
        <v>112.6</v>
      </c>
      <c r="J213">
        <v>348</v>
      </c>
      <c r="K213">
        <v>64.2</v>
      </c>
      <c r="L213">
        <v>341</v>
      </c>
      <c r="M213">
        <v>3.7999999999999999E-2</v>
      </c>
      <c r="N213">
        <v>94</v>
      </c>
      <c r="O213">
        <v>0.02</v>
      </c>
      <c r="P213">
        <v>176</v>
      </c>
      <c r="Q213">
        <v>102.4</v>
      </c>
      <c r="R213">
        <v>185</v>
      </c>
      <c r="S213">
        <v>102.3</v>
      </c>
      <c r="T213">
        <v>185</v>
      </c>
      <c r="U213">
        <v>11.42</v>
      </c>
      <c r="V213">
        <v>45</v>
      </c>
    </row>
    <row r="214" spans="1:22" x14ac:dyDescent="0.25">
      <c r="A214">
        <f>COUNTIF('Value Matchup'!$D$356:$D$423,C214)</f>
        <v>0</v>
      </c>
      <c r="B214">
        <v>247</v>
      </c>
      <c r="C214" t="s">
        <v>308</v>
      </c>
      <c r="D214" t="s">
        <v>197</v>
      </c>
      <c r="E214" s="79" t="s">
        <v>670</v>
      </c>
      <c r="F214">
        <v>-5.94</v>
      </c>
      <c r="G214">
        <v>99</v>
      </c>
      <c r="H214">
        <v>245</v>
      </c>
      <c r="I214">
        <v>104.9</v>
      </c>
      <c r="J214">
        <v>249</v>
      </c>
      <c r="K214">
        <v>68.2</v>
      </c>
      <c r="L214">
        <v>192</v>
      </c>
      <c r="M214">
        <v>-4.0000000000000001E-3</v>
      </c>
      <c r="N214">
        <v>191</v>
      </c>
      <c r="O214">
        <v>-3.79</v>
      </c>
      <c r="P214">
        <v>249</v>
      </c>
      <c r="Q214">
        <v>99.8</v>
      </c>
      <c r="R214">
        <v>263</v>
      </c>
      <c r="S214">
        <v>103.6</v>
      </c>
      <c r="T214">
        <v>234</v>
      </c>
      <c r="U214">
        <v>13.48</v>
      </c>
      <c r="V214">
        <v>28</v>
      </c>
    </row>
    <row r="215" spans="1:22" x14ac:dyDescent="0.25">
      <c r="A215">
        <f>COUNTIF('Value Matchup'!$D$356:$D$423,C215)</f>
        <v>0</v>
      </c>
      <c r="B215">
        <v>335</v>
      </c>
      <c r="C215" t="s">
        <v>309</v>
      </c>
      <c r="D215" t="s">
        <v>112</v>
      </c>
      <c r="E215" s="79" t="s">
        <v>620</v>
      </c>
      <c r="F215">
        <v>-15.63</v>
      </c>
      <c r="G215">
        <v>94.3</v>
      </c>
      <c r="H215">
        <v>306</v>
      </c>
      <c r="I215">
        <v>109.9</v>
      </c>
      <c r="J215">
        <v>323</v>
      </c>
      <c r="K215">
        <v>65.7</v>
      </c>
      <c r="L215">
        <v>310</v>
      </c>
      <c r="M215">
        <v>-3.0000000000000001E-3</v>
      </c>
      <c r="N215">
        <v>189</v>
      </c>
      <c r="O215">
        <v>3.5</v>
      </c>
      <c r="P215">
        <v>141</v>
      </c>
      <c r="Q215">
        <v>105.5</v>
      </c>
      <c r="R215">
        <v>105</v>
      </c>
      <c r="S215">
        <v>102</v>
      </c>
      <c r="T215">
        <v>174</v>
      </c>
      <c r="U215">
        <v>-5.08</v>
      </c>
      <c r="V215">
        <v>280</v>
      </c>
    </row>
    <row r="216" spans="1:22" x14ac:dyDescent="0.25">
      <c r="A216">
        <f>COUNTIF('Value Matchup'!$D$356:$D$423,C216)</f>
        <v>0</v>
      </c>
      <c r="B216">
        <v>162</v>
      </c>
      <c r="C216" t="s">
        <v>310</v>
      </c>
      <c r="D216" t="s">
        <v>143</v>
      </c>
      <c r="E216" s="79" t="s">
        <v>606</v>
      </c>
      <c r="F216">
        <v>1.88</v>
      </c>
      <c r="G216">
        <v>104</v>
      </c>
      <c r="H216">
        <v>152</v>
      </c>
      <c r="I216">
        <v>102.1</v>
      </c>
      <c r="J216">
        <v>188</v>
      </c>
      <c r="K216">
        <v>69.099999999999994</v>
      </c>
      <c r="L216">
        <v>142</v>
      </c>
      <c r="M216">
        <v>-2.1999999999999999E-2</v>
      </c>
      <c r="N216">
        <v>229</v>
      </c>
      <c r="O216">
        <v>6.82</v>
      </c>
      <c r="P216">
        <v>103</v>
      </c>
      <c r="Q216">
        <v>104.9</v>
      </c>
      <c r="R216">
        <v>120</v>
      </c>
      <c r="S216">
        <v>98.1</v>
      </c>
      <c r="T216">
        <v>98</v>
      </c>
      <c r="U216">
        <v>14.58</v>
      </c>
      <c r="V216">
        <v>22</v>
      </c>
    </row>
    <row r="217" spans="1:22" x14ac:dyDescent="0.25">
      <c r="A217">
        <f>COUNTIF('Value Matchup'!$D$356:$D$423,C217)</f>
        <v>0</v>
      </c>
      <c r="B217">
        <v>195</v>
      </c>
      <c r="C217" t="s">
        <v>311</v>
      </c>
      <c r="D217" t="s">
        <v>172</v>
      </c>
      <c r="E217" s="79" t="s">
        <v>528</v>
      </c>
      <c r="F217">
        <v>-1.78</v>
      </c>
      <c r="G217">
        <v>104.9</v>
      </c>
      <c r="H217">
        <v>128</v>
      </c>
      <c r="I217">
        <v>106.7</v>
      </c>
      <c r="J217">
        <v>281</v>
      </c>
      <c r="K217">
        <v>65</v>
      </c>
      <c r="L217">
        <v>324</v>
      </c>
      <c r="M217">
        <v>5.6000000000000001E-2</v>
      </c>
      <c r="N217">
        <v>59</v>
      </c>
      <c r="O217">
        <v>-2.2999999999999998</v>
      </c>
      <c r="P217">
        <v>219</v>
      </c>
      <c r="Q217">
        <v>102.3</v>
      </c>
      <c r="R217">
        <v>187</v>
      </c>
      <c r="S217">
        <v>104.6</v>
      </c>
      <c r="T217">
        <v>284</v>
      </c>
      <c r="U217">
        <v>4.2</v>
      </c>
      <c r="V217">
        <v>141</v>
      </c>
    </row>
    <row r="218" spans="1:22" x14ac:dyDescent="0.25">
      <c r="A218">
        <f>COUNTIF('Value Matchup'!$D$356:$D$423,C218)</f>
        <v>0</v>
      </c>
      <c r="B218">
        <v>70</v>
      </c>
      <c r="C218" t="s">
        <v>97</v>
      </c>
      <c r="D218" t="s">
        <v>231</v>
      </c>
      <c r="E218" s="79" t="s">
        <v>631</v>
      </c>
      <c r="F218">
        <v>13.44</v>
      </c>
      <c r="G218">
        <v>105.5</v>
      </c>
      <c r="H218">
        <v>124</v>
      </c>
      <c r="I218">
        <v>92</v>
      </c>
      <c r="J218">
        <v>28</v>
      </c>
      <c r="K218">
        <v>68.7</v>
      </c>
      <c r="L218">
        <v>163</v>
      </c>
      <c r="M218">
        <v>-9.0999999999999998E-2</v>
      </c>
      <c r="N218">
        <v>332</v>
      </c>
      <c r="O218">
        <v>19.850000000000001</v>
      </c>
      <c r="P218">
        <v>2</v>
      </c>
      <c r="Q218">
        <v>113</v>
      </c>
      <c r="R218">
        <v>1</v>
      </c>
      <c r="S218">
        <v>93.2</v>
      </c>
      <c r="T218">
        <v>5</v>
      </c>
      <c r="U218">
        <v>-18.829999999999998</v>
      </c>
      <c r="V218">
        <v>328</v>
      </c>
    </row>
    <row r="219" spans="1:22" x14ac:dyDescent="0.25">
      <c r="A219">
        <f>COUNTIF('Value Matchup'!$D$356:$D$423,C219)</f>
        <v>0</v>
      </c>
      <c r="B219">
        <v>321</v>
      </c>
      <c r="C219" t="s">
        <v>312</v>
      </c>
      <c r="D219" t="s">
        <v>108</v>
      </c>
      <c r="E219" s="79" t="s">
        <v>671</v>
      </c>
      <c r="F219">
        <v>-13.22</v>
      </c>
      <c r="G219">
        <v>97.1</v>
      </c>
      <c r="H219">
        <v>276</v>
      </c>
      <c r="I219">
        <v>110.4</v>
      </c>
      <c r="J219">
        <v>331</v>
      </c>
      <c r="K219">
        <v>71.099999999999994</v>
      </c>
      <c r="L219">
        <v>60</v>
      </c>
      <c r="M219">
        <v>7.6999999999999999E-2</v>
      </c>
      <c r="N219">
        <v>34</v>
      </c>
      <c r="O219">
        <v>-4.3</v>
      </c>
      <c r="P219">
        <v>259</v>
      </c>
      <c r="Q219">
        <v>100.4</v>
      </c>
      <c r="R219">
        <v>243</v>
      </c>
      <c r="S219">
        <v>104.7</v>
      </c>
      <c r="T219">
        <v>291</v>
      </c>
      <c r="U219">
        <v>14.07</v>
      </c>
      <c r="V219">
        <v>25</v>
      </c>
    </row>
    <row r="220" spans="1:22" x14ac:dyDescent="0.25">
      <c r="A220">
        <f>COUNTIF('Value Matchup'!$D$356:$D$423,C220)</f>
        <v>0</v>
      </c>
      <c r="B220">
        <v>81</v>
      </c>
      <c r="C220" t="s">
        <v>35</v>
      </c>
      <c r="D220" t="s">
        <v>139</v>
      </c>
      <c r="E220" s="79" t="s">
        <v>637</v>
      </c>
      <c r="F220">
        <v>12.1</v>
      </c>
      <c r="G220">
        <v>114.6</v>
      </c>
      <c r="H220">
        <v>20</v>
      </c>
      <c r="I220">
        <v>102.5</v>
      </c>
      <c r="J220">
        <v>197</v>
      </c>
      <c r="K220">
        <v>67.5</v>
      </c>
      <c r="L220">
        <v>227</v>
      </c>
      <c r="M220">
        <v>-2.9000000000000001E-2</v>
      </c>
      <c r="N220">
        <v>243</v>
      </c>
      <c r="O220">
        <v>14.52</v>
      </c>
      <c r="P220">
        <v>24</v>
      </c>
      <c r="Q220">
        <v>110.7</v>
      </c>
      <c r="R220">
        <v>15</v>
      </c>
      <c r="S220">
        <v>96.2</v>
      </c>
      <c r="T220">
        <v>44</v>
      </c>
      <c r="U220">
        <v>14.31</v>
      </c>
      <c r="V220">
        <v>24</v>
      </c>
    </row>
    <row r="221" spans="1:22" x14ac:dyDescent="0.25">
      <c r="A221">
        <f>COUNTIF('Value Matchup'!$D$356:$D$423,C221)</f>
        <v>0</v>
      </c>
      <c r="B221">
        <v>207</v>
      </c>
      <c r="C221" t="s">
        <v>313</v>
      </c>
      <c r="D221" t="s">
        <v>172</v>
      </c>
      <c r="E221" s="79" t="s">
        <v>672</v>
      </c>
      <c r="F221">
        <v>-2.84</v>
      </c>
      <c r="G221">
        <v>105</v>
      </c>
      <c r="H221">
        <v>127</v>
      </c>
      <c r="I221">
        <v>107.8</v>
      </c>
      <c r="J221">
        <v>299</v>
      </c>
      <c r="K221">
        <v>70</v>
      </c>
      <c r="L221">
        <v>100</v>
      </c>
      <c r="M221">
        <v>4.5999999999999999E-2</v>
      </c>
      <c r="N221">
        <v>82</v>
      </c>
      <c r="O221">
        <v>2.84</v>
      </c>
      <c r="P221">
        <v>150</v>
      </c>
      <c r="Q221">
        <v>105.6</v>
      </c>
      <c r="R221">
        <v>103</v>
      </c>
      <c r="S221">
        <v>102.8</v>
      </c>
      <c r="T221">
        <v>199</v>
      </c>
      <c r="U221">
        <v>20.100000000000001</v>
      </c>
      <c r="V221">
        <v>7</v>
      </c>
    </row>
    <row r="222" spans="1:22" x14ac:dyDescent="0.25">
      <c r="A222">
        <f>COUNTIF('Value Matchup'!$D$356:$D$423,C222)</f>
        <v>1</v>
      </c>
      <c r="B222">
        <v>78</v>
      </c>
      <c r="C222" t="s">
        <v>314</v>
      </c>
      <c r="D222" t="s">
        <v>112</v>
      </c>
      <c r="E222" s="79" t="s">
        <v>536</v>
      </c>
      <c r="F222">
        <v>12.49</v>
      </c>
      <c r="G222">
        <v>113.7</v>
      </c>
      <c r="H222">
        <v>29</v>
      </c>
      <c r="I222">
        <v>101.3</v>
      </c>
      <c r="J222">
        <v>174</v>
      </c>
      <c r="K222">
        <v>69.3</v>
      </c>
      <c r="L222">
        <v>131</v>
      </c>
      <c r="M222">
        <v>2.7E-2</v>
      </c>
      <c r="N222">
        <v>111</v>
      </c>
      <c r="O222">
        <v>4.18</v>
      </c>
      <c r="P222">
        <v>133</v>
      </c>
      <c r="Q222">
        <v>105.4</v>
      </c>
      <c r="R222">
        <v>108</v>
      </c>
      <c r="S222">
        <v>101.2</v>
      </c>
      <c r="T222">
        <v>146</v>
      </c>
      <c r="U222">
        <v>1.44</v>
      </c>
      <c r="V222">
        <v>191</v>
      </c>
    </row>
    <row r="223" spans="1:22" x14ac:dyDescent="0.25">
      <c r="A223">
        <f>COUNTIF('Value Matchup'!$D$356:$D$423,C223)</f>
        <v>1</v>
      </c>
      <c r="B223">
        <v>7</v>
      </c>
      <c r="C223" t="s">
        <v>315</v>
      </c>
      <c r="D223" t="s">
        <v>231</v>
      </c>
      <c r="E223" s="79" t="s">
        <v>559</v>
      </c>
      <c r="F223">
        <v>26.77</v>
      </c>
      <c r="G223">
        <v>122.8</v>
      </c>
      <c r="H223">
        <v>4</v>
      </c>
      <c r="I223">
        <v>96</v>
      </c>
      <c r="J223">
        <v>76</v>
      </c>
      <c r="K223">
        <v>67.099999999999994</v>
      </c>
      <c r="L223">
        <v>245</v>
      </c>
      <c r="M223">
        <v>0.02</v>
      </c>
      <c r="N223">
        <v>129</v>
      </c>
      <c r="O223">
        <v>18.239999999999998</v>
      </c>
      <c r="P223">
        <v>6</v>
      </c>
      <c r="Q223">
        <v>111.4</v>
      </c>
      <c r="R223">
        <v>11</v>
      </c>
      <c r="S223">
        <v>93.2</v>
      </c>
      <c r="T223">
        <v>4</v>
      </c>
      <c r="U223">
        <v>2.82</v>
      </c>
      <c r="V223">
        <v>162</v>
      </c>
    </row>
    <row r="224" spans="1:22" x14ac:dyDescent="0.25">
      <c r="A224">
        <f>COUNTIF('Value Matchup'!$D$356:$D$423,C224)</f>
        <v>1</v>
      </c>
      <c r="B224">
        <v>38</v>
      </c>
      <c r="C224" t="s">
        <v>58</v>
      </c>
      <c r="D224" t="s">
        <v>133</v>
      </c>
      <c r="E224" s="79" t="s">
        <v>558</v>
      </c>
      <c r="F224">
        <v>18.03</v>
      </c>
      <c r="G224">
        <v>112.2</v>
      </c>
      <c r="H224">
        <v>35</v>
      </c>
      <c r="I224">
        <v>94.2</v>
      </c>
      <c r="J224">
        <v>53</v>
      </c>
      <c r="K224">
        <v>67.7</v>
      </c>
      <c r="L224">
        <v>221</v>
      </c>
      <c r="M224">
        <v>-3.7999999999999999E-2</v>
      </c>
      <c r="N224">
        <v>260</v>
      </c>
      <c r="O224">
        <v>12.41</v>
      </c>
      <c r="P224">
        <v>49</v>
      </c>
      <c r="Q224">
        <v>108.2</v>
      </c>
      <c r="R224">
        <v>55</v>
      </c>
      <c r="S224">
        <v>95.8</v>
      </c>
      <c r="T224">
        <v>38</v>
      </c>
      <c r="U224">
        <v>0.57999999999999996</v>
      </c>
      <c r="V224">
        <v>203</v>
      </c>
    </row>
    <row r="225" spans="1:22" x14ac:dyDescent="0.25">
      <c r="A225">
        <f>COUNTIF('Value Matchup'!$D$356:$D$423,C225)</f>
        <v>1</v>
      </c>
      <c r="B225">
        <v>30</v>
      </c>
      <c r="C225" t="s">
        <v>316</v>
      </c>
      <c r="D225" t="s">
        <v>133</v>
      </c>
      <c r="E225" s="79" t="s">
        <v>542</v>
      </c>
      <c r="F225">
        <v>20.149999999999999</v>
      </c>
      <c r="G225">
        <v>110.8</v>
      </c>
      <c r="H225">
        <v>53</v>
      </c>
      <c r="I225">
        <v>90.6</v>
      </c>
      <c r="J225">
        <v>22</v>
      </c>
      <c r="K225">
        <v>72</v>
      </c>
      <c r="L225">
        <v>43</v>
      </c>
      <c r="M225">
        <v>3.9E-2</v>
      </c>
      <c r="N225">
        <v>90</v>
      </c>
      <c r="O225">
        <v>14.58</v>
      </c>
      <c r="P225">
        <v>23</v>
      </c>
      <c r="Q225">
        <v>110.6</v>
      </c>
      <c r="R225">
        <v>16</v>
      </c>
      <c r="S225">
        <v>96</v>
      </c>
      <c r="T225">
        <v>42</v>
      </c>
      <c r="U225">
        <v>4.51</v>
      </c>
      <c r="V225">
        <v>134</v>
      </c>
    </row>
    <row r="226" spans="1:22" x14ac:dyDescent="0.25">
      <c r="A226">
        <f>COUNTIF('Value Matchup'!$D$356:$D$423,C226)</f>
        <v>0</v>
      </c>
      <c r="B226">
        <v>149</v>
      </c>
      <c r="C226" t="s">
        <v>317</v>
      </c>
      <c r="D226" t="s">
        <v>166</v>
      </c>
      <c r="E226" s="79" t="s">
        <v>515</v>
      </c>
      <c r="F226">
        <v>2.78</v>
      </c>
      <c r="G226">
        <v>101.8</v>
      </c>
      <c r="H226">
        <v>191</v>
      </c>
      <c r="I226">
        <v>99</v>
      </c>
      <c r="J226">
        <v>124</v>
      </c>
      <c r="K226">
        <v>67.7</v>
      </c>
      <c r="L226">
        <v>217</v>
      </c>
      <c r="M226">
        <v>0.14000000000000001</v>
      </c>
      <c r="N226">
        <v>5</v>
      </c>
      <c r="O226">
        <v>2.4300000000000002</v>
      </c>
      <c r="P226">
        <v>153</v>
      </c>
      <c r="Q226">
        <v>102.5</v>
      </c>
      <c r="R226">
        <v>180</v>
      </c>
      <c r="S226">
        <v>100.1</v>
      </c>
      <c r="T226">
        <v>132</v>
      </c>
      <c r="U226">
        <v>5.87</v>
      </c>
      <c r="V226">
        <v>109</v>
      </c>
    </row>
    <row r="227" spans="1:22" x14ac:dyDescent="0.25">
      <c r="A227">
        <f>COUNTIF('Value Matchup'!$D$356:$D$423,C227)</f>
        <v>1</v>
      </c>
      <c r="B227">
        <v>152</v>
      </c>
      <c r="C227" t="s">
        <v>318</v>
      </c>
      <c r="D227" t="s">
        <v>185</v>
      </c>
      <c r="E227" s="79" t="s">
        <v>577</v>
      </c>
      <c r="F227">
        <v>2.6</v>
      </c>
      <c r="G227">
        <v>109.4</v>
      </c>
      <c r="H227">
        <v>75</v>
      </c>
      <c r="I227">
        <v>106.8</v>
      </c>
      <c r="J227">
        <v>285</v>
      </c>
      <c r="K227">
        <v>71.8</v>
      </c>
      <c r="L227">
        <v>47</v>
      </c>
      <c r="M227">
        <v>1.2999999999999999E-2</v>
      </c>
      <c r="N227">
        <v>148</v>
      </c>
      <c r="O227">
        <v>-0.03</v>
      </c>
      <c r="P227">
        <v>177</v>
      </c>
      <c r="Q227">
        <v>102.9</v>
      </c>
      <c r="R227">
        <v>172</v>
      </c>
      <c r="S227">
        <v>102.9</v>
      </c>
      <c r="T227">
        <v>208</v>
      </c>
      <c r="U227">
        <v>21.3</v>
      </c>
      <c r="V227">
        <v>4</v>
      </c>
    </row>
    <row r="228" spans="1:22" x14ac:dyDescent="0.25">
      <c r="A228">
        <f>COUNTIF('Value Matchup'!$D$356:$D$423,C228)</f>
        <v>1</v>
      </c>
      <c r="B228">
        <v>36</v>
      </c>
      <c r="C228" t="s">
        <v>40</v>
      </c>
      <c r="D228" t="s">
        <v>124</v>
      </c>
      <c r="E228" s="79" t="s">
        <v>531</v>
      </c>
      <c r="F228">
        <v>19.079999999999998</v>
      </c>
      <c r="G228">
        <v>115.2</v>
      </c>
      <c r="H228">
        <v>16</v>
      </c>
      <c r="I228">
        <v>96.1</v>
      </c>
      <c r="J228">
        <v>78</v>
      </c>
      <c r="K228">
        <v>67.3</v>
      </c>
      <c r="L228">
        <v>242</v>
      </c>
      <c r="M228">
        <v>4.8000000000000001E-2</v>
      </c>
      <c r="N228">
        <v>76</v>
      </c>
      <c r="O228">
        <v>10.029999999999999</v>
      </c>
      <c r="P228">
        <v>74</v>
      </c>
      <c r="Q228">
        <v>107.7</v>
      </c>
      <c r="R228">
        <v>67</v>
      </c>
      <c r="S228">
        <v>97.7</v>
      </c>
      <c r="T228">
        <v>86</v>
      </c>
      <c r="U228">
        <v>2.71</v>
      </c>
      <c r="V228">
        <v>166</v>
      </c>
    </row>
    <row r="229" spans="1:22" x14ac:dyDescent="0.25">
      <c r="A229">
        <f>COUNTIF('Value Matchup'!$D$356:$D$423,C229)</f>
        <v>1</v>
      </c>
      <c r="B229">
        <v>84</v>
      </c>
      <c r="C229" t="s">
        <v>319</v>
      </c>
      <c r="D229" t="s">
        <v>124</v>
      </c>
      <c r="E229" s="79" t="s">
        <v>579</v>
      </c>
      <c r="F229">
        <v>11.57</v>
      </c>
      <c r="G229">
        <v>110.1</v>
      </c>
      <c r="H229">
        <v>65</v>
      </c>
      <c r="I229">
        <v>98.5</v>
      </c>
      <c r="J229">
        <v>116</v>
      </c>
      <c r="K229">
        <v>65.400000000000006</v>
      </c>
      <c r="L229">
        <v>315</v>
      </c>
      <c r="M229">
        <v>7.4999999999999997E-2</v>
      </c>
      <c r="N229">
        <v>38</v>
      </c>
      <c r="O229">
        <v>11.13</v>
      </c>
      <c r="P229">
        <v>62</v>
      </c>
      <c r="Q229">
        <v>108.6</v>
      </c>
      <c r="R229">
        <v>49</v>
      </c>
      <c r="S229">
        <v>97.5</v>
      </c>
      <c r="T229">
        <v>80</v>
      </c>
      <c r="U229">
        <v>-6.23</v>
      </c>
      <c r="V229">
        <v>292</v>
      </c>
    </row>
    <row r="230" spans="1:22" x14ac:dyDescent="0.25">
      <c r="A230">
        <f>COUNTIF('Value Matchup'!$D$356:$D$423,C230)</f>
        <v>0</v>
      </c>
      <c r="B230">
        <v>123</v>
      </c>
      <c r="C230" t="s">
        <v>320</v>
      </c>
      <c r="D230" t="s">
        <v>150</v>
      </c>
      <c r="E230" s="79" t="s">
        <v>625</v>
      </c>
      <c r="F230">
        <v>6.29</v>
      </c>
      <c r="G230">
        <v>103.9</v>
      </c>
      <c r="H230">
        <v>155</v>
      </c>
      <c r="I230">
        <v>97.6</v>
      </c>
      <c r="J230">
        <v>100</v>
      </c>
      <c r="K230">
        <v>67.3</v>
      </c>
      <c r="L230">
        <v>240</v>
      </c>
      <c r="M230">
        <v>2.1000000000000001E-2</v>
      </c>
      <c r="N230">
        <v>127</v>
      </c>
      <c r="O230">
        <v>8.7100000000000009</v>
      </c>
      <c r="P230">
        <v>87</v>
      </c>
      <c r="Q230">
        <v>106.8</v>
      </c>
      <c r="R230">
        <v>82</v>
      </c>
      <c r="S230">
        <v>98</v>
      </c>
      <c r="T230">
        <v>95</v>
      </c>
      <c r="U230">
        <v>3.89</v>
      </c>
      <c r="V230">
        <v>149</v>
      </c>
    </row>
    <row r="231" spans="1:22" x14ac:dyDescent="0.25">
      <c r="A231">
        <f>COUNTIF('Value Matchup'!$D$356:$D$423,C231)</f>
        <v>0</v>
      </c>
      <c r="B231">
        <v>213</v>
      </c>
      <c r="C231" t="s">
        <v>321</v>
      </c>
      <c r="D231" t="s">
        <v>145</v>
      </c>
      <c r="E231" s="79" t="s">
        <v>526</v>
      </c>
      <c r="F231">
        <v>-3.27</v>
      </c>
      <c r="G231">
        <v>101</v>
      </c>
      <c r="H231">
        <v>211</v>
      </c>
      <c r="I231">
        <v>104.3</v>
      </c>
      <c r="J231">
        <v>233</v>
      </c>
      <c r="K231">
        <v>69.400000000000006</v>
      </c>
      <c r="L231">
        <v>128</v>
      </c>
      <c r="M231">
        <v>0</v>
      </c>
      <c r="N231">
        <v>174</v>
      </c>
      <c r="O231">
        <v>-99</v>
      </c>
      <c r="P231">
        <v>348</v>
      </c>
      <c r="Q231">
        <v>0</v>
      </c>
      <c r="R231">
        <v>348</v>
      </c>
      <c r="S231">
        <v>200</v>
      </c>
      <c r="T231">
        <v>348</v>
      </c>
      <c r="U231">
        <v>-99</v>
      </c>
      <c r="V231">
        <v>331</v>
      </c>
    </row>
    <row r="232" spans="1:22" x14ac:dyDescent="0.25">
      <c r="A232">
        <f>COUNTIF('Value Matchup'!$D$356:$D$423,C232)</f>
        <v>0</v>
      </c>
      <c r="B232">
        <v>35</v>
      </c>
      <c r="C232" t="s">
        <v>322</v>
      </c>
      <c r="D232" t="s">
        <v>231</v>
      </c>
      <c r="E232" s="79" t="s">
        <v>597</v>
      </c>
      <c r="F232">
        <v>19.52</v>
      </c>
      <c r="G232">
        <v>113.4</v>
      </c>
      <c r="H232">
        <v>31</v>
      </c>
      <c r="I232">
        <v>93.9</v>
      </c>
      <c r="J232">
        <v>49</v>
      </c>
      <c r="K232">
        <v>69.400000000000006</v>
      </c>
      <c r="L232">
        <v>125</v>
      </c>
      <c r="M232">
        <v>-0.05</v>
      </c>
      <c r="N232">
        <v>288</v>
      </c>
      <c r="O232">
        <v>19.989999999999998</v>
      </c>
      <c r="P232">
        <v>1</v>
      </c>
      <c r="Q232">
        <v>112.3</v>
      </c>
      <c r="R232">
        <v>5</v>
      </c>
      <c r="S232">
        <v>92.3</v>
      </c>
      <c r="T232">
        <v>1</v>
      </c>
      <c r="U232">
        <v>11.8</v>
      </c>
      <c r="V232">
        <v>41</v>
      </c>
    </row>
    <row r="233" spans="1:22" x14ac:dyDescent="0.25">
      <c r="A233">
        <f>COUNTIF('Value Matchup'!$D$356:$D$423,C233)</f>
        <v>0</v>
      </c>
      <c r="B233">
        <v>113</v>
      </c>
      <c r="C233" t="s">
        <v>323</v>
      </c>
      <c r="D233" t="s">
        <v>150</v>
      </c>
      <c r="E233" s="79" t="s">
        <v>636</v>
      </c>
      <c r="F233">
        <v>7.92</v>
      </c>
      <c r="G233">
        <v>108</v>
      </c>
      <c r="H233">
        <v>93</v>
      </c>
      <c r="I233">
        <v>100.1</v>
      </c>
      <c r="J233">
        <v>142</v>
      </c>
      <c r="K233">
        <v>71.400000000000006</v>
      </c>
      <c r="L233">
        <v>49</v>
      </c>
      <c r="M233">
        <v>-2E-3</v>
      </c>
      <c r="N233">
        <v>186</v>
      </c>
      <c r="O233">
        <v>9.73</v>
      </c>
      <c r="P233">
        <v>75</v>
      </c>
      <c r="Q233">
        <v>106.9</v>
      </c>
      <c r="R233">
        <v>79</v>
      </c>
      <c r="S233">
        <v>97.1</v>
      </c>
      <c r="T233">
        <v>73</v>
      </c>
      <c r="U233">
        <v>7.13</v>
      </c>
      <c r="V233">
        <v>96</v>
      </c>
    </row>
    <row r="234" spans="1:22" x14ac:dyDescent="0.25">
      <c r="A234">
        <f>COUNTIF('Value Matchup'!$D$356:$D$423,C234)</f>
        <v>0</v>
      </c>
      <c r="B234">
        <v>89</v>
      </c>
      <c r="C234" t="s">
        <v>83</v>
      </c>
      <c r="D234" t="s">
        <v>139</v>
      </c>
      <c r="E234" s="79" t="s">
        <v>662</v>
      </c>
      <c r="F234">
        <v>10.56</v>
      </c>
      <c r="G234">
        <v>108.9</v>
      </c>
      <c r="H234">
        <v>79</v>
      </c>
      <c r="I234">
        <v>98.3</v>
      </c>
      <c r="J234">
        <v>115</v>
      </c>
      <c r="K234">
        <v>68.599999999999994</v>
      </c>
      <c r="L234">
        <v>169</v>
      </c>
      <c r="M234">
        <v>-6.8000000000000005E-2</v>
      </c>
      <c r="N234">
        <v>309</v>
      </c>
      <c r="O234">
        <v>10.61</v>
      </c>
      <c r="P234">
        <v>70</v>
      </c>
      <c r="Q234">
        <v>108.3</v>
      </c>
      <c r="R234">
        <v>53</v>
      </c>
      <c r="S234">
        <v>97.7</v>
      </c>
      <c r="T234">
        <v>89</v>
      </c>
      <c r="U234">
        <v>-4.4000000000000004</v>
      </c>
      <c r="V234">
        <v>272</v>
      </c>
    </row>
    <row r="235" spans="1:22" x14ac:dyDescent="0.25">
      <c r="A235">
        <f>COUNTIF('Value Matchup'!$D$356:$D$423,C235)</f>
        <v>0</v>
      </c>
      <c r="B235">
        <v>328</v>
      </c>
      <c r="C235" t="s">
        <v>324</v>
      </c>
      <c r="D235" t="s">
        <v>150</v>
      </c>
      <c r="E235" s="79" t="s">
        <v>673</v>
      </c>
      <c r="F235">
        <v>-14.57</v>
      </c>
      <c r="G235">
        <v>96.9</v>
      </c>
      <c r="H235">
        <v>279</v>
      </c>
      <c r="I235">
        <v>111.5</v>
      </c>
      <c r="J235">
        <v>340</v>
      </c>
      <c r="K235">
        <v>71.400000000000006</v>
      </c>
      <c r="L235">
        <v>52</v>
      </c>
      <c r="M235">
        <v>5.3999999999999999E-2</v>
      </c>
      <c r="N235">
        <v>64</v>
      </c>
      <c r="O235">
        <v>7.32</v>
      </c>
      <c r="P235">
        <v>98</v>
      </c>
      <c r="Q235">
        <v>105.8</v>
      </c>
      <c r="R235">
        <v>96</v>
      </c>
      <c r="S235">
        <v>98.5</v>
      </c>
      <c r="T235">
        <v>106</v>
      </c>
      <c r="U235">
        <v>0.59</v>
      </c>
      <c r="V235">
        <v>202</v>
      </c>
    </row>
    <row r="236" spans="1:22" x14ac:dyDescent="0.25">
      <c r="A236">
        <f>COUNTIF('Value Matchup'!$D$356:$D$423,C236)</f>
        <v>0</v>
      </c>
      <c r="B236">
        <v>257</v>
      </c>
      <c r="C236" t="s">
        <v>325</v>
      </c>
      <c r="D236" t="s">
        <v>197</v>
      </c>
      <c r="E236" s="79" t="s">
        <v>609</v>
      </c>
      <c r="F236">
        <v>-7.13</v>
      </c>
      <c r="G236">
        <v>93</v>
      </c>
      <c r="H236">
        <v>321</v>
      </c>
      <c r="I236">
        <v>100.1</v>
      </c>
      <c r="J236">
        <v>144</v>
      </c>
      <c r="K236">
        <v>69.599999999999994</v>
      </c>
      <c r="L236">
        <v>116</v>
      </c>
      <c r="M236">
        <v>-0.13500000000000001</v>
      </c>
      <c r="N236">
        <v>353</v>
      </c>
      <c r="O236">
        <v>-4.33</v>
      </c>
      <c r="P236">
        <v>263</v>
      </c>
      <c r="Q236">
        <v>100.1</v>
      </c>
      <c r="R236">
        <v>250</v>
      </c>
      <c r="S236">
        <v>104.5</v>
      </c>
      <c r="T236">
        <v>274</v>
      </c>
      <c r="U236">
        <v>5.62</v>
      </c>
      <c r="V236">
        <v>117</v>
      </c>
    </row>
    <row r="237" spans="1:22" x14ac:dyDescent="0.25">
      <c r="A237">
        <f>COUNTIF('Value Matchup'!$D$356:$D$423,C237)</f>
        <v>0</v>
      </c>
      <c r="B237">
        <v>246</v>
      </c>
      <c r="C237" t="s">
        <v>326</v>
      </c>
      <c r="D237" t="s">
        <v>116</v>
      </c>
      <c r="E237" s="79" t="s">
        <v>580</v>
      </c>
      <c r="F237">
        <v>-5.93</v>
      </c>
      <c r="G237">
        <v>94.8</v>
      </c>
      <c r="H237">
        <v>302</v>
      </c>
      <c r="I237">
        <v>100.8</v>
      </c>
      <c r="J237">
        <v>161</v>
      </c>
      <c r="K237">
        <v>69.5</v>
      </c>
      <c r="L237">
        <v>122</v>
      </c>
      <c r="M237">
        <v>0.111</v>
      </c>
      <c r="N237">
        <v>13</v>
      </c>
      <c r="O237">
        <v>-15.08</v>
      </c>
      <c r="P237">
        <v>346</v>
      </c>
      <c r="Q237">
        <v>92.6</v>
      </c>
      <c r="R237">
        <v>346</v>
      </c>
      <c r="S237">
        <v>107.7</v>
      </c>
      <c r="T237">
        <v>347</v>
      </c>
      <c r="U237">
        <v>6.06</v>
      </c>
      <c r="V237">
        <v>105</v>
      </c>
    </row>
    <row r="238" spans="1:22" x14ac:dyDescent="0.25">
      <c r="A238">
        <f>COUNTIF('Value Matchup'!$D$356:$D$423,C238)</f>
        <v>0</v>
      </c>
      <c r="B238">
        <v>324</v>
      </c>
      <c r="C238" t="s">
        <v>327</v>
      </c>
      <c r="D238" t="s">
        <v>158</v>
      </c>
      <c r="E238" s="79" t="s">
        <v>674</v>
      </c>
      <c r="F238">
        <v>-13.66</v>
      </c>
      <c r="G238">
        <v>91.4</v>
      </c>
      <c r="H238">
        <v>336</v>
      </c>
      <c r="I238">
        <v>105.1</v>
      </c>
      <c r="J238">
        <v>252</v>
      </c>
      <c r="K238">
        <v>66.099999999999994</v>
      </c>
      <c r="L238">
        <v>300</v>
      </c>
      <c r="M238">
        <v>-5.7000000000000002E-2</v>
      </c>
      <c r="N238">
        <v>296</v>
      </c>
      <c r="O238">
        <v>-6.68</v>
      </c>
      <c r="P238">
        <v>314</v>
      </c>
      <c r="Q238">
        <v>98.9</v>
      </c>
      <c r="R238">
        <v>291</v>
      </c>
      <c r="S238">
        <v>105.5</v>
      </c>
      <c r="T238">
        <v>321</v>
      </c>
      <c r="U238">
        <v>-10.93</v>
      </c>
      <c r="V238">
        <v>317</v>
      </c>
    </row>
    <row r="239" spans="1:22" x14ac:dyDescent="0.25">
      <c r="A239">
        <f>COUNTIF('Value Matchup'!$D$356:$D$423,C239)</f>
        <v>0</v>
      </c>
      <c r="B239">
        <v>161</v>
      </c>
      <c r="C239" t="s">
        <v>91</v>
      </c>
      <c r="D239" t="s">
        <v>145</v>
      </c>
      <c r="E239" s="79" t="s">
        <v>526</v>
      </c>
      <c r="F239">
        <v>1.89</v>
      </c>
      <c r="G239">
        <v>104.8</v>
      </c>
      <c r="H239">
        <v>131</v>
      </c>
      <c r="I239">
        <v>102.9</v>
      </c>
      <c r="J239">
        <v>202</v>
      </c>
      <c r="K239">
        <v>66.8</v>
      </c>
      <c r="L239">
        <v>258</v>
      </c>
      <c r="M239">
        <v>0</v>
      </c>
      <c r="N239">
        <v>174</v>
      </c>
      <c r="O239">
        <v>-99</v>
      </c>
      <c r="P239">
        <v>348</v>
      </c>
      <c r="Q239">
        <v>0</v>
      </c>
      <c r="R239">
        <v>348</v>
      </c>
      <c r="S239">
        <v>200</v>
      </c>
      <c r="T239">
        <v>348</v>
      </c>
      <c r="U239">
        <v>-99</v>
      </c>
      <c r="V239">
        <v>331</v>
      </c>
    </row>
    <row r="240" spans="1:22" x14ac:dyDescent="0.25">
      <c r="A240">
        <f>COUNTIF('Value Matchup'!$D$356:$D$423,C240)</f>
        <v>0</v>
      </c>
      <c r="B240">
        <v>76</v>
      </c>
      <c r="C240" t="s">
        <v>56</v>
      </c>
      <c r="D240" t="s">
        <v>149</v>
      </c>
      <c r="E240" s="79" t="s">
        <v>553</v>
      </c>
      <c r="F240">
        <v>12.66</v>
      </c>
      <c r="G240">
        <v>108.2</v>
      </c>
      <c r="H240">
        <v>89</v>
      </c>
      <c r="I240">
        <v>95.5</v>
      </c>
      <c r="J240">
        <v>71</v>
      </c>
      <c r="K240">
        <v>66.599999999999994</v>
      </c>
      <c r="L240">
        <v>271</v>
      </c>
      <c r="M240">
        <v>1E-3</v>
      </c>
      <c r="N240">
        <v>170</v>
      </c>
      <c r="O240">
        <v>13.63</v>
      </c>
      <c r="P240">
        <v>35</v>
      </c>
      <c r="Q240">
        <v>109.3</v>
      </c>
      <c r="R240">
        <v>36</v>
      </c>
      <c r="S240">
        <v>95.7</v>
      </c>
      <c r="T240">
        <v>37</v>
      </c>
      <c r="U240">
        <v>7.18</v>
      </c>
      <c r="V240">
        <v>93</v>
      </c>
    </row>
    <row r="241" spans="1:22" x14ac:dyDescent="0.25">
      <c r="A241">
        <f>COUNTIF('Value Matchup'!$D$356:$D$423,C241)</f>
        <v>1</v>
      </c>
      <c r="B241">
        <v>13</v>
      </c>
      <c r="C241" t="s">
        <v>29</v>
      </c>
      <c r="D241" t="s">
        <v>231</v>
      </c>
      <c r="E241" s="79" t="s">
        <v>560</v>
      </c>
      <c r="F241">
        <v>23.66</v>
      </c>
      <c r="G241">
        <v>114.4</v>
      </c>
      <c r="H241">
        <v>23</v>
      </c>
      <c r="I241">
        <v>90.7</v>
      </c>
      <c r="J241">
        <v>23</v>
      </c>
      <c r="K241">
        <v>66.5</v>
      </c>
      <c r="L241">
        <v>274</v>
      </c>
      <c r="M241">
        <v>1.9E-2</v>
      </c>
      <c r="N241">
        <v>133</v>
      </c>
      <c r="O241">
        <v>17.23</v>
      </c>
      <c r="P241">
        <v>11</v>
      </c>
      <c r="Q241">
        <v>111.5</v>
      </c>
      <c r="R241">
        <v>10</v>
      </c>
      <c r="S241">
        <v>94.3</v>
      </c>
      <c r="T241">
        <v>12</v>
      </c>
      <c r="U241">
        <v>5.68</v>
      </c>
      <c r="V241">
        <v>113</v>
      </c>
    </row>
    <row r="242" spans="1:22" x14ac:dyDescent="0.25">
      <c r="A242">
        <f>COUNTIF('Value Matchup'!$D$356:$D$423,C242)</f>
        <v>0</v>
      </c>
      <c r="B242">
        <v>271</v>
      </c>
      <c r="C242" t="s">
        <v>491</v>
      </c>
      <c r="D242" t="s">
        <v>172</v>
      </c>
      <c r="E242" s="79" t="s">
        <v>669</v>
      </c>
      <c r="F242">
        <v>-8.52</v>
      </c>
      <c r="G242">
        <v>101.4</v>
      </c>
      <c r="H242">
        <v>203</v>
      </c>
      <c r="I242">
        <v>110</v>
      </c>
      <c r="J242">
        <v>325</v>
      </c>
      <c r="K242">
        <v>69.900000000000006</v>
      </c>
      <c r="L242">
        <v>109</v>
      </c>
      <c r="M242">
        <v>-2.5000000000000001E-2</v>
      </c>
      <c r="N242">
        <v>236</v>
      </c>
      <c r="O242">
        <v>-3.12</v>
      </c>
      <c r="P242">
        <v>234</v>
      </c>
      <c r="Q242">
        <v>102.4</v>
      </c>
      <c r="R242">
        <v>184</v>
      </c>
      <c r="S242">
        <v>105.5</v>
      </c>
      <c r="T242">
        <v>318</v>
      </c>
      <c r="U242">
        <v>-20.04</v>
      </c>
      <c r="V242">
        <v>330</v>
      </c>
    </row>
    <row r="243" spans="1:22" x14ac:dyDescent="0.25">
      <c r="A243">
        <f>COUNTIF('Value Matchup'!$D$356:$D$423,C243)</f>
        <v>0</v>
      </c>
      <c r="B243">
        <v>284</v>
      </c>
      <c r="C243" t="s">
        <v>328</v>
      </c>
      <c r="D243" t="s">
        <v>160</v>
      </c>
      <c r="E243" s="79" t="s">
        <v>609</v>
      </c>
      <c r="F243">
        <v>-9.49</v>
      </c>
      <c r="G243">
        <v>90.3</v>
      </c>
      <c r="H243">
        <v>344</v>
      </c>
      <c r="I243">
        <v>99.8</v>
      </c>
      <c r="J243">
        <v>136</v>
      </c>
      <c r="K243">
        <v>72.3</v>
      </c>
      <c r="L243">
        <v>30</v>
      </c>
      <c r="M243">
        <v>-4.2000000000000003E-2</v>
      </c>
      <c r="N243">
        <v>272</v>
      </c>
      <c r="O243">
        <v>-7.41</v>
      </c>
      <c r="P243">
        <v>321</v>
      </c>
      <c r="Q243">
        <v>97.5</v>
      </c>
      <c r="R243">
        <v>320</v>
      </c>
      <c r="S243">
        <v>104.9</v>
      </c>
      <c r="T243">
        <v>297</v>
      </c>
      <c r="U243">
        <v>-4.8</v>
      </c>
      <c r="V243">
        <v>276</v>
      </c>
    </row>
    <row r="244" spans="1:22" x14ac:dyDescent="0.25">
      <c r="A244">
        <f>COUNTIF('Value Matchup'!$D$356:$D$423,C244)</f>
        <v>0</v>
      </c>
      <c r="B244">
        <v>235</v>
      </c>
      <c r="C244" t="s">
        <v>329</v>
      </c>
      <c r="D244" t="s">
        <v>158</v>
      </c>
      <c r="E244" s="79" t="s">
        <v>562</v>
      </c>
      <c r="F244">
        <v>-5.29</v>
      </c>
      <c r="G244">
        <v>98.4</v>
      </c>
      <c r="H244">
        <v>252</v>
      </c>
      <c r="I244">
        <v>103.7</v>
      </c>
      <c r="J244">
        <v>221</v>
      </c>
      <c r="K244">
        <v>63.8</v>
      </c>
      <c r="L244">
        <v>346</v>
      </c>
      <c r="M244">
        <v>2.3E-2</v>
      </c>
      <c r="N244">
        <v>121</v>
      </c>
      <c r="O244">
        <v>-4.55</v>
      </c>
      <c r="P244">
        <v>268</v>
      </c>
      <c r="Q244">
        <v>100</v>
      </c>
      <c r="R244">
        <v>259</v>
      </c>
      <c r="S244">
        <v>104.5</v>
      </c>
      <c r="T244">
        <v>282</v>
      </c>
      <c r="U244">
        <v>8.1199999999999992</v>
      </c>
      <c r="V244">
        <v>82</v>
      </c>
    </row>
    <row r="245" spans="1:22" x14ac:dyDescent="0.25">
      <c r="A245">
        <f>COUNTIF('Value Matchup'!$D$356:$D$423,C245)</f>
        <v>0</v>
      </c>
      <c r="B245">
        <v>105</v>
      </c>
      <c r="C245" t="s">
        <v>96</v>
      </c>
      <c r="D245" t="s">
        <v>181</v>
      </c>
      <c r="E245" s="79" t="s">
        <v>606</v>
      </c>
      <c r="F245">
        <v>9.11</v>
      </c>
      <c r="G245">
        <v>105.6</v>
      </c>
      <c r="H245">
        <v>123</v>
      </c>
      <c r="I245">
        <v>96.5</v>
      </c>
      <c r="J245">
        <v>84</v>
      </c>
      <c r="K245">
        <v>69.3</v>
      </c>
      <c r="L245">
        <v>134</v>
      </c>
      <c r="M245">
        <v>-0.109</v>
      </c>
      <c r="N245">
        <v>344</v>
      </c>
      <c r="O245">
        <v>9.36</v>
      </c>
      <c r="P245">
        <v>79</v>
      </c>
      <c r="Q245">
        <v>106.4</v>
      </c>
      <c r="R245">
        <v>90</v>
      </c>
      <c r="S245">
        <v>97.1</v>
      </c>
      <c r="T245">
        <v>71</v>
      </c>
      <c r="U245">
        <v>10.25</v>
      </c>
      <c r="V245">
        <v>53</v>
      </c>
    </row>
    <row r="246" spans="1:22" x14ac:dyDescent="0.25">
      <c r="A246">
        <f>COUNTIF('Value Matchup'!$D$356:$D$423,C246)</f>
        <v>0</v>
      </c>
      <c r="B246">
        <v>189</v>
      </c>
      <c r="C246" t="s">
        <v>330</v>
      </c>
      <c r="D246" t="s">
        <v>166</v>
      </c>
      <c r="E246" s="79" t="s">
        <v>572</v>
      </c>
      <c r="F246">
        <v>-1.02</v>
      </c>
      <c r="G246">
        <v>104.5</v>
      </c>
      <c r="H246">
        <v>136</v>
      </c>
      <c r="I246">
        <v>105.5</v>
      </c>
      <c r="J246">
        <v>263</v>
      </c>
      <c r="K246">
        <v>69.599999999999994</v>
      </c>
      <c r="L246">
        <v>115</v>
      </c>
      <c r="M246">
        <v>3.9E-2</v>
      </c>
      <c r="N246">
        <v>92</v>
      </c>
      <c r="O246">
        <v>1.81</v>
      </c>
      <c r="P246">
        <v>159</v>
      </c>
      <c r="Q246">
        <v>101.6</v>
      </c>
      <c r="R246">
        <v>207</v>
      </c>
      <c r="S246">
        <v>99.8</v>
      </c>
      <c r="T246">
        <v>128</v>
      </c>
      <c r="U246">
        <v>-12.47</v>
      </c>
      <c r="V246">
        <v>318</v>
      </c>
    </row>
    <row r="247" spans="1:22" x14ac:dyDescent="0.25">
      <c r="A247">
        <f>COUNTIF('Value Matchup'!$D$356:$D$423,C247)</f>
        <v>0</v>
      </c>
      <c r="B247">
        <v>67</v>
      </c>
      <c r="C247" t="s">
        <v>331</v>
      </c>
      <c r="D247" t="s">
        <v>181</v>
      </c>
      <c r="E247" s="79" t="s">
        <v>543</v>
      </c>
      <c r="F247">
        <v>14.11</v>
      </c>
      <c r="G247">
        <v>111.4</v>
      </c>
      <c r="H247">
        <v>45</v>
      </c>
      <c r="I247">
        <v>97.3</v>
      </c>
      <c r="J247">
        <v>95</v>
      </c>
      <c r="K247">
        <v>68.900000000000006</v>
      </c>
      <c r="L247">
        <v>150</v>
      </c>
      <c r="M247">
        <v>-4.4999999999999998E-2</v>
      </c>
      <c r="N247">
        <v>276</v>
      </c>
      <c r="O247">
        <v>8.81</v>
      </c>
      <c r="P247">
        <v>86</v>
      </c>
      <c r="Q247">
        <v>106.5</v>
      </c>
      <c r="R247">
        <v>85</v>
      </c>
      <c r="S247">
        <v>97.7</v>
      </c>
      <c r="T247">
        <v>90</v>
      </c>
      <c r="U247">
        <v>10.64</v>
      </c>
      <c r="V247">
        <v>50</v>
      </c>
    </row>
    <row r="248" spans="1:22" x14ac:dyDescent="0.25">
      <c r="A248">
        <f>COUNTIF('Value Matchup'!$D$356:$D$423,C248)</f>
        <v>0</v>
      </c>
      <c r="B248">
        <v>316</v>
      </c>
      <c r="C248" t="s">
        <v>332</v>
      </c>
      <c r="D248" t="s">
        <v>160</v>
      </c>
      <c r="E248" s="79" t="s">
        <v>675</v>
      </c>
      <c r="F248">
        <v>-12.55</v>
      </c>
      <c r="G248">
        <v>100.1</v>
      </c>
      <c r="H248">
        <v>227</v>
      </c>
      <c r="I248">
        <v>112.7</v>
      </c>
      <c r="J248">
        <v>349</v>
      </c>
      <c r="K248">
        <v>67.900000000000006</v>
      </c>
      <c r="L248">
        <v>208</v>
      </c>
      <c r="M248">
        <v>-4.1000000000000002E-2</v>
      </c>
      <c r="N248">
        <v>268</v>
      </c>
      <c r="O248">
        <v>-4.33</v>
      </c>
      <c r="P248">
        <v>261</v>
      </c>
      <c r="Q248">
        <v>97.2</v>
      </c>
      <c r="R248">
        <v>324</v>
      </c>
      <c r="S248">
        <v>101.5</v>
      </c>
      <c r="T248">
        <v>156</v>
      </c>
      <c r="U248">
        <v>10.14</v>
      </c>
      <c r="V248">
        <v>55</v>
      </c>
    </row>
    <row r="249" spans="1:22" x14ac:dyDescent="0.25">
      <c r="A249">
        <f>COUNTIF('Value Matchup'!$D$356:$D$423,C249)</f>
        <v>0</v>
      </c>
      <c r="B249">
        <v>294</v>
      </c>
      <c r="C249" t="s">
        <v>333</v>
      </c>
      <c r="D249" t="s">
        <v>172</v>
      </c>
      <c r="E249" s="79" t="s">
        <v>676</v>
      </c>
      <c r="F249">
        <v>-10.15</v>
      </c>
      <c r="G249">
        <v>99.1</v>
      </c>
      <c r="H249">
        <v>243</v>
      </c>
      <c r="I249">
        <v>109.2</v>
      </c>
      <c r="J249">
        <v>317</v>
      </c>
      <c r="K249">
        <v>67.599999999999994</v>
      </c>
      <c r="L249">
        <v>226</v>
      </c>
      <c r="M249">
        <v>-5.2999999999999999E-2</v>
      </c>
      <c r="N249">
        <v>292</v>
      </c>
      <c r="O249">
        <v>-7.0000000000000007E-2</v>
      </c>
      <c r="P249">
        <v>178</v>
      </c>
      <c r="Q249">
        <v>105</v>
      </c>
      <c r="R249">
        <v>116</v>
      </c>
      <c r="S249">
        <v>105</v>
      </c>
      <c r="T249">
        <v>306</v>
      </c>
      <c r="U249">
        <v>8.57</v>
      </c>
      <c r="V249">
        <v>76</v>
      </c>
    </row>
    <row r="250" spans="1:22" x14ac:dyDescent="0.25">
      <c r="A250">
        <f>COUNTIF('Value Matchup'!$D$356:$D$423,C250)</f>
        <v>1</v>
      </c>
      <c r="B250">
        <v>34</v>
      </c>
      <c r="C250" t="s">
        <v>334</v>
      </c>
      <c r="D250" t="s">
        <v>231</v>
      </c>
      <c r="E250" s="79" t="s">
        <v>533</v>
      </c>
      <c r="F250">
        <v>19.53</v>
      </c>
      <c r="G250">
        <v>109.4</v>
      </c>
      <c r="H250">
        <v>74</v>
      </c>
      <c r="I250">
        <v>89.9</v>
      </c>
      <c r="J250">
        <v>17</v>
      </c>
      <c r="K250">
        <v>67.8</v>
      </c>
      <c r="L250">
        <v>213</v>
      </c>
      <c r="M250">
        <v>3.2000000000000001E-2</v>
      </c>
      <c r="N250">
        <v>104</v>
      </c>
      <c r="O250">
        <v>18.170000000000002</v>
      </c>
      <c r="P250">
        <v>7</v>
      </c>
      <c r="Q250">
        <v>112.5</v>
      </c>
      <c r="R250">
        <v>3</v>
      </c>
      <c r="S250">
        <v>94.3</v>
      </c>
      <c r="T250">
        <v>13</v>
      </c>
      <c r="U250">
        <v>-5.47</v>
      </c>
      <c r="V250">
        <v>285</v>
      </c>
    </row>
    <row r="251" spans="1:22" x14ac:dyDescent="0.25">
      <c r="A251">
        <f>COUNTIF('Value Matchup'!$D$356:$D$423,C251)</f>
        <v>0</v>
      </c>
      <c r="B251">
        <v>260</v>
      </c>
      <c r="C251" t="s">
        <v>335</v>
      </c>
      <c r="D251" t="s">
        <v>197</v>
      </c>
      <c r="E251" s="79" t="s">
        <v>633</v>
      </c>
      <c r="F251">
        <v>-7.55</v>
      </c>
      <c r="G251">
        <v>102.5</v>
      </c>
      <c r="H251">
        <v>179</v>
      </c>
      <c r="I251">
        <v>110.1</v>
      </c>
      <c r="J251">
        <v>326</v>
      </c>
      <c r="K251">
        <v>65.599999999999994</v>
      </c>
      <c r="L251">
        <v>313</v>
      </c>
      <c r="M251">
        <v>-0.03</v>
      </c>
      <c r="N251">
        <v>245</v>
      </c>
      <c r="O251">
        <v>-1.02</v>
      </c>
      <c r="P251">
        <v>197</v>
      </c>
      <c r="Q251">
        <v>102.1</v>
      </c>
      <c r="R251">
        <v>194</v>
      </c>
      <c r="S251">
        <v>103.2</v>
      </c>
      <c r="T251">
        <v>218</v>
      </c>
      <c r="U251">
        <v>3.12</v>
      </c>
      <c r="V251">
        <v>156</v>
      </c>
    </row>
    <row r="252" spans="1:22" x14ac:dyDescent="0.25">
      <c r="A252">
        <f>COUNTIF('Value Matchup'!$D$356:$D$423,C252)</f>
        <v>0</v>
      </c>
      <c r="B252">
        <v>317</v>
      </c>
      <c r="C252" t="s">
        <v>336</v>
      </c>
      <c r="D252" t="s">
        <v>147</v>
      </c>
      <c r="E252" s="79" t="s">
        <v>625</v>
      </c>
      <c r="F252">
        <v>-12.79</v>
      </c>
      <c r="G252">
        <v>99.3</v>
      </c>
      <c r="H252">
        <v>242</v>
      </c>
      <c r="I252">
        <v>112.1</v>
      </c>
      <c r="J252">
        <v>345</v>
      </c>
      <c r="K252">
        <v>66.599999999999994</v>
      </c>
      <c r="L252">
        <v>272</v>
      </c>
      <c r="M252">
        <v>0.13</v>
      </c>
      <c r="N252">
        <v>6</v>
      </c>
      <c r="O252">
        <v>-6.62</v>
      </c>
      <c r="P252">
        <v>312</v>
      </c>
      <c r="Q252">
        <v>98.4</v>
      </c>
      <c r="R252">
        <v>304</v>
      </c>
      <c r="S252">
        <v>105</v>
      </c>
      <c r="T252">
        <v>301</v>
      </c>
      <c r="U252">
        <v>22.96</v>
      </c>
      <c r="V252">
        <v>2</v>
      </c>
    </row>
    <row r="253" spans="1:22" x14ac:dyDescent="0.25">
      <c r="A253">
        <f>COUNTIF('Value Matchup'!$D$356:$D$423,C253)</f>
        <v>0</v>
      </c>
      <c r="B253">
        <v>197</v>
      </c>
      <c r="C253" t="s">
        <v>337</v>
      </c>
      <c r="D253" t="s">
        <v>181</v>
      </c>
      <c r="E253" s="79" t="s">
        <v>677</v>
      </c>
      <c r="F253">
        <v>-1.93</v>
      </c>
      <c r="G253">
        <v>102.1</v>
      </c>
      <c r="H253">
        <v>185</v>
      </c>
      <c r="I253">
        <v>104</v>
      </c>
      <c r="J253">
        <v>227</v>
      </c>
      <c r="K253">
        <v>72.3</v>
      </c>
      <c r="L253">
        <v>29</v>
      </c>
      <c r="M253">
        <v>2.7E-2</v>
      </c>
      <c r="N253">
        <v>112</v>
      </c>
      <c r="O253">
        <v>10.82</v>
      </c>
      <c r="P253">
        <v>67</v>
      </c>
      <c r="Q253">
        <v>107.8</v>
      </c>
      <c r="R253">
        <v>66</v>
      </c>
      <c r="S253">
        <v>96.9</v>
      </c>
      <c r="T253">
        <v>65</v>
      </c>
      <c r="U253">
        <v>15.51</v>
      </c>
      <c r="V253">
        <v>17</v>
      </c>
    </row>
    <row r="254" spans="1:22" ht="16.5" customHeight="1" x14ac:dyDescent="0.25">
      <c r="A254">
        <f>COUNTIF('Value Matchup'!$D$356:$D$423,C254)</f>
        <v>0</v>
      </c>
      <c r="B254">
        <v>47</v>
      </c>
      <c r="C254" t="s">
        <v>338</v>
      </c>
      <c r="D254" t="s">
        <v>181</v>
      </c>
      <c r="E254" s="79" t="s">
        <v>581</v>
      </c>
      <c r="F254">
        <v>16.8</v>
      </c>
      <c r="G254">
        <v>111.7</v>
      </c>
      <c r="H254">
        <v>40</v>
      </c>
      <c r="I254">
        <v>94.9</v>
      </c>
      <c r="J254">
        <v>62</v>
      </c>
      <c r="K254">
        <v>67.8</v>
      </c>
      <c r="L254">
        <v>212</v>
      </c>
      <c r="M254">
        <v>-1.7000000000000001E-2</v>
      </c>
      <c r="N254">
        <v>220</v>
      </c>
      <c r="O254">
        <v>5.03</v>
      </c>
      <c r="P254">
        <v>119</v>
      </c>
      <c r="Q254">
        <v>104.3</v>
      </c>
      <c r="R254">
        <v>135</v>
      </c>
      <c r="S254">
        <v>99.3</v>
      </c>
      <c r="T254">
        <v>119</v>
      </c>
      <c r="U254">
        <v>-2.11</v>
      </c>
      <c r="V254">
        <v>244</v>
      </c>
    </row>
    <row r="255" spans="1:22" ht="15.75" customHeight="1" x14ac:dyDescent="0.25">
      <c r="A255">
        <f>COUNTIF('Value Matchup'!$D$356:$D$423,C255)</f>
        <v>0</v>
      </c>
      <c r="B255">
        <v>75</v>
      </c>
      <c r="C255" t="s">
        <v>339</v>
      </c>
      <c r="D255" t="s">
        <v>150</v>
      </c>
      <c r="E255" s="79" t="s">
        <v>544</v>
      </c>
      <c r="F255">
        <v>12.82</v>
      </c>
      <c r="G255">
        <v>101.6</v>
      </c>
      <c r="H255">
        <v>198</v>
      </c>
      <c r="I255">
        <v>88.8</v>
      </c>
      <c r="J255">
        <v>10</v>
      </c>
      <c r="K255">
        <v>63.2</v>
      </c>
      <c r="L255">
        <v>347</v>
      </c>
      <c r="M255">
        <v>5.8999999999999997E-2</v>
      </c>
      <c r="N255">
        <v>53</v>
      </c>
      <c r="O255">
        <v>9.67</v>
      </c>
      <c r="P255">
        <v>76</v>
      </c>
      <c r="Q255">
        <v>108.1</v>
      </c>
      <c r="R255">
        <v>58</v>
      </c>
      <c r="S255">
        <v>98.4</v>
      </c>
      <c r="T255">
        <v>105</v>
      </c>
      <c r="U255">
        <v>1.93</v>
      </c>
      <c r="V255">
        <v>180</v>
      </c>
    </row>
    <row r="256" spans="1:22" x14ac:dyDescent="0.25">
      <c r="A256">
        <f>COUNTIF('Value Matchup'!$D$356:$D$423,C256)</f>
        <v>0</v>
      </c>
      <c r="B256">
        <v>220</v>
      </c>
      <c r="C256" t="s">
        <v>340</v>
      </c>
      <c r="D256" t="s">
        <v>160</v>
      </c>
      <c r="E256" s="79" t="s">
        <v>528</v>
      </c>
      <c r="F256">
        <v>-3.62</v>
      </c>
      <c r="G256">
        <v>91.2</v>
      </c>
      <c r="H256">
        <v>338</v>
      </c>
      <c r="I256">
        <v>94.9</v>
      </c>
      <c r="J256">
        <v>60</v>
      </c>
      <c r="K256">
        <v>67</v>
      </c>
      <c r="L256">
        <v>251</v>
      </c>
      <c r="M256">
        <v>-6.0000000000000001E-3</v>
      </c>
      <c r="N256">
        <v>195</v>
      </c>
      <c r="O256">
        <v>-6.49</v>
      </c>
      <c r="P256">
        <v>310</v>
      </c>
      <c r="Q256">
        <v>98</v>
      </c>
      <c r="R256">
        <v>314</v>
      </c>
      <c r="S256">
        <v>104.5</v>
      </c>
      <c r="T256">
        <v>280</v>
      </c>
      <c r="U256">
        <v>4.22</v>
      </c>
      <c r="V256">
        <v>140</v>
      </c>
    </row>
    <row r="257" spans="1:22" x14ac:dyDescent="0.25">
      <c r="A257">
        <f>COUNTIF('Value Matchup'!$D$356:$D$423,C257)</f>
        <v>0</v>
      </c>
      <c r="B257">
        <v>184</v>
      </c>
      <c r="C257" t="s">
        <v>341</v>
      </c>
      <c r="D257" t="s">
        <v>108</v>
      </c>
      <c r="E257" s="79" t="s">
        <v>582</v>
      </c>
      <c r="F257">
        <v>7.0000000000000007E-2</v>
      </c>
      <c r="G257">
        <v>101.6</v>
      </c>
      <c r="H257">
        <v>197</v>
      </c>
      <c r="I257">
        <v>101.6</v>
      </c>
      <c r="J257">
        <v>181</v>
      </c>
      <c r="K257">
        <v>71.2</v>
      </c>
      <c r="L257">
        <v>57</v>
      </c>
      <c r="M257">
        <v>9.1999999999999998E-2</v>
      </c>
      <c r="N257">
        <v>22</v>
      </c>
      <c r="O257">
        <v>-3.39</v>
      </c>
      <c r="P257">
        <v>242</v>
      </c>
      <c r="Q257">
        <v>100</v>
      </c>
      <c r="R257">
        <v>257</v>
      </c>
      <c r="S257">
        <v>103.4</v>
      </c>
      <c r="T257">
        <v>228</v>
      </c>
      <c r="U257">
        <v>14.82</v>
      </c>
      <c r="V257">
        <v>21</v>
      </c>
    </row>
    <row r="258" spans="1:22" x14ac:dyDescent="0.25">
      <c r="A258">
        <f>COUNTIF('Value Matchup'!$D$356:$D$423,C258)</f>
        <v>0</v>
      </c>
      <c r="B258">
        <v>262</v>
      </c>
      <c r="C258" t="s">
        <v>342</v>
      </c>
      <c r="D258" t="s">
        <v>168</v>
      </c>
      <c r="E258" s="79" t="s">
        <v>595</v>
      </c>
      <c r="F258">
        <v>-7.83</v>
      </c>
      <c r="G258">
        <v>97.2</v>
      </c>
      <c r="H258">
        <v>275</v>
      </c>
      <c r="I258">
        <v>105</v>
      </c>
      <c r="J258">
        <v>250</v>
      </c>
      <c r="K258">
        <v>73</v>
      </c>
      <c r="L258">
        <v>18</v>
      </c>
      <c r="M258">
        <v>-3.5000000000000003E-2</v>
      </c>
      <c r="N258">
        <v>254</v>
      </c>
      <c r="O258">
        <v>2.6</v>
      </c>
      <c r="P258">
        <v>151</v>
      </c>
      <c r="Q258">
        <v>103.9</v>
      </c>
      <c r="R258">
        <v>143</v>
      </c>
      <c r="S258">
        <v>101.3</v>
      </c>
      <c r="T258">
        <v>151</v>
      </c>
      <c r="U258">
        <v>-3.81</v>
      </c>
      <c r="V258">
        <v>263</v>
      </c>
    </row>
    <row r="259" spans="1:22" x14ac:dyDescent="0.25">
      <c r="A259">
        <f>COUNTIF('Value Matchup'!$D$356:$D$423,C259)</f>
        <v>0</v>
      </c>
      <c r="B259">
        <v>203</v>
      </c>
      <c r="C259" t="s">
        <v>343</v>
      </c>
      <c r="D259" t="s">
        <v>150</v>
      </c>
      <c r="E259" s="79" t="s">
        <v>678</v>
      </c>
      <c r="F259">
        <v>-2.57</v>
      </c>
      <c r="G259">
        <v>97.6</v>
      </c>
      <c r="H259">
        <v>268</v>
      </c>
      <c r="I259">
        <v>100.2</v>
      </c>
      <c r="J259">
        <v>148</v>
      </c>
      <c r="K259">
        <v>70.5</v>
      </c>
      <c r="L259">
        <v>86</v>
      </c>
      <c r="M259">
        <v>-2.5000000000000001E-2</v>
      </c>
      <c r="N259">
        <v>234</v>
      </c>
      <c r="O259">
        <v>9.11</v>
      </c>
      <c r="P259">
        <v>81</v>
      </c>
      <c r="Q259">
        <v>107.2</v>
      </c>
      <c r="R259">
        <v>75</v>
      </c>
      <c r="S259">
        <v>98.1</v>
      </c>
      <c r="T259">
        <v>97</v>
      </c>
      <c r="U259">
        <v>7.46</v>
      </c>
      <c r="V259">
        <v>89</v>
      </c>
    </row>
    <row r="260" spans="1:22" x14ac:dyDescent="0.25">
      <c r="A260">
        <f>COUNTIF('Value Matchup'!$D$356:$D$423,C260)</f>
        <v>1</v>
      </c>
      <c r="B260">
        <v>20</v>
      </c>
      <c r="C260" t="s">
        <v>344</v>
      </c>
      <c r="D260" t="s">
        <v>110</v>
      </c>
      <c r="E260" s="79" t="s">
        <v>514</v>
      </c>
      <c r="F260">
        <v>22.68</v>
      </c>
      <c r="G260">
        <v>111.6</v>
      </c>
      <c r="H260">
        <v>42</v>
      </c>
      <c r="I260">
        <v>88.9</v>
      </c>
      <c r="J260">
        <v>12</v>
      </c>
      <c r="K260">
        <v>66.099999999999994</v>
      </c>
      <c r="L260">
        <v>298</v>
      </c>
      <c r="M260">
        <v>1.7999999999999999E-2</v>
      </c>
      <c r="N260">
        <v>136</v>
      </c>
      <c r="O260">
        <v>6.22</v>
      </c>
      <c r="P260">
        <v>109</v>
      </c>
      <c r="Q260">
        <v>105.7</v>
      </c>
      <c r="R260">
        <v>102</v>
      </c>
      <c r="S260">
        <v>99.5</v>
      </c>
      <c r="T260">
        <v>121</v>
      </c>
      <c r="U260">
        <v>10.82</v>
      </c>
      <c r="V260">
        <v>49</v>
      </c>
    </row>
    <row r="261" spans="1:22" x14ac:dyDescent="0.25">
      <c r="A261">
        <f>COUNTIF('Value Matchup'!$D$356:$D$423,C261)</f>
        <v>0</v>
      </c>
      <c r="B261">
        <v>101</v>
      </c>
      <c r="C261" t="s">
        <v>345</v>
      </c>
      <c r="D261" t="s">
        <v>150</v>
      </c>
      <c r="E261" s="79" t="s">
        <v>597</v>
      </c>
      <c r="F261">
        <v>9.5</v>
      </c>
      <c r="G261">
        <v>107.2</v>
      </c>
      <c r="H261">
        <v>103</v>
      </c>
      <c r="I261">
        <v>97.7</v>
      </c>
      <c r="J261">
        <v>101</v>
      </c>
      <c r="K261">
        <v>68</v>
      </c>
      <c r="L261">
        <v>198</v>
      </c>
      <c r="M261">
        <v>-0.104</v>
      </c>
      <c r="N261">
        <v>342</v>
      </c>
      <c r="O261">
        <v>6.93</v>
      </c>
      <c r="P261">
        <v>101</v>
      </c>
      <c r="Q261">
        <v>105.9</v>
      </c>
      <c r="R261">
        <v>94</v>
      </c>
      <c r="S261">
        <v>99</v>
      </c>
      <c r="T261">
        <v>112</v>
      </c>
      <c r="U261">
        <v>4.6100000000000003</v>
      </c>
      <c r="V261">
        <v>130</v>
      </c>
    </row>
    <row r="262" spans="1:22" x14ac:dyDescent="0.25">
      <c r="A262">
        <f>COUNTIF('Value Matchup'!$D$356:$D$423,C262)</f>
        <v>0</v>
      </c>
      <c r="B262">
        <v>330</v>
      </c>
      <c r="C262" t="s">
        <v>346</v>
      </c>
      <c r="D262" t="s">
        <v>110</v>
      </c>
      <c r="E262" s="79" t="s">
        <v>613</v>
      </c>
      <c r="F262">
        <v>-14.82</v>
      </c>
      <c r="G262">
        <v>96.5</v>
      </c>
      <c r="H262">
        <v>282</v>
      </c>
      <c r="I262">
        <v>111.3</v>
      </c>
      <c r="J262">
        <v>338</v>
      </c>
      <c r="K262">
        <v>72.099999999999994</v>
      </c>
      <c r="L262">
        <v>39</v>
      </c>
      <c r="M262">
        <v>6.0000000000000001E-3</v>
      </c>
      <c r="N262">
        <v>161</v>
      </c>
      <c r="O262">
        <v>6.14</v>
      </c>
      <c r="P262">
        <v>111</v>
      </c>
      <c r="Q262">
        <v>103.9</v>
      </c>
      <c r="R262">
        <v>148</v>
      </c>
      <c r="S262">
        <v>97.7</v>
      </c>
      <c r="T262">
        <v>92</v>
      </c>
      <c r="U262">
        <v>1.56</v>
      </c>
      <c r="V262">
        <v>187</v>
      </c>
    </row>
    <row r="263" spans="1:22" x14ac:dyDescent="0.25">
      <c r="A263">
        <f>COUNTIF('Value Matchup'!$D$356:$D$423,C263)</f>
        <v>0</v>
      </c>
      <c r="B263">
        <v>154</v>
      </c>
      <c r="C263" t="s">
        <v>347</v>
      </c>
      <c r="D263" t="s">
        <v>150</v>
      </c>
      <c r="E263" s="79" t="s">
        <v>663</v>
      </c>
      <c r="F263">
        <v>2.4300000000000002</v>
      </c>
      <c r="G263">
        <v>100.6</v>
      </c>
      <c r="H263">
        <v>220</v>
      </c>
      <c r="I263">
        <v>98.1</v>
      </c>
      <c r="J263">
        <v>109</v>
      </c>
      <c r="K263">
        <v>70.7</v>
      </c>
      <c r="L263">
        <v>81</v>
      </c>
      <c r="M263">
        <v>0.14699999999999999</v>
      </c>
      <c r="N263">
        <v>4</v>
      </c>
      <c r="O263">
        <v>4.34</v>
      </c>
      <c r="P263">
        <v>130</v>
      </c>
      <c r="Q263">
        <v>103.6</v>
      </c>
      <c r="R263">
        <v>154</v>
      </c>
      <c r="S263">
        <v>99.3</v>
      </c>
      <c r="T263">
        <v>118</v>
      </c>
      <c r="U263">
        <v>-0.5</v>
      </c>
      <c r="V263">
        <v>219</v>
      </c>
    </row>
    <row r="264" spans="1:22" x14ac:dyDescent="0.25">
      <c r="A264">
        <f>COUNTIF('Value Matchup'!$D$356:$D$423,C264)</f>
        <v>0</v>
      </c>
      <c r="B264">
        <v>231</v>
      </c>
      <c r="C264" t="s">
        <v>349</v>
      </c>
      <c r="D264" t="s">
        <v>154</v>
      </c>
      <c r="E264" s="79" t="s">
        <v>660</v>
      </c>
      <c r="F264">
        <v>-4.88</v>
      </c>
      <c r="G264">
        <v>98.6</v>
      </c>
      <c r="H264">
        <v>250</v>
      </c>
      <c r="I264">
        <v>103.4</v>
      </c>
      <c r="J264">
        <v>212</v>
      </c>
      <c r="K264">
        <v>69.099999999999994</v>
      </c>
      <c r="L264">
        <v>146</v>
      </c>
      <c r="M264">
        <v>-3.5999999999999997E-2</v>
      </c>
      <c r="N264">
        <v>257</v>
      </c>
      <c r="O264">
        <v>-3.01</v>
      </c>
      <c r="P264">
        <v>233</v>
      </c>
      <c r="Q264">
        <v>101.5</v>
      </c>
      <c r="R264">
        <v>211</v>
      </c>
      <c r="S264">
        <v>104.5</v>
      </c>
      <c r="T264">
        <v>281</v>
      </c>
      <c r="U264">
        <v>-3.7</v>
      </c>
      <c r="V264">
        <v>262</v>
      </c>
    </row>
    <row r="265" spans="1:22" x14ac:dyDescent="0.25">
      <c r="A265">
        <f>COUNTIF('Value Matchup'!$D$356:$D$423,C265)</f>
        <v>0</v>
      </c>
      <c r="B265">
        <v>52</v>
      </c>
      <c r="C265" t="s">
        <v>87</v>
      </c>
      <c r="D265" t="s">
        <v>149</v>
      </c>
      <c r="E265" s="79" t="s">
        <v>521</v>
      </c>
      <c r="F265">
        <v>16.22</v>
      </c>
      <c r="G265">
        <v>111.1</v>
      </c>
      <c r="H265">
        <v>49</v>
      </c>
      <c r="I265">
        <v>94.9</v>
      </c>
      <c r="J265">
        <v>61</v>
      </c>
      <c r="K265">
        <v>66.8</v>
      </c>
      <c r="L265">
        <v>263</v>
      </c>
      <c r="M265">
        <v>-2.7E-2</v>
      </c>
      <c r="N265">
        <v>239</v>
      </c>
      <c r="O265">
        <v>14.42</v>
      </c>
      <c r="P265">
        <v>26</v>
      </c>
      <c r="Q265">
        <v>109.6</v>
      </c>
      <c r="R265">
        <v>28</v>
      </c>
      <c r="S265">
        <v>95.2</v>
      </c>
      <c r="T265">
        <v>26</v>
      </c>
      <c r="U265">
        <v>11.14</v>
      </c>
      <c r="V265">
        <v>46</v>
      </c>
    </row>
    <row r="266" spans="1:22" x14ac:dyDescent="0.25">
      <c r="A266">
        <f>COUNTIF('Value Matchup'!$D$356:$D$423,C266)</f>
        <v>0</v>
      </c>
      <c r="B266">
        <v>186</v>
      </c>
      <c r="C266" t="s">
        <v>350</v>
      </c>
      <c r="D266" t="s">
        <v>160</v>
      </c>
      <c r="E266" s="79" t="s">
        <v>648</v>
      </c>
      <c r="F266">
        <v>-0.38</v>
      </c>
      <c r="G266">
        <v>100.5</v>
      </c>
      <c r="H266">
        <v>226</v>
      </c>
      <c r="I266">
        <v>100.8</v>
      </c>
      <c r="J266">
        <v>163</v>
      </c>
      <c r="K266">
        <v>66.5</v>
      </c>
      <c r="L266">
        <v>273</v>
      </c>
      <c r="M266">
        <v>-5.7000000000000002E-2</v>
      </c>
      <c r="N266">
        <v>297</v>
      </c>
      <c r="O266">
        <v>-7.5</v>
      </c>
      <c r="P266">
        <v>323</v>
      </c>
      <c r="Q266">
        <v>96.5</v>
      </c>
      <c r="R266">
        <v>332</v>
      </c>
      <c r="S266">
        <v>104</v>
      </c>
      <c r="T266">
        <v>253</v>
      </c>
      <c r="U266">
        <v>-99</v>
      </c>
      <c r="V266">
        <v>331</v>
      </c>
    </row>
    <row r="267" spans="1:22" x14ac:dyDescent="0.25">
      <c r="A267">
        <f>COUNTIF('Value Matchup'!$D$356:$D$423,C267)</f>
        <v>0</v>
      </c>
      <c r="B267">
        <v>320</v>
      </c>
      <c r="C267" t="s">
        <v>351</v>
      </c>
      <c r="D267" t="s">
        <v>131</v>
      </c>
      <c r="E267" s="79" t="s">
        <v>632</v>
      </c>
      <c r="F267">
        <v>-13.08</v>
      </c>
      <c r="G267">
        <v>93.4</v>
      </c>
      <c r="H267">
        <v>318</v>
      </c>
      <c r="I267">
        <v>106.5</v>
      </c>
      <c r="J267">
        <v>275</v>
      </c>
      <c r="K267">
        <v>68.5</v>
      </c>
      <c r="L267">
        <v>172</v>
      </c>
      <c r="M267">
        <v>8.0000000000000002E-3</v>
      </c>
      <c r="N267">
        <v>155</v>
      </c>
      <c r="O267">
        <v>-2.62</v>
      </c>
      <c r="P267">
        <v>226</v>
      </c>
      <c r="Q267">
        <v>101.1</v>
      </c>
      <c r="R267">
        <v>223</v>
      </c>
      <c r="S267">
        <v>103.7</v>
      </c>
      <c r="T267">
        <v>237</v>
      </c>
      <c r="U267">
        <v>3.13</v>
      </c>
      <c r="V267">
        <v>155</v>
      </c>
    </row>
    <row r="268" spans="1:22" x14ac:dyDescent="0.25">
      <c r="A268">
        <f>COUNTIF('Value Matchup'!$D$356:$D$423,C268)</f>
        <v>0</v>
      </c>
      <c r="B268">
        <v>59</v>
      </c>
      <c r="C268" t="s">
        <v>352</v>
      </c>
      <c r="D268" t="s">
        <v>170</v>
      </c>
      <c r="E268" s="79" t="s">
        <v>679</v>
      </c>
      <c r="F268">
        <v>15.22</v>
      </c>
      <c r="G268">
        <v>110.3</v>
      </c>
      <c r="H268">
        <v>60</v>
      </c>
      <c r="I268">
        <v>95.1</v>
      </c>
      <c r="J268">
        <v>64</v>
      </c>
      <c r="K268">
        <v>69</v>
      </c>
      <c r="L268">
        <v>147</v>
      </c>
      <c r="M268">
        <v>2.1999999999999999E-2</v>
      </c>
      <c r="N268">
        <v>125</v>
      </c>
      <c r="O268">
        <v>7.34</v>
      </c>
      <c r="P268">
        <v>97</v>
      </c>
      <c r="Q268">
        <v>104</v>
      </c>
      <c r="R268">
        <v>142</v>
      </c>
      <c r="S268">
        <v>96.6</v>
      </c>
      <c r="T268">
        <v>55</v>
      </c>
      <c r="U268">
        <v>-8.9</v>
      </c>
      <c r="V268">
        <v>308</v>
      </c>
    </row>
    <row r="269" spans="1:22" x14ac:dyDescent="0.25">
      <c r="A269">
        <f>COUNTIF('Value Matchup'!$D$356:$D$423,C269)</f>
        <v>0</v>
      </c>
      <c r="B269">
        <v>217</v>
      </c>
      <c r="C269" t="s">
        <v>353</v>
      </c>
      <c r="D269" t="s">
        <v>123</v>
      </c>
      <c r="E269" s="79" t="s">
        <v>517</v>
      </c>
      <c r="F269">
        <v>-3.46</v>
      </c>
      <c r="G269">
        <v>103.8</v>
      </c>
      <c r="H269">
        <v>158</v>
      </c>
      <c r="I269">
        <v>107.2</v>
      </c>
      <c r="J269">
        <v>289</v>
      </c>
      <c r="K269">
        <v>66.900000000000006</v>
      </c>
      <c r="L269">
        <v>256</v>
      </c>
      <c r="M269">
        <v>4.2999999999999997E-2</v>
      </c>
      <c r="N269">
        <v>87</v>
      </c>
      <c r="O269">
        <v>-3.33</v>
      </c>
      <c r="P269">
        <v>237</v>
      </c>
      <c r="Q269">
        <v>99.2</v>
      </c>
      <c r="R269">
        <v>283</v>
      </c>
      <c r="S269">
        <v>102.5</v>
      </c>
      <c r="T269">
        <v>190</v>
      </c>
      <c r="U269">
        <v>-1.65</v>
      </c>
      <c r="V269">
        <v>237</v>
      </c>
    </row>
    <row r="270" spans="1:22" x14ac:dyDescent="0.25">
      <c r="A270">
        <f>COUNTIF('Value Matchup'!$D$356:$D$423,C270)</f>
        <v>0</v>
      </c>
      <c r="B270">
        <v>122</v>
      </c>
      <c r="C270" t="s">
        <v>354</v>
      </c>
      <c r="D270" t="s">
        <v>114</v>
      </c>
      <c r="E270" s="79" t="s">
        <v>673</v>
      </c>
      <c r="F270">
        <v>6.29</v>
      </c>
      <c r="G270">
        <v>104.4</v>
      </c>
      <c r="H270">
        <v>140</v>
      </c>
      <c r="I270">
        <v>98.1</v>
      </c>
      <c r="J270">
        <v>108</v>
      </c>
      <c r="K270">
        <v>74.900000000000006</v>
      </c>
      <c r="L270">
        <v>3</v>
      </c>
      <c r="M270">
        <v>-5.5E-2</v>
      </c>
      <c r="N270">
        <v>295</v>
      </c>
      <c r="O270">
        <v>14.91</v>
      </c>
      <c r="P270">
        <v>18</v>
      </c>
      <c r="Q270">
        <v>109.3</v>
      </c>
      <c r="R270">
        <v>35</v>
      </c>
      <c r="S270">
        <v>94.4</v>
      </c>
      <c r="T270">
        <v>15</v>
      </c>
      <c r="U270">
        <v>8.25</v>
      </c>
      <c r="V270">
        <v>80</v>
      </c>
    </row>
    <row r="271" spans="1:22" x14ac:dyDescent="0.25">
      <c r="A271">
        <f>COUNTIF('Value Matchup'!$D$356:$D$423,C271)</f>
        <v>0</v>
      </c>
      <c r="B271">
        <v>353</v>
      </c>
      <c r="C271" t="s">
        <v>355</v>
      </c>
      <c r="D271" t="s">
        <v>135</v>
      </c>
      <c r="E271" s="79" t="s">
        <v>680</v>
      </c>
      <c r="F271">
        <v>-23.55</v>
      </c>
      <c r="G271">
        <v>87.8</v>
      </c>
      <c r="H271">
        <v>351</v>
      </c>
      <c r="I271">
        <v>111.3</v>
      </c>
      <c r="J271">
        <v>337</v>
      </c>
      <c r="K271">
        <v>72</v>
      </c>
      <c r="L271">
        <v>42</v>
      </c>
      <c r="M271">
        <v>-0.109</v>
      </c>
      <c r="N271">
        <v>346</v>
      </c>
      <c r="O271">
        <v>-4.67</v>
      </c>
      <c r="P271">
        <v>274</v>
      </c>
      <c r="Q271">
        <v>98.2</v>
      </c>
      <c r="R271">
        <v>308</v>
      </c>
      <c r="S271">
        <v>102.9</v>
      </c>
      <c r="T271">
        <v>207</v>
      </c>
      <c r="U271">
        <v>2</v>
      </c>
      <c r="V271">
        <v>178</v>
      </c>
    </row>
    <row r="272" spans="1:22" x14ac:dyDescent="0.25">
      <c r="A272">
        <f>COUNTIF('Value Matchup'!$D$356:$D$423,C272)</f>
        <v>0</v>
      </c>
      <c r="B272">
        <v>176</v>
      </c>
      <c r="C272" t="s">
        <v>356</v>
      </c>
      <c r="D272" t="s">
        <v>185</v>
      </c>
      <c r="E272" s="79" t="s">
        <v>528</v>
      </c>
      <c r="F272">
        <v>0.98</v>
      </c>
      <c r="G272">
        <v>107.2</v>
      </c>
      <c r="H272">
        <v>101</v>
      </c>
      <c r="I272">
        <v>106.3</v>
      </c>
      <c r="J272">
        <v>272</v>
      </c>
      <c r="K272">
        <v>69.3</v>
      </c>
      <c r="L272">
        <v>135</v>
      </c>
      <c r="M272">
        <v>-1.4999999999999999E-2</v>
      </c>
      <c r="N272">
        <v>214</v>
      </c>
      <c r="O272">
        <v>-1.31</v>
      </c>
      <c r="P272">
        <v>201</v>
      </c>
      <c r="Q272">
        <v>102.6</v>
      </c>
      <c r="R272">
        <v>178</v>
      </c>
      <c r="S272">
        <v>103.9</v>
      </c>
      <c r="T272">
        <v>244</v>
      </c>
      <c r="U272">
        <v>9.67</v>
      </c>
      <c r="V272">
        <v>61</v>
      </c>
    </row>
    <row r="273" spans="1:22" x14ac:dyDescent="0.25">
      <c r="A273">
        <f>COUNTIF('Value Matchup'!$D$356:$D$423,C273)</f>
        <v>0</v>
      </c>
      <c r="B273">
        <v>117</v>
      </c>
      <c r="C273" t="s">
        <v>357</v>
      </c>
      <c r="D273" t="s">
        <v>185</v>
      </c>
      <c r="E273" s="79" t="s">
        <v>536</v>
      </c>
      <c r="F273">
        <v>7.03</v>
      </c>
      <c r="G273">
        <v>111.3</v>
      </c>
      <c r="H273">
        <v>46</v>
      </c>
      <c r="I273">
        <v>104.3</v>
      </c>
      <c r="J273">
        <v>232</v>
      </c>
      <c r="K273">
        <v>71.2</v>
      </c>
      <c r="L273">
        <v>58</v>
      </c>
      <c r="M273">
        <v>8.0000000000000002E-3</v>
      </c>
      <c r="N273">
        <v>154</v>
      </c>
      <c r="O273">
        <v>-0.28000000000000003</v>
      </c>
      <c r="P273">
        <v>181</v>
      </c>
      <c r="Q273">
        <v>102.8</v>
      </c>
      <c r="R273">
        <v>175</v>
      </c>
      <c r="S273">
        <v>103.1</v>
      </c>
      <c r="T273">
        <v>213</v>
      </c>
      <c r="U273">
        <v>7.17</v>
      </c>
      <c r="V273">
        <v>94</v>
      </c>
    </row>
    <row r="274" spans="1:22" x14ac:dyDescent="0.25">
      <c r="A274">
        <f>COUNTIF('Value Matchup'!$D$356:$D$423,C274)</f>
        <v>0</v>
      </c>
      <c r="B274">
        <v>177</v>
      </c>
      <c r="C274" t="s">
        <v>358</v>
      </c>
      <c r="D274" t="s">
        <v>170</v>
      </c>
      <c r="E274" s="79" t="s">
        <v>609</v>
      </c>
      <c r="F274">
        <v>0.7</v>
      </c>
      <c r="G274">
        <v>100.9</v>
      </c>
      <c r="H274">
        <v>213</v>
      </c>
      <c r="I274">
        <v>100.2</v>
      </c>
      <c r="J274">
        <v>149</v>
      </c>
      <c r="K274">
        <v>67</v>
      </c>
      <c r="L274">
        <v>252</v>
      </c>
      <c r="M274">
        <v>4.9000000000000002E-2</v>
      </c>
      <c r="N274">
        <v>75</v>
      </c>
      <c r="O274">
        <v>9.0399999999999991</v>
      </c>
      <c r="P274">
        <v>85</v>
      </c>
      <c r="Q274">
        <v>105.7</v>
      </c>
      <c r="R274">
        <v>101</v>
      </c>
      <c r="S274">
        <v>96.7</v>
      </c>
      <c r="T274">
        <v>56</v>
      </c>
      <c r="U274">
        <v>1.84</v>
      </c>
      <c r="V274">
        <v>183</v>
      </c>
    </row>
    <row r="275" spans="1:22" x14ac:dyDescent="0.25">
      <c r="A275">
        <f>COUNTIF('Value Matchup'!$D$356:$D$423,C275)</f>
        <v>0</v>
      </c>
      <c r="B275">
        <v>269</v>
      </c>
      <c r="C275" t="s">
        <v>359</v>
      </c>
      <c r="D275" t="s">
        <v>131</v>
      </c>
      <c r="E275" s="79" t="s">
        <v>681</v>
      </c>
      <c r="F275">
        <v>-8.3699999999999992</v>
      </c>
      <c r="G275">
        <v>96.3</v>
      </c>
      <c r="H275">
        <v>284</v>
      </c>
      <c r="I275">
        <v>104.6</v>
      </c>
      <c r="J275">
        <v>242</v>
      </c>
      <c r="K275">
        <v>68.7</v>
      </c>
      <c r="L275">
        <v>162</v>
      </c>
      <c r="M275">
        <v>-3.0000000000000001E-3</v>
      </c>
      <c r="N275">
        <v>187</v>
      </c>
      <c r="O275">
        <v>-4.6900000000000004</v>
      </c>
      <c r="P275">
        <v>276</v>
      </c>
      <c r="Q275">
        <v>99.6</v>
      </c>
      <c r="R275">
        <v>271</v>
      </c>
      <c r="S275">
        <v>104.3</v>
      </c>
      <c r="T275">
        <v>266</v>
      </c>
      <c r="U275">
        <v>-1.19</v>
      </c>
      <c r="V275">
        <v>231</v>
      </c>
    </row>
    <row r="276" spans="1:22" x14ac:dyDescent="0.25">
      <c r="A276">
        <f>COUNTIF('Value Matchup'!$D$356:$D$423,C276)</f>
        <v>0</v>
      </c>
      <c r="B276">
        <v>338</v>
      </c>
      <c r="C276" t="s">
        <v>360</v>
      </c>
      <c r="D276" t="s">
        <v>108</v>
      </c>
      <c r="E276" s="79" t="s">
        <v>682</v>
      </c>
      <c r="F276">
        <v>-16.829999999999998</v>
      </c>
      <c r="G276">
        <v>93.3</v>
      </c>
      <c r="H276">
        <v>319</v>
      </c>
      <c r="I276">
        <v>110.2</v>
      </c>
      <c r="J276">
        <v>327</v>
      </c>
      <c r="K276">
        <v>68.900000000000006</v>
      </c>
      <c r="L276">
        <v>153</v>
      </c>
      <c r="M276">
        <v>4.2999999999999997E-2</v>
      </c>
      <c r="N276">
        <v>86</v>
      </c>
      <c r="O276">
        <v>-5.93</v>
      </c>
      <c r="P276">
        <v>300</v>
      </c>
      <c r="Q276">
        <v>99.8</v>
      </c>
      <c r="R276">
        <v>267</v>
      </c>
      <c r="S276">
        <v>105.7</v>
      </c>
      <c r="T276">
        <v>324</v>
      </c>
      <c r="U276">
        <v>4.5199999999999996</v>
      </c>
      <c r="V276">
        <v>133</v>
      </c>
    </row>
    <row r="277" spans="1:22" x14ac:dyDescent="0.25">
      <c r="A277">
        <f>COUNTIF('Value Matchup'!$D$356:$D$423,C277)</f>
        <v>0</v>
      </c>
      <c r="B277">
        <v>311</v>
      </c>
      <c r="C277" t="s">
        <v>361</v>
      </c>
      <c r="D277" t="s">
        <v>116</v>
      </c>
      <c r="E277" s="79" t="s">
        <v>626</v>
      </c>
      <c r="F277">
        <v>-11.91</v>
      </c>
      <c r="G277">
        <v>91.8</v>
      </c>
      <c r="H277">
        <v>331</v>
      </c>
      <c r="I277">
        <v>103.7</v>
      </c>
      <c r="J277">
        <v>220</v>
      </c>
      <c r="K277">
        <v>70.900000000000006</v>
      </c>
      <c r="L277">
        <v>72</v>
      </c>
      <c r="M277">
        <v>-7.4999999999999997E-2</v>
      </c>
      <c r="N277">
        <v>315</v>
      </c>
      <c r="O277">
        <v>-13.54</v>
      </c>
      <c r="P277">
        <v>345</v>
      </c>
      <c r="Q277">
        <v>92.8</v>
      </c>
      <c r="R277">
        <v>345</v>
      </c>
      <c r="S277">
        <v>106.3</v>
      </c>
      <c r="T277">
        <v>337</v>
      </c>
      <c r="U277">
        <v>17.2</v>
      </c>
      <c r="V277">
        <v>13</v>
      </c>
    </row>
    <row r="278" spans="1:22" x14ac:dyDescent="0.25">
      <c r="A278">
        <f>COUNTIF('Value Matchup'!$D$356:$D$423,C278)</f>
        <v>0</v>
      </c>
      <c r="B278">
        <v>193</v>
      </c>
      <c r="C278" t="s">
        <v>362</v>
      </c>
      <c r="D278" t="s">
        <v>143</v>
      </c>
      <c r="E278" s="79" t="s">
        <v>683</v>
      </c>
      <c r="F278">
        <v>-1.45</v>
      </c>
      <c r="G278">
        <v>100.6</v>
      </c>
      <c r="H278">
        <v>221</v>
      </c>
      <c r="I278">
        <v>102</v>
      </c>
      <c r="J278">
        <v>185</v>
      </c>
      <c r="K278">
        <v>66.5</v>
      </c>
      <c r="L278">
        <v>276</v>
      </c>
      <c r="M278">
        <v>7.4999999999999997E-2</v>
      </c>
      <c r="N278">
        <v>37</v>
      </c>
      <c r="O278">
        <v>4.4000000000000004</v>
      </c>
      <c r="P278">
        <v>127</v>
      </c>
      <c r="Q278">
        <v>104.2</v>
      </c>
      <c r="R278">
        <v>139</v>
      </c>
      <c r="S278">
        <v>99.8</v>
      </c>
      <c r="T278">
        <v>127</v>
      </c>
      <c r="U278">
        <v>-4.9800000000000004</v>
      </c>
      <c r="V278">
        <v>278</v>
      </c>
    </row>
    <row r="279" spans="1:22" x14ac:dyDescent="0.25">
      <c r="A279">
        <f>COUNTIF('Value Matchup'!$D$356:$D$423,C279)</f>
        <v>0</v>
      </c>
      <c r="B279">
        <v>254</v>
      </c>
      <c r="C279" t="s">
        <v>363</v>
      </c>
      <c r="D279" t="s">
        <v>166</v>
      </c>
      <c r="E279" s="79" t="s">
        <v>639</v>
      </c>
      <c r="F279">
        <v>-6.92</v>
      </c>
      <c r="G279">
        <v>93.5</v>
      </c>
      <c r="H279">
        <v>316</v>
      </c>
      <c r="I279">
        <v>100.5</v>
      </c>
      <c r="J279">
        <v>154</v>
      </c>
      <c r="K279">
        <v>67.8</v>
      </c>
      <c r="L279">
        <v>216</v>
      </c>
      <c r="M279">
        <v>-7.8E-2</v>
      </c>
      <c r="N279">
        <v>318</v>
      </c>
      <c r="O279">
        <v>0.46</v>
      </c>
      <c r="P279">
        <v>174</v>
      </c>
      <c r="Q279">
        <v>101.5</v>
      </c>
      <c r="R279">
        <v>210</v>
      </c>
      <c r="S279">
        <v>101.1</v>
      </c>
      <c r="T279">
        <v>144</v>
      </c>
      <c r="U279">
        <v>-6.32</v>
      </c>
      <c r="V279">
        <v>293</v>
      </c>
    </row>
    <row r="280" spans="1:22" x14ac:dyDescent="0.25">
      <c r="A280">
        <f>COUNTIF('Value Matchup'!$D$356:$D$423,C280)</f>
        <v>0</v>
      </c>
      <c r="B280">
        <v>140</v>
      </c>
      <c r="C280" t="s">
        <v>364</v>
      </c>
      <c r="D280" t="s">
        <v>197</v>
      </c>
      <c r="E280" s="79" t="s">
        <v>567</v>
      </c>
      <c r="F280">
        <v>3.44</v>
      </c>
      <c r="G280">
        <v>108.6</v>
      </c>
      <c r="H280">
        <v>82</v>
      </c>
      <c r="I280">
        <v>105.2</v>
      </c>
      <c r="J280">
        <v>257</v>
      </c>
      <c r="K280">
        <v>70.2</v>
      </c>
      <c r="L280">
        <v>92</v>
      </c>
      <c r="M280">
        <v>8.2000000000000003E-2</v>
      </c>
      <c r="N280">
        <v>28</v>
      </c>
      <c r="O280">
        <v>-5.22</v>
      </c>
      <c r="P280">
        <v>284</v>
      </c>
      <c r="Q280">
        <v>99.9</v>
      </c>
      <c r="R280">
        <v>262</v>
      </c>
      <c r="S280">
        <v>105.1</v>
      </c>
      <c r="T280">
        <v>309</v>
      </c>
      <c r="U280">
        <v>-1.85</v>
      </c>
      <c r="V280">
        <v>238</v>
      </c>
    </row>
    <row r="281" spans="1:22" x14ac:dyDescent="0.25">
      <c r="A281">
        <f>COUNTIF('Value Matchup'!$D$356:$D$423,C281)</f>
        <v>1</v>
      </c>
      <c r="B281">
        <v>28</v>
      </c>
      <c r="C281" t="s">
        <v>365</v>
      </c>
      <c r="D281" t="s">
        <v>181</v>
      </c>
      <c r="E281" s="79" t="s">
        <v>583</v>
      </c>
      <c r="F281">
        <v>21.32</v>
      </c>
      <c r="G281">
        <v>111.4</v>
      </c>
      <c r="H281">
        <v>44</v>
      </c>
      <c r="I281">
        <v>90.1</v>
      </c>
      <c r="J281">
        <v>20</v>
      </c>
      <c r="K281">
        <v>65.099999999999994</v>
      </c>
      <c r="L281">
        <v>321</v>
      </c>
      <c r="M281">
        <v>8.0000000000000002E-3</v>
      </c>
      <c r="N281">
        <v>156</v>
      </c>
      <c r="O281">
        <v>7.64</v>
      </c>
      <c r="P281">
        <v>95</v>
      </c>
      <c r="Q281">
        <v>105.8</v>
      </c>
      <c r="R281">
        <v>99</v>
      </c>
      <c r="S281">
        <v>98.1</v>
      </c>
      <c r="T281">
        <v>100</v>
      </c>
      <c r="U281">
        <v>2.78</v>
      </c>
      <c r="V281">
        <v>164</v>
      </c>
    </row>
    <row r="282" spans="1:22" x14ac:dyDescent="0.25">
      <c r="A282">
        <f>COUNTIF('Value Matchup'!$D$356:$D$423,C282)</f>
        <v>0</v>
      </c>
      <c r="B282">
        <v>291</v>
      </c>
      <c r="C282" t="s">
        <v>366</v>
      </c>
      <c r="D282" t="s">
        <v>147</v>
      </c>
      <c r="E282" s="79" t="s">
        <v>615</v>
      </c>
      <c r="F282">
        <v>-9.99</v>
      </c>
      <c r="G282">
        <v>102</v>
      </c>
      <c r="H282">
        <v>188</v>
      </c>
      <c r="I282">
        <v>112</v>
      </c>
      <c r="J282">
        <v>344</v>
      </c>
      <c r="K282">
        <v>72.8</v>
      </c>
      <c r="L282">
        <v>22</v>
      </c>
      <c r="M282">
        <v>0.03</v>
      </c>
      <c r="N282">
        <v>108</v>
      </c>
      <c r="O282">
        <v>-8.02</v>
      </c>
      <c r="P282">
        <v>330</v>
      </c>
      <c r="Q282">
        <v>97.3</v>
      </c>
      <c r="R282">
        <v>322</v>
      </c>
      <c r="S282">
        <v>105.3</v>
      </c>
      <c r="T282">
        <v>314</v>
      </c>
      <c r="U282">
        <v>-6.78</v>
      </c>
      <c r="V282">
        <v>300</v>
      </c>
    </row>
    <row r="283" spans="1:22" x14ac:dyDescent="0.25">
      <c r="A283">
        <f>COUNTIF('Value Matchup'!$D$356:$D$423,C283)</f>
        <v>0</v>
      </c>
      <c r="B283">
        <v>301</v>
      </c>
      <c r="C283" t="s">
        <v>367</v>
      </c>
      <c r="D283" t="s">
        <v>147</v>
      </c>
      <c r="E283" s="79" t="s">
        <v>665</v>
      </c>
      <c r="F283">
        <v>-10.82</v>
      </c>
      <c r="G283">
        <v>95.8</v>
      </c>
      <c r="H283">
        <v>291</v>
      </c>
      <c r="I283">
        <v>106.6</v>
      </c>
      <c r="J283">
        <v>279</v>
      </c>
      <c r="K283">
        <v>68.900000000000006</v>
      </c>
      <c r="L283">
        <v>151</v>
      </c>
      <c r="M283">
        <v>-6.6000000000000003E-2</v>
      </c>
      <c r="N283">
        <v>305</v>
      </c>
      <c r="O283">
        <v>-4.9000000000000004</v>
      </c>
      <c r="P283">
        <v>279</v>
      </c>
      <c r="Q283">
        <v>100.2</v>
      </c>
      <c r="R283">
        <v>248</v>
      </c>
      <c r="S283">
        <v>105.1</v>
      </c>
      <c r="T283">
        <v>308</v>
      </c>
      <c r="U283">
        <v>13.03</v>
      </c>
      <c r="V283">
        <v>32</v>
      </c>
    </row>
    <row r="284" spans="1:22" x14ac:dyDescent="0.25">
      <c r="A284">
        <f>COUNTIF('Value Matchup'!$D$356:$D$423,C284)</f>
        <v>0</v>
      </c>
      <c r="B284">
        <v>66</v>
      </c>
      <c r="C284" t="s">
        <v>368</v>
      </c>
      <c r="D284" t="s">
        <v>149</v>
      </c>
      <c r="E284" s="79" t="s">
        <v>569</v>
      </c>
      <c r="F284">
        <v>14.12</v>
      </c>
      <c r="G284">
        <v>112</v>
      </c>
      <c r="H284">
        <v>38</v>
      </c>
      <c r="I284">
        <v>97.9</v>
      </c>
      <c r="J284">
        <v>104</v>
      </c>
      <c r="K284">
        <v>73.7</v>
      </c>
      <c r="L284">
        <v>10</v>
      </c>
      <c r="M284">
        <v>1.4E-2</v>
      </c>
      <c r="N284">
        <v>146</v>
      </c>
      <c r="O284">
        <v>11.08</v>
      </c>
      <c r="P284">
        <v>65</v>
      </c>
      <c r="Q284">
        <v>107.6</v>
      </c>
      <c r="R284">
        <v>72</v>
      </c>
      <c r="S284">
        <v>96.5</v>
      </c>
      <c r="T284">
        <v>50</v>
      </c>
      <c r="U284">
        <v>-3.21</v>
      </c>
      <c r="V284">
        <v>255</v>
      </c>
    </row>
    <row r="285" spans="1:22" x14ac:dyDescent="0.25">
      <c r="A285">
        <f>COUNTIF('Value Matchup'!$D$356:$D$423,C285)</f>
        <v>0</v>
      </c>
      <c r="B285">
        <v>83</v>
      </c>
      <c r="C285" t="s">
        <v>369</v>
      </c>
      <c r="D285" t="s">
        <v>124</v>
      </c>
      <c r="E285" s="79" t="s">
        <v>521</v>
      </c>
      <c r="F285">
        <v>11.66</v>
      </c>
      <c r="G285">
        <v>104.8</v>
      </c>
      <c r="H285">
        <v>130</v>
      </c>
      <c r="I285">
        <v>93.2</v>
      </c>
      <c r="J285">
        <v>45</v>
      </c>
      <c r="K285">
        <v>69.5</v>
      </c>
      <c r="L285">
        <v>119</v>
      </c>
      <c r="M285">
        <v>2.1999999999999999E-2</v>
      </c>
      <c r="N285">
        <v>124</v>
      </c>
      <c r="O285">
        <v>12.5</v>
      </c>
      <c r="P285">
        <v>46</v>
      </c>
      <c r="Q285">
        <v>109</v>
      </c>
      <c r="R285">
        <v>41</v>
      </c>
      <c r="S285">
        <v>96.5</v>
      </c>
      <c r="T285">
        <v>51</v>
      </c>
      <c r="U285">
        <v>9.31</v>
      </c>
      <c r="V285">
        <v>64</v>
      </c>
    </row>
    <row r="286" spans="1:22" x14ac:dyDescent="0.25">
      <c r="A286">
        <f>COUNTIF('Value Matchup'!$D$356:$D$423,C286)</f>
        <v>0</v>
      </c>
      <c r="B286">
        <v>155</v>
      </c>
      <c r="C286" t="s">
        <v>370</v>
      </c>
      <c r="D286" t="s">
        <v>108</v>
      </c>
      <c r="E286" s="79" t="s">
        <v>580</v>
      </c>
      <c r="F286">
        <v>2.41</v>
      </c>
      <c r="G286">
        <v>103.7</v>
      </c>
      <c r="H286">
        <v>159</v>
      </c>
      <c r="I286">
        <v>101.3</v>
      </c>
      <c r="J286">
        <v>175</v>
      </c>
      <c r="K286">
        <v>69.900000000000006</v>
      </c>
      <c r="L286">
        <v>104</v>
      </c>
      <c r="M286">
        <v>4.7E-2</v>
      </c>
      <c r="N286">
        <v>79</v>
      </c>
      <c r="O286">
        <v>-8.35</v>
      </c>
      <c r="P286">
        <v>335</v>
      </c>
      <c r="Q286">
        <v>97.8</v>
      </c>
      <c r="R286">
        <v>317</v>
      </c>
      <c r="S286">
        <v>106.1</v>
      </c>
      <c r="T286">
        <v>334</v>
      </c>
      <c r="U286">
        <v>-2.89</v>
      </c>
      <c r="V286">
        <v>253</v>
      </c>
    </row>
    <row r="287" spans="1:22" x14ac:dyDescent="0.25">
      <c r="A287">
        <f>COUNTIF('Value Matchup'!$D$356:$D$423,C287)</f>
        <v>0</v>
      </c>
      <c r="B287">
        <v>248</v>
      </c>
      <c r="C287" t="s">
        <v>371</v>
      </c>
      <c r="D287" t="s">
        <v>206</v>
      </c>
      <c r="E287" s="79" t="s">
        <v>597</v>
      </c>
      <c r="F287">
        <v>-5.94</v>
      </c>
      <c r="G287">
        <v>101.7</v>
      </c>
      <c r="H287">
        <v>194</v>
      </c>
      <c r="I287">
        <v>107.7</v>
      </c>
      <c r="J287">
        <v>296</v>
      </c>
      <c r="K287">
        <v>68.8</v>
      </c>
      <c r="L287">
        <v>160</v>
      </c>
      <c r="M287">
        <v>-1.4E-2</v>
      </c>
      <c r="N287">
        <v>213</v>
      </c>
      <c r="O287">
        <v>-3.51</v>
      </c>
      <c r="P287">
        <v>243</v>
      </c>
      <c r="Q287">
        <v>101</v>
      </c>
      <c r="R287">
        <v>225</v>
      </c>
      <c r="S287">
        <v>104.5</v>
      </c>
      <c r="T287">
        <v>275</v>
      </c>
      <c r="U287">
        <v>7.63</v>
      </c>
      <c r="V287">
        <v>87</v>
      </c>
    </row>
    <row r="288" spans="1:22" ht="16.5" customHeight="1" x14ac:dyDescent="0.25">
      <c r="A288">
        <f>COUNTIF('Value Matchup'!$D$356:$D$423,C288)</f>
        <v>0</v>
      </c>
      <c r="B288">
        <v>230</v>
      </c>
      <c r="C288" t="s">
        <v>90</v>
      </c>
      <c r="D288" t="s">
        <v>118</v>
      </c>
      <c r="E288" s="79" t="s">
        <v>684</v>
      </c>
      <c r="F288">
        <v>-4.79</v>
      </c>
      <c r="G288">
        <v>95.5</v>
      </c>
      <c r="H288">
        <v>298</v>
      </c>
      <c r="I288">
        <v>100.3</v>
      </c>
      <c r="J288">
        <v>150</v>
      </c>
      <c r="K288">
        <v>66.8</v>
      </c>
      <c r="L288">
        <v>267</v>
      </c>
      <c r="M288">
        <v>-0.09</v>
      </c>
      <c r="N288">
        <v>331</v>
      </c>
      <c r="O288">
        <v>-3.17</v>
      </c>
      <c r="P288">
        <v>235</v>
      </c>
      <c r="Q288">
        <v>100.1</v>
      </c>
      <c r="R288">
        <v>253</v>
      </c>
      <c r="S288">
        <v>103.3</v>
      </c>
      <c r="T288">
        <v>223</v>
      </c>
      <c r="U288">
        <v>2.33</v>
      </c>
      <c r="V288">
        <v>174</v>
      </c>
    </row>
    <row r="289" spans="1:22" ht="15.75" customHeight="1" x14ac:dyDescent="0.25">
      <c r="A289">
        <f>COUNTIF('Value Matchup'!$D$356:$D$423,C289)</f>
        <v>1</v>
      </c>
      <c r="B289">
        <v>41</v>
      </c>
      <c r="C289" t="s">
        <v>86</v>
      </c>
      <c r="D289" t="s">
        <v>139</v>
      </c>
      <c r="E289" s="79" t="s">
        <v>550</v>
      </c>
      <c r="F289">
        <v>17.62</v>
      </c>
      <c r="G289">
        <v>114.6</v>
      </c>
      <c r="H289">
        <v>22</v>
      </c>
      <c r="I289">
        <v>96.9</v>
      </c>
      <c r="J289">
        <v>88</v>
      </c>
      <c r="K289">
        <v>69.2</v>
      </c>
      <c r="L289">
        <v>138</v>
      </c>
      <c r="M289">
        <v>1.7000000000000001E-2</v>
      </c>
      <c r="N289">
        <v>139</v>
      </c>
      <c r="O289">
        <v>11.62</v>
      </c>
      <c r="P289">
        <v>57</v>
      </c>
      <c r="Q289">
        <v>108.5</v>
      </c>
      <c r="R289">
        <v>51</v>
      </c>
      <c r="S289">
        <v>96.9</v>
      </c>
      <c r="T289">
        <v>63</v>
      </c>
      <c r="U289">
        <v>2.42</v>
      </c>
      <c r="V289">
        <v>171</v>
      </c>
    </row>
    <row r="290" spans="1:22" x14ac:dyDescent="0.25">
      <c r="A290">
        <f>COUNTIF('Value Matchup'!$D$356:$D$423,C290)</f>
        <v>0</v>
      </c>
      <c r="B290">
        <v>266</v>
      </c>
      <c r="C290" t="s">
        <v>584</v>
      </c>
      <c r="D290" t="s">
        <v>154</v>
      </c>
      <c r="E290" s="79" t="s">
        <v>685</v>
      </c>
      <c r="F290">
        <v>-8.0399999999999991</v>
      </c>
      <c r="G290">
        <v>97.4</v>
      </c>
      <c r="H290">
        <v>272</v>
      </c>
      <c r="I290">
        <v>105.4</v>
      </c>
      <c r="J290">
        <v>261</v>
      </c>
      <c r="K290">
        <v>64.7</v>
      </c>
      <c r="L290">
        <v>334</v>
      </c>
      <c r="M290">
        <v>-5.1999999999999998E-2</v>
      </c>
      <c r="N290">
        <v>290</v>
      </c>
      <c r="O290">
        <v>-0.4</v>
      </c>
      <c r="P290">
        <v>183</v>
      </c>
      <c r="Q290">
        <v>101.3</v>
      </c>
      <c r="R290">
        <v>220</v>
      </c>
      <c r="S290">
        <v>101.7</v>
      </c>
      <c r="T290">
        <v>166</v>
      </c>
      <c r="U290">
        <v>10.56</v>
      </c>
      <c r="V290">
        <v>51</v>
      </c>
    </row>
    <row r="291" spans="1:22" x14ac:dyDescent="0.25">
      <c r="A291">
        <f>COUNTIF('Value Matchup'!$D$356:$D$423,C291)</f>
        <v>0</v>
      </c>
      <c r="B291">
        <v>139</v>
      </c>
      <c r="C291" t="s">
        <v>372</v>
      </c>
      <c r="D291" t="s">
        <v>133</v>
      </c>
      <c r="E291" s="79" t="s">
        <v>683</v>
      </c>
      <c r="F291">
        <v>3.85</v>
      </c>
      <c r="G291">
        <v>105</v>
      </c>
      <c r="H291">
        <v>126</v>
      </c>
      <c r="I291">
        <v>101.2</v>
      </c>
      <c r="J291">
        <v>170</v>
      </c>
      <c r="K291">
        <v>67</v>
      </c>
      <c r="L291">
        <v>255</v>
      </c>
      <c r="M291">
        <v>8.8999999999999996E-2</v>
      </c>
      <c r="N291">
        <v>23</v>
      </c>
      <c r="O291">
        <v>11.09</v>
      </c>
      <c r="P291">
        <v>64</v>
      </c>
      <c r="Q291">
        <v>107.4</v>
      </c>
      <c r="R291">
        <v>74</v>
      </c>
      <c r="S291">
        <v>96.3</v>
      </c>
      <c r="T291">
        <v>46</v>
      </c>
      <c r="U291">
        <v>-0.23</v>
      </c>
      <c r="V291">
        <v>214</v>
      </c>
    </row>
    <row r="292" spans="1:22" x14ac:dyDescent="0.25">
      <c r="A292">
        <f>COUNTIF('Value Matchup'!$D$356:$D$423,C292)</f>
        <v>0</v>
      </c>
      <c r="B292">
        <v>137</v>
      </c>
      <c r="C292" t="s">
        <v>373</v>
      </c>
      <c r="D292" t="s">
        <v>170</v>
      </c>
      <c r="E292" s="79" t="s">
        <v>641</v>
      </c>
      <c r="F292">
        <v>3.87</v>
      </c>
      <c r="G292">
        <v>102</v>
      </c>
      <c r="H292">
        <v>187</v>
      </c>
      <c r="I292">
        <v>98.2</v>
      </c>
      <c r="J292">
        <v>111</v>
      </c>
      <c r="K292">
        <v>68.900000000000006</v>
      </c>
      <c r="L292">
        <v>149</v>
      </c>
      <c r="M292">
        <v>-9.1999999999999998E-2</v>
      </c>
      <c r="N292">
        <v>334</v>
      </c>
      <c r="O292">
        <v>8.02</v>
      </c>
      <c r="P292">
        <v>91</v>
      </c>
      <c r="Q292">
        <v>105.2</v>
      </c>
      <c r="R292">
        <v>111</v>
      </c>
      <c r="S292">
        <v>97.2</v>
      </c>
      <c r="T292">
        <v>75</v>
      </c>
      <c r="U292">
        <v>-13.59</v>
      </c>
      <c r="V292">
        <v>324</v>
      </c>
    </row>
    <row r="293" spans="1:22" x14ac:dyDescent="0.25">
      <c r="A293">
        <f>COUNTIF('Value Matchup'!$D$356:$D$423,C293)</f>
        <v>1</v>
      </c>
      <c r="B293">
        <v>21</v>
      </c>
      <c r="C293" t="s">
        <v>374</v>
      </c>
      <c r="D293" t="s">
        <v>114</v>
      </c>
      <c r="E293" s="79" t="s">
        <v>527</v>
      </c>
      <c r="F293">
        <v>22.5</v>
      </c>
      <c r="G293">
        <v>109.6</v>
      </c>
      <c r="H293">
        <v>71</v>
      </c>
      <c r="I293">
        <v>87.1</v>
      </c>
      <c r="J293">
        <v>4</v>
      </c>
      <c r="K293">
        <v>67.3</v>
      </c>
      <c r="L293">
        <v>236</v>
      </c>
      <c r="M293">
        <v>-7.0000000000000001E-3</v>
      </c>
      <c r="N293">
        <v>199</v>
      </c>
      <c r="O293">
        <v>12.46</v>
      </c>
      <c r="P293">
        <v>47</v>
      </c>
      <c r="Q293">
        <v>108.3</v>
      </c>
      <c r="R293">
        <v>54</v>
      </c>
      <c r="S293">
        <v>95.8</v>
      </c>
      <c r="T293">
        <v>39</v>
      </c>
      <c r="U293">
        <v>-0.56000000000000005</v>
      </c>
      <c r="V293">
        <v>221</v>
      </c>
    </row>
    <row r="294" spans="1:22" x14ac:dyDescent="0.25">
      <c r="A294">
        <f>COUNTIF('Value Matchup'!$D$356:$D$423,C294)</f>
        <v>0</v>
      </c>
      <c r="B294">
        <v>347</v>
      </c>
      <c r="C294" t="s">
        <v>375</v>
      </c>
      <c r="D294" t="s">
        <v>131</v>
      </c>
      <c r="E294" s="79" t="s">
        <v>686</v>
      </c>
      <c r="F294">
        <v>-19.3</v>
      </c>
      <c r="G294">
        <v>93</v>
      </c>
      <c r="H294">
        <v>320</v>
      </c>
      <c r="I294">
        <v>112.3</v>
      </c>
      <c r="J294">
        <v>347</v>
      </c>
      <c r="K294">
        <v>67.7</v>
      </c>
      <c r="L294">
        <v>219</v>
      </c>
      <c r="M294">
        <v>0.122</v>
      </c>
      <c r="N294">
        <v>8</v>
      </c>
      <c r="O294">
        <v>-2.8</v>
      </c>
      <c r="P294">
        <v>228</v>
      </c>
      <c r="Q294">
        <v>101</v>
      </c>
      <c r="R294">
        <v>226</v>
      </c>
      <c r="S294">
        <v>103.8</v>
      </c>
      <c r="T294">
        <v>238</v>
      </c>
      <c r="U294">
        <v>-1.48</v>
      </c>
      <c r="V294">
        <v>234</v>
      </c>
    </row>
    <row r="295" spans="1:22" x14ac:dyDescent="0.25">
      <c r="A295">
        <f>COUNTIF('Value Matchup'!$D$356:$D$423,C295)</f>
        <v>0</v>
      </c>
      <c r="B295">
        <v>318</v>
      </c>
      <c r="C295" t="s">
        <v>376</v>
      </c>
      <c r="D295" t="s">
        <v>131</v>
      </c>
      <c r="E295" s="79" t="s">
        <v>687</v>
      </c>
      <c r="F295">
        <v>-12.86</v>
      </c>
      <c r="G295">
        <v>91</v>
      </c>
      <c r="H295">
        <v>339</v>
      </c>
      <c r="I295">
        <v>103.9</v>
      </c>
      <c r="J295">
        <v>223</v>
      </c>
      <c r="K295">
        <v>71.5</v>
      </c>
      <c r="L295">
        <v>48</v>
      </c>
      <c r="M295">
        <v>-0.10299999999999999</v>
      </c>
      <c r="N295">
        <v>341</v>
      </c>
      <c r="O295">
        <v>-3.71</v>
      </c>
      <c r="P295">
        <v>248</v>
      </c>
      <c r="Q295">
        <v>100.5</v>
      </c>
      <c r="R295">
        <v>238</v>
      </c>
      <c r="S295">
        <v>104.2</v>
      </c>
      <c r="T295">
        <v>265</v>
      </c>
      <c r="U295">
        <v>-2.5</v>
      </c>
      <c r="V295">
        <v>250</v>
      </c>
    </row>
    <row r="296" spans="1:22" ht="15.75" customHeight="1" x14ac:dyDescent="0.25">
      <c r="A296">
        <f>COUNTIF('Value Matchup'!$D$356:$D$423,C296)</f>
        <v>0</v>
      </c>
      <c r="B296">
        <v>313</v>
      </c>
      <c r="C296" t="s">
        <v>377</v>
      </c>
      <c r="D296" t="s">
        <v>131</v>
      </c>
      <c r="E296" s="79" t="s">
        <v>688</v>
      </c>
      <c r="F296">
        <v>-12.09</v>
      </c>
      <c r="G296">
        <v>96.9</v>
      </c>
      <c r="H296">
        <v>280</v>
      </c>
      <c r="I296">
        <v>109</v>
      </c>
      <c r="J296">
        <v>313</v>
      </c>
      <c r="K296">
        <v>69.099999999999994</v>
      </c>
      <c r="L296">
        <v>143</v>
      </c>
      <c r="M296">
        <v>-5.5E-2</v>
      </c>
      <c r="N296">
        <v>294</v>
      </c>
      <c r="O296">
        <v>7.0000000000000007E-2</v>
      </c>
      <c r="P296">
        <v>175</v>
      </c>
      <c r="Q296">
        <v>102.2</v>
      </c>
      <c r="R296">
        <v>191</v>
      </c>
      <c r="S296">
        <v>102.1</v>
      </c>
      <c r="T296">
        <v>177</v>
      </c>
      <c r="U296">
        <v>10.88</v>
      </c>
      <c r="V296">
        <v>48</v>
      </c>
    </row>
    <row r="297" spans="1:22" x14ac:dyDescent="0.25">
      <c r="A297">
        <f>COUNTIF('Value Matchup'!$D$356:$D$423,C297)</f>
        <v>1</v>
      </c>
      <c r="B297">
        <v>25</v>
      </c>
      <c r="C297" t="s">
        <v>34</v>
      </c>
      <c r="D297" t="s">
        <v>133</v>
      </c>
      <c r="E297" s="79" t="s">
        <v>537</v>
      </c>
      <c r="F297">
        <v>21.96</v>
      </c>
      <c r="G297">
        <v>114.6</v>
      </c>
      <c r="H297">
        <v>21</v>
      </c>
      <c r="I297">
        <v>92.6</v>
      </c>
      <c r="J297">
        <v>36</v>
      </c>
      <c r="K297">
        <v>69.2</v>
      </c>
      <c r="L297">
        <v>136</v>
      </c>
      <c r="M297">
        <v>1.7000000000000001E-2</v>
      </c>
      <c r="N297">
        <v>142</v>
      </c>
      <c r="O297">
        <v>13.99</v>
      </c>
      <c r="P297">
        <v>30</v>
      </c>
      <c r="Q297">
        <v>109</v>
      </c>
      <c r="R297">
        <v>40</v>
      </c>
      <c r="S297">
        <v>95</v>
      </c>
      <c r="T297">
        <v>23</v>
      </c>
      <c r="U297">
        <v>8.27</v>
      </c>
      <c r="V297">
        <v>79</v>
      </c>
    </row>
    <row r="298" spans="1:22" x14ac:dyDescent="0.25">
      <c r="A298">
        <f>COUNTIF('Value Matchup'!$D$356:$D$423,C298)</f>
        <v>0</v>
      </c>
      <c r="B298">
        <v>134</v>
      </c>
      <c r="C298" t="s">
        <v>79</v>
      </c>
      <c r="D298" t="s">
        <v>114</v>
      </c>
      <c r="E298" s="79" t="s">
        <v>650</v>
      </c>
      <c r="F298">
        <v>4.28</v>
      </c>
      <c r="G298">
        <v>102.5</v>
      </c>
      <c r="H298">
        <v>181</v>
      </c>
      <c r="I298">
        <v>98.2</v>
      </c>
      <c r="J298">
        <v>113</v>
      </c>
      <c r="K298">
        <v>64.599999999999994</v>
      </c>
      <c r="L298">
        <v>336</v>
      </c>
      <c r="M298">
        <v>1.7999999999999999E-2</v>
      </c>
      <c r="N298">
        <v>135</v>
      </c>
      <c r="O298">
        <v>8.4</v>
      </c>
      <c r="P298">
        <v>88</v>
      </c>
      <c r="Q298">
        <v>106.5</v>
      </c>
      <c r="R298">
        <v>87</v>
      </c>
      <c r="S298">
        <v>98.1</v>
      </c>
      <c r="T298">
        <v>99</v>
      </c>
      <c r="U298">
        <v>-6.39</v>
      </c>
      <c r="V298">
        <v>296</v>
      </c>
    </row>
    <row r="299" spans="1:22" x14ac:dyDescent="0.25">
      <c r="A299">
        <f>COUNTIF('Value Matchup'!$D$356:$D$423,C299)</f>
        <v>0</v>
      </c>
      <c r="B299">
        <v>345</v>
      </c>
      <c r="C299" t="s">
        <v>378</v>
      </c>
      <c r="D299" t="s">
        <v>108</v>
      </c>
      <c r="E299" s="79" t="s">
        <v>612</v>
      </c>
      <c r="F299">
        <v>-18.32</v>
      </c>
      <c r="G299">
        <v>89.8</v>
      </c>
      <c r="H299">
        <v>347</v>
      </c>
      <c r="I299">
        <v>108.1</v>
      </c>
      <c r="J299">
        <v>304</v>
      </c>
      <c r="K299">
        <v>69.900000000000006</v>
      </c>
      <c r="L299">
        <v>107</v>
      </c>
      <c r="M299">
        <v>-9.2999999999999999E-2</v>
      </c>
      <c r="N299">
        <v>336</v>
      </c>
      <c r="O299">
        <v>-4.33</v>
      </c>
      <c r="P299">
        <v>262</v>
      </c>
      <c r="Q299">
        <v>98.7</v>
      </c>
      <c r="R299">
        <v>294</v>
      </c>
      <c r="S299">
        <v>103</v>
      </c>
      <c r="T299">
        <v>211</v>
      </c>
      <c r="U299">
        <v>2.87</v>
      </c>
      <c r="V299">
        <v>161</v>
      </c>
    </row>
    <row r="300" spans="1:22" x14ac:dyDescent="0.25">
      <c r="A300">
        <f>COUNTIF('Value Matchup'!$D$356:$D$423,C300)</f>
        <v>1</v>
      </c>
      <c r="B300">
        <v>229</v>
      </c>
      <c r="C300" t="s">
        <v>379</v>
      </c>
      <c r="D300" t="s">
        <v>116</v>
      </c>
      <c r="E300" s="79" t="s">
        <v>530</v>
      </c>
      <c r="F300">
        <v>-4.66</v>
      </c>
      <c r="G300">
        <v>99.7</v>
      </c>
      <c r="H300">
        <v>236</v>
      </c>
      <c r="I300">
        <v>104.4</v>
      </c>
      <c r="J300">
        <v>235</v>
      </c>
      <c r="K300">
        <v>72</v>
      </c>
      <c r="L300">
        <v>41</v>
      </c>
      <c r="M300">
        <v>5.5E-2</v>
      </c>
      <c r="N300">
        <v>61</v>
      </c>
      <c r="O300">
        <v>-10.27</v>
      </c>
      <c r="P300">
        <v>341</v>
      </c>
      <c r="Q300">
        <v>94</v>
      </c>
      <c r="R300">
        <v>341</v>
      </c>
      <c r="S300">
        <v>104.3</v>
      </c>
      <c r="T300">
        <v>267</v>
      </c>
      <c r="U300">
        <v>13.36</v>
      </c>
      <c r="V300">
        <v>30</v>
      </c>
    </row>
    <row r="301" spans="1:22" x14ac:dyDescent="0.25">
      <c r="A301">
        <f>COUNTIF('Value Matchup'!$D$356:$D$423,C301)</f>
        <v>0</v>
      </c>
      <c r="B301">
        <v>185</v>
      </c>
      <c r="C301" t="s">
        <v>380</v>
      </c>
      <c r="D301" t="s">
        <v>123</v>
      </c>
      <c r="E301" s="79" t="s">
        <v>578</v>
      </c>
      <c r="F301">
        <v>-0.1</v>
      </c>
      <c r="G301">
        <v>100</v>
      </c>
      <c r="H301">
        <v>229</v>
      </c>
      <c r="I301">
        <v>100.1</v>
      </c>
      <c r="J301">
        <v>141</v>
      </c>
      <c r="K301">
        <v>62.8</v>
      </c>
      <c r="L301">
        <v>354</v>
      </c>
      <c r="M301">
        <v>7.1999999999999995E-2</v>
      </c>
      <c r="N301">
        <v>41</v>
      </c>
      <c r="O301">
        <v>-6.69</v>
      </c>
      <c r="P301">
        <v>315</v>
      </c>
      <c r="Q301">
        <v>98.2</v>
      </c>
      <c r="R301">
        <v>310</v>
      </c>
      <c r="S301">
        <v>104.9</v>
      </c>
      <c r="T301">
        <v>296</v>
      </c>
      <c r="U301">
        <v>-9.0299999999999994</v>
      </c>
      <c r="V301">
        <v>309</v>
      </c>
    </row>
    <row r="302" spans="1:22" x14ac:dyDescent="0.25">
      <c r="A302">
        <f>COUNTIF('Value Matchup'!$D$356:$D$423,C302)</f>
        <v>1</v>
      </c>
      <c r="B302">
        <v>24</v>
      </c>
      <c r="C302" t="s">
        <v>92</v>
      </c>
      <c r="D302" t="s">
        <v>133</v>
      </c>
      <c r="E302" s="79" t="s">
        <v>534</v>
      </c>
      <c r="F302">
        <v>22.28</v>
      </c>
      <c r="G302">
        <v>113.1</v>
      </c>
      <c r="H302">
        <v>33</v>
      </c>
      <c r="I302">
        <v>90.8</v>
      </c>
      <c r="J302">
        <v>24</v>
      </c>
      <c r="K302">
        <v>65.400000000000006</v>
      </c>
      <c r="L302">
        <v>316</v>
      </c>
      <c r="M302">
        <v>-9.0999999999999998E-2</v>
      </c>
      <c r="N302">
        <v>333</v>
      </c>
      <c r="O302">
        <v>11.21</v>
      </c>
      <c r="P302">
        <v>59</v>
      </c>
      <c r="Q302">
        <v>108</v>
      </c>
      <c r="R302">
        <v>60</v>
      </c>
      <c r="S302">
        <v>96.7</v>
      </c>
      <c r="T302">
        <v>59</v>
      </c>
      <c r="U302">
        <v>-5.61</v>
      </c>
      <c r="V302">
        <v>288</v>
      </c>
    </row>
    <row r="303" spans="1:22" x14ac:dyDescent="0.25">
      <c r="A303">
        <f>COUNTIF('Value Matchup'!$D$356:$D$423,C303)</f>
        <v>0</v>
      </c>
      <c r="B303">
        <v>216</v>
      </c>
      <c r="C303" t="s">
        <v>381</v>
      </c>
      <c r="D303" t="s">
        <v>168</v>
      </c>
      <c r="E303" s="79" t="s">
        <v>548</v>
      </c>
      <c r="F303">
        <v>-3.39</v>
      </c>
      <c r="G303">
        <v>104.7</v>
      </c>
      <c r="H303">
        <v>134</v>
      </c>
      <c r="I303">
        <v>108.1</v>
      </c>
      <c r="J303">
        <v>303</v>
      </c>
      <c r="K303">
        <v>74.5</v>
      </c>
      <c r="L303">
        <v>5</v>
      </c>
      <c r="M303">
        <v>6.4000000000000001E-2</v>
      </c>
      <c r="N303">
        <v>49</v>
      </c>
      <c r="O303">
        <v>2.4</v>
      </c>
      <c r="P303">
        <v>154</v>
      </c>
      <c r="Q303">
        <v>104.1</v>
      </c>
      <c r="R303">
        <v>141</v>
      </c>
      <c r="S303">
        <v>101.6</v>
      </c>
      <c r="T303">
        <v>162</v>
      </c>
      <c r="U303">
        <v>-10.61</v>
      </c>
      <c r="V303">
        <v>316</v>
      </c>
    </row>
    <row r="304" spans="1:22" x14ac:dyDescent="0.25">
      <c r="A304">
        <f>COUNTIF('Value Matchup'!$D$356:$D$423,C304)</f>
        <v>0</v>
      </c>
      <c r="B304">
        <v>62</v>
      </c>
      <c r="C304" t="s">
        <v>382</v>
      </c>
      <c r="D304" t="s">
        <v>112</v>
      </c>
      <c r="E304" s="79" t="s">
        <v>559</v>
      </c>
      <c r="F304">
        <v>14.57</v>
      </c>
      <c r="G304">
        <v>115.6</v>
      </c>
      <c r="H304">
        <v>13</v>
      </c>
      <c r="I304">
        <v>101.1</v>
      </c>
      <c r="J304">
        <v>166</v>
      </c>
      <c r="K304">
        <v>69.099999999999994</v>
      </c>
      <c r="L304">
        <v>144</v>
      </c>
      <c r="M304">
        <v>-1.9E-2</v>
      </c>
      <c r="N304">
        <v>224</v>
      </c>
      <c r="O304">
        <v>2.99</v>
      </c>
      <c r="P304">
        <v>148</v>
      </c>
      <c r="Q304">
        <v>104.7</v>
      </c>
      <c r="R304">
        <v>125</v>
      </c>
      <c r="S304">
        <v>101.7</v>
      </c>
      <c r="T304">
        <v>168</v>
      </c>
      <c r="U304">
        <v>5.88</v>
      </c>
      <c r="V304">
        <v>108</v>
      </c>
    </row>
    <row r="305" spans="1:22" x14ac:dyDescent="0.25">
      <c r="A305">
        <f>COUNTIF('Value Matchup'!$D$356:$D$423,C305)</f>
        <v>0</v>
      </c>
      <c r="B305">
        <v>297</v>
      </c>
      <c r="C305" t="s">
        <v>383</v>
      </c>
      <c r="D305" t="s">
        <v>175</v>
      </c>
      <c r="E305" s="79" t="s">
        <v>593</v>
      </c>
      <c r="F305">
        <v>-10.43</v>
      </c>
      <c r="G305">
        <v>99.9</v>
      </c>
      <c r="H305">
        <v>231</v>
      </c>
      <c r="I305">
        <v>110.3</v>
      </c>
      <c r="J305">
        <v>330</v>
      </c>
      <c r="K305">
        <v>66.099999999999994</v>
      </c>
      <c r="L305">
        <v>296</v>
      </c>
      <c r="M305">
        <v>-2.1999999999999999E-2</v>
      </c>
      <c r="N305">
        <v>230</v>
      </c>
      <c r="O305">
        <v>-0.45</v>
      </c>
      <c r="P305">
        <v>184</v>
      </c>
      <c r="Q305">
        <v>102.2</v>
      </c>
      <c r="R305">
        <v>188</v>
      </c>
      <c r="S305">
        <v>102.7</v>
      </c>
      <c r="T305">
        <v>197</v>
      </c>
      <c r="U305">
        <v>8.69</v>
      </c>
      <c r="V305">
        <v>71</v>
      </c>
    </row>
    <row r="306" spans="1:22" x14ac:dyDescent="0.25">
      <c r="A306">
        <f>COUNTIF('Value Matchup'!$D$356:$D$423,C306)</f>
        <v>0</v>
      </c>
      <c r="B306">
        <v>304</v>
      </c>
      <c r="C306" t="s">
        <v>384</v>
      </c>
      <c r="D306" t="s">
        <v>123</v>
      </c>
      <c r="E306" s="79" t="s">
        <v>689</v>
      </c>
      <c r="F306">
        <v>-10.96</v>
      </c>
      <c r="G306">
        <v>92.8</v>
      </c>
      <c r="H306">
        <v>323</v>
      </c>
      <c r="I306">
        <v>103.8</v>
      </c>
      <c r="J306">
        <v>222</v>
      </c>
      <c r="K306">
        <v>68.599999999999994</v>
      </c>
      <c r="L306">
        <v>167</v>
      </c>
      <c r="M306">
        <v>3.5999999999999997E-2</v>
      </c>
      <c r="N306">
        <v>96</v>
      </c>
      <c r="O306">
        <v>-0.98</v>
      </c>
      <c r="P306">
        <v>196</v>
      </c>
      <c r="Q306">
        <v>101.2</v>
      </c>
      <c r="R306">
        <v>221</v>
      </c>
      <c r="S306">
        <v>102.2</v>
      </c>
      <c r="T306">
        <v>179</v>
      </c>
      <c r="U306">
        <v>3.12</v>
      </c>
      <c r="V306">
        <v>157</v>
      </c>
    </row>
    <row r="307" spans="1:22" x14ac:dyDescent="0.25">
      <c r="A307">
        <f>COUNTIF('Value Matchup'!$D$356:$D$423,C307)</f>
        <v>0</v>
      </c>
      <c r="B307">
        <v>151</v>
      </c>
      <c r="C307" t="s">
        <v>385</v>
      </c>
      <c r="D307" t="s">
        <v>170</v>
      </c>
      <c r="E307" s="79" t="s">
        <v>601</v>
      </c>
      <c r="F307">
        <v>2.76</v>
      </c>
      <c r="G307">
        <v>99.9</v>
      </c>
      <c r="H307">
        <v>230</v>
      </c>
      <c r="I307">
        <v>97.2</v>
      </c>
      <c r="J307">
        <v>94</v>
      </c>
      <c r="K307">
        <v>67.599999999999994</v>
      </c>
      <c r="L307">
        <v>224</v>
      </c>
      <c r="M307">
        <v>1.2999999999999999E-2</v>
      </c>
      <c r="N307">
        <v>147</v>
      </c>
      <c r="O307">
        <v>6.31</v>
      </c>
      <c r="P307">
        <v>107</v>
      </c>
      <c r="Q307">
        <v>103.9</v>
      </c>
      <c r="R307">
        <v>145</v>
      </c>
      <c r="S307">
        <v>97.6</v>
      </c>
      <c r="T307">
        <v>82</v>
      </c>
      <c r="U307">
        <v>-15.4</v>
      </c>
      <c r="V307">
        <v>325</v>
      </c>
    </row>
    <row r="308" spans="1:22" x14ac:dyDescent="0.25">
      <c r="A308">
        <f>COUNTIF('Value Matchup'!$D$356:$D$423,C308)</f>
        <v>0</v>
      </c>
      <c r="B308">
        <v>125</v>
      </c>
      <c r="C308" t="s">
        <v>94</v>
      </c>
      <c r="D308" t="s">
        <v>170</v>
      </c>
      <c r="E308" s="79" t="s">
        <v>690</v>
      </c>
      <c r="F308">
        <v>5.91</v>
      </c>
      <c r="G308">
        <v>103</v>
      </c>
      <c r="H308">
        <v>170</v>
      </c>
      <c r="I308">
        <v>97.1</v>
      </c>
      <c r="J308">
        <v>90</v>
      </c>
      <c r="K308">
        <v>65.8</v>
      </c>
      <c r="L308">
        <v>306</v>
      </c>
      <c r="M308">
        <v>-2.4E-2</v>
      </c>
      <c r="N308">
        <v>233</v>
      </c>
      <c r="O308">
        <v>7.99</v>
      </c>
      <c r="P308">
        <v>92</v>
      </c>
      <c r="Q308">
        <v>105</v>
      </c>
      <c r="R308">
        <v>115</v>
      </c>
      <c r="S308">
        <v>97</v>
      </c>
      <c r="T308">
        <v>69</v>
      </c>
      <c r="U308">
        <v>-3.98</v>
      </c>
      <c r="V308">
        <v>268</v>
      </c>
    </row>
    <row r="309" spans="1:22" x14ac:dyDescent="0.25">
      <c r="A309">
        <f>COUNTIF('Value Matchup'!$D$356:$D$423,C309)</f>
        <v>0</v>
      </c>
      <c r="B309">
        <v>98</v>
      </c>
      <c r="C309" t="s">
        <v>68</v>
      </c>
      <c r="D309" t="s">
        <v>166</v>
      </c>
      <c r="E309" s="79" t="s">
        <v>500</v>
      </c>
      <c r="F309">
        <v>9.75</v>
      </c>
      <c r="G309">
        <v>104.1</v>
      </c>
      <c r="H309">
        <v>148</v>
      </c>
      <c r="I309">
        <v>94.4</v>
      </c>
      <c r="J309">
        <v>57</v>
      </c>
      <c r="K309">
        <v>67.3</v>
      </c>
      <c r="L309">
        <v>233</v>
      </c>
      <c r="M309">
        <v>5.0000000000000001E-3</v>
      </c>
      <c r="N309">
        <v>162</v>
      </c>
      <c r="O309">
        <v>-2.14</v>
      </c>
      <c r="P309">
        <v>218</v>
      </c>
      <c r="Q309">
        <v>99.6</v>
      </c>
      <c r="R309">
        <v>272</v>
      </c>
      <c r="S309">
        <v>101.7</v>
      </c>
      <c r="T309">
        <v>167</v>
      </c>
      <c r="U309">
        <v>-12.72</v>
      </c>
      <c r="V309">
        <v>319</v>
      </c>
    </row>
    <row r="310" spans="1:22" x14ac:dyDescent="0.25">
      <c r="A310">
        <f>COUNTIF('Value Matchup'!$D$356:$D$423,C310)</f>
        <v>0</v>
      </c>
      <c r="B310">
        <v>222</v>
      </c>
      <c r="C310" t="s">
        <v>386</v>
      </c>
      <c r="D310" t="s">
        <v>152</v>
      </c>
      <c r="E310" s="79" t="s">
        <v>634</v>
      </c>
      <c r="F310">
        <v>-3.84</v>
      </c>
      <c r="G310">
        <v>98.1</v>
      </c>
      <c r="H310">
        <v>256</v>
      </c>
      <c r="I310">
        <v>101.9</v>
      </c>
      <c r="J310">
        <v>184</v>
      </c>
      <c r="K310">
        <v>69.5</v>
      </c>
      <c r="L310">
        <v>120</v>
      </c>
      <c r="M310">
        <v>8.6999999999999994E-2</v>
      </c>
      <c r="N310">
        <v>26</v>
      </c>
      <c r="O310">
        <v>-2.5099999999999998</v>
      </c>
      <c r="P310">
        <v>224</v>
      </c>
      <c r="Q310">
        <v>100.9</v>
      </c>
      <c r="R310">
        <v>232</v>
      </c>
      <c r="S310">
        <v>103.4</v>
      </c>
      <c r="T310">
        <v>226</v>
      </c>
      <c r="U310">
        <v>-1.96</v>
      </c>
      <c r="V310">
        <v>239</v>
      </c>
    </row>
    <row r="311" spans="1:22" x14ac:dyDescent="0.25">
      <c r="A311">
        <f>COUNTIF('Value Matchup'!$D$356:$D$423,C311)</f>
        <v>0</v>
      </c>
      <c r="B311">
        <v>109</v>
      </c>
      <c r="C311" t="s">
        <v>55</v>
      </c>
      <c r="D311" t="s">
        <v>152</v>
      </c>
      <c r="E311" s="79" t="s">
        <v>560</v>
      </c>
      <c r="F311">
        <v>8.08</v>
      </c>
      <c r="G311">
        <v>101.3</v>
      </c>
      <c r="H311">
        <v>205</v>
      </c>
      <c r="I311">
        <v>93.2</v>
      </c>
      <c r="J311">
        <v>46</v>
      </c>
      <c r="K311">
        <v>67.7</v>
      </c>
      <c r="L311">
        <v>222</v>
      </c>
      <c r="M311">
        <v>3.1E-2</v>
      </c>
      <c r="N311">
        <v>105</v>
      </c>
      <c r="O311">
        <v>1.54</v>
      </c>
      <c r="P311">
        <v>161</v>
      </c>
      <c r="Q311">
        <v>102.7</v>
      </c>
      <c r="R311">
        <v>176</v>
      </c>
      <c r="S311">
        <v>101.2</v>
      </c>
      <c r="T311">
        <v>145</v>
      </c>
      <c r="U311">
        <v>5.0599999999999996</v>
      </c>
      <c r="V311">
        <v>125</v>
      </c>
    </row>
    <row r="312" spans="1:22" x14ac:dyDescent="0.25">
      <c r="A312">
        <f>COUNTIF('Value Matchup'!$D$356:$D$423,C312)</f>
        <v>0</v>
      </c>
      <c r="B312">
        <v>112</v>
      </c>
      <c r="C312" t="s">
        <v>387</v>
      </c>
      <c r="D312" t="s">
        <v>152</v>
      </c>
      <c r="E312" s="79" t="s">
        <v>574</v>
      </c>
      <c r="F312">
        <v>8.0299999999999994</v>
      </c>
      <c r="G312">
        <v>103.5</v>
      </c>
      <c r="H312">
        <v>163</v>
      </c>
      <c r="I312">
        <v>95.5</v>
      </c>
      <c r="J312">
        <v>69</v>
      </c>
      <c r="K312">
        <v>67</v>
      </c>
      <c r="L312">
        <v>254</v>
      </c>
      <c r="M312">
        <v>-6.6000000000000003E-2</v>
      </c>
      <c r="N312">
        <v>304</v>
      </c>
      <c r="O312">
        <v>-0.91</v>
      </c>
      <c r="P312">
        <v>194</v>
      </c>
      <c r="Q312">
        <v>101.7</v>
      </c>
      <c r="R312">
        <v>205</v>
      </c>
      <c r="S312">
        <v>102.6</v>
      </c>
      <c r="T312">
        <v>194</v>
      </c>
      <c r="U312">
        <v>-1.1599999999999999</v>
      </c>
      <c r="V312">
        <v>229</v>
      </c>
    </row>
    <row r="313" spans="1:22" x14ac:dyDescent="0.25">
      <c r="A313">
        <f>COUNTIF('Value Matchup'!$D$356:$D$423,C313)</f>
        <v>0</v>
      </c>
      <c r="B313">
        <v>241</v>
      </c>
      <c r="C313" t="s">
        <v>585</v>
      </c>
      <c r="D313" t="s">
        <v>152</v>
      </c>
      <c r="E313" s="79" t="s">
        <v>691</v>
      </c>
      <c r="F313">
        <v>-5.64</v>
      </c>
      <c r="G313">
        <v>101.9</v>
      </c>
      <c r="H313">
        <v>189</v>
      </c>
      <c r="I313">
        <v>107.6</v>
      </c>
      <c r="J313">
        <v>295</v>
      </c>
      <c r="K313">
        <v>70.099999999999994</v>
      </c>
      <c r="L313">
        <v>97</v>
      </c>
      <c r="M313">
        <v>2.3E-2</v>
      </c>
      <c r="N313">
        <v>123</v>
      </c>
      <c r="O313">
        <v>4.34</v>
      </c>
      <c r="P313">
        <v>129</v>
      </c>
      <c r="Q313">
        <v>103.1</v>
      </c>
      <c r="R313">
        <v>167</v>
      </c>
      <c r="S313">
        <v>98.8</v>
      </c>
      <c r="T313">
        <v>109</v>
      </c>
      <c r="U313">
        <v>4.34</v>
      </c>
      <c r="V313">
        <v>137</v>
      </c>
    </row>
    <row r="314" spans="1:22" x14ac:dyDescent="0.25">
      <c r="A314">
        <f>COUNTIF('Value Matchup'!$D$356:$D$423,C314)</f>
        <v>1</v>
      </c>
      <c r="B314">
        <v>69</v>
      </c>
      <c r="C314" t="s">
        <v>388</v>
      </c>
      <c r="D314" t="s">
        <v>152</v>
      </c>
      <c r="E314" s="79" t="s">
        <v>586</v>
      </c>
      <c r="F314">
        <v>13.64</v>
      </c>
      <c r="G314">
        <v>110</v>
      </c>
      <c r="H314">
        <v>66</v>
      </c>
      <c r="I314">
        <v>96.4</v>
      </c>
      <c r="J314">
        <v>82</v>
      </c>
      <c r="K314">
        <v>66.099999999999994</v>
      </c>
      <c r="L314">
        <v>294</v>
      </c>
      <c r="M314">
        <v>5.3999999999999999E-2</v>
      </c>
      <c r="N314">
        <v>63</v>
      </c>
      <c r="O314">
        <v>-0.56000000000000005</v>
      </c>
      <c r="P314">
        <v>185</v>
      </c>
      <c r="Q314">
        <v>101.5</v>
      </c>
      <c r="R314">
        <v>214</v>
      </c>
      <c r="S314">
        <v>102</v>
      </c>
      <c r="T314">
        <v>173</v>
      </c>
      <c r="U314">
        <v>2.46</v>
      </c>
      <c r="V314">
        <v>168</v>
      </c>
    </row>
    <row r="315" spans="1:22" x14ac:dyDescent="0.25">
      <c r="A315">
        <f>COUNTIF('Value Matchup'!$D$356:$D$423,C315)</f>
        <v>0</v>
      </c>
      <c r="B315">
        <v>103</v>
      </c>
      <c r="C315" t="s">
        <v>389</v>
      </c>
      <c r="D315" t="s">
        <v>170</v>
      </c>
      <c r="E315" s="79" t="s">
        <v>690</v>
      </c>
      <c r="F315">
        <v>9.31</v>
      </c>
      <c r="G315">
        <v>106.6</v>
      </c>
      <c r="H315">
        <v>111</v>
      </c>
      <c r="I315">
        <v>97.3</v>
      </c>
      <c r="J315">
        <v>96</v>
      </c>
      <c r="K315">
        <v>67.5</v>
      </c>
      <c r="L315">
        <v>228</v>
      </c>
      <c r="M315">
        <v>5.2999999999999999E-2</v>
      </c>
      <c r="N315">
        <v>65</v>
      </c>
      <c r="O315">
        <v>11.68</v>
      </c>
      <c r="P315">
        <v>56</v>
      </c>
      <c r="Q315">
        <v>106.5</v>
      </c>
      <c r="R315">
        <v>86</v>
      </c>
      <c r="S315">
        <v>94.8</v>
      </c>
      <c r="T315">
        <v>21</v>
      </c>
      <c r="U315">
        <v>24.51</v>
      </c>
      <c r="V315">
        <v>1</v>
      </c>
    </row>
    <row r="316" spans="1:22" x14ac:dyDescent="0.25">
      <c r="A316">
        <f>COUNTIF('Value Matchup'!$D$356:$D$423,C316)</f>
        <v>1</v>
      </c>
      <c r="B316">
        <v>45</v>
      </c>
      <c r="C316" t="s">
        <v>67</v>
      </c>
      <c r="D316" t="s">
        <v>124</v>
      </c>
      <c r="E316" s="79" t="s">
        <v>518</v>
      </c>
      <c r="F316">
        <v>17.32</v>
      </c>
      <c r="G316">
        <v>114.2</v>
      </c>
      <c r="H316">
        <v>25</v>
      </c>
      <c r="I316">
        <v>96.8</v>
      </c>
      <c r="J316">
        <v>87</v>
      </c>
      <c r="K316">
        <v>64.7</v>
      </c>
      <c r="L316">
        <v>332</v>
      </c>
      <c r="M316">
        <v>2.4E-2</v>
      </c>
      <c r="N316">
        <v>117</v>
      </c>
      <c r="O316">
        <v>11.84</v>
      </c>
      <c r="P316">
        <v>55</v>
      </c>
      <c r="Q316">
        <v>108.6</v>
      </c>
      <c r="R316">
        <v>50</v>
      </c>
      <c r="S316">
        <v>96.8</v>
      </c>
      <c r="T316">
        <v>60</v>
      </c>
      <c r="U316">
        <v>9.0500000000000007</v>
      </c>
      <c r="V316">
        <v>68</v>
      </c>
    </row>
    <row r="317" spans="1:22" x14ac:dyDescent="0.25">
      <c r="A317">
        <f>COUNTIF('Value Matchup'!$D$356:$D$423,C317)</f>
        <v>0</v>
      </c>
      <c r="B317">
        <v>228</v>
      </c>
      <c r="C317" t="s">
        <v>390</v>
      </c>
      <c r="D317" t="s">
        <v>118</v>
      </c>
      <c r="E317" s="79" t="s">
        <v>690</v>
      </c>
      <c r="F317">
        <v>-4.55</v>
      </c>
      <c r="G317">
        <v>100.5</v>
      </c>
      <c r="H317">
        <v>224</v>
      </c>
      <c r="I317">
        <v>105</v>
      </c>
      <c r="J317">
        <v>251</v>
      </c>
      <c r="K317">
        <v>69.400000000000006</v>
      </c>
      <c r="L317">
        <v>129</v>
      </c>
      <c r="M317">
        <v>5.5E-2</v>
      </c>
      <c r="N317">
        <v>60</v>
      </c>
      <c r="O317">
        <v>-1.96</v>
      </c>
      <c r="P317">
        <v>211</v>
      </c>
      <c r="Q317">
        <v>100.2</v>
      </c>
      <c r="R317">
        <v>246</v>
      </c>
      <c r="S317">
        <v>102.2</v>
      </c>
      <c r="T317">
        <v>178</v>
      </c>
      <c r="U317">
        <v>12.23</v>
      </c>
      <c r="V317">
        <v>37</v>
      </c>
    </row>
    <row r="318" spans="1:22" x14ac:dyDescent="0.25">
      <c r="A318">
        <f>COUNTIF('Value Matchup'!$D$356:$D$423,C318)</f>
        <v>0</v>
      </c>
      <c r="B318">
        <v>166</v>
      </c>
      <c r="C318" t="s">
        <v>391</v>
      </c>
      <c r="D318" t="s">
        <v>118</v>
      </c>
      <c r="E318" s="79" t="s">
        <v>581</v>
      </c>
      <c r="F318">
        <v>1.72</v>
      </c>
      <c r="G318">
        <v>101.5</v>
      </c>
      <c r="H318">
        <v>201</v>
      </c>
      <c r="I318">
        <v>99.7</v>
      </c>
      <c r="J318">
        <v>133</v>
      </c>
      <c r="K318">
        <v>67.900000000000006</v>
      </c>
      <c r="L318">
        <v>206</v>
      </c>
      <c r="M318">
        <v>-1.2999999999999999E-2</v>
      </c>
      <c r="N318">
        <v>210</v>
      </c>
      <c r="O318">
        <v>-4.6100000000000003</v>
      </c>
      <c r="P318">
        <v>271</v>
      </c>
      <c r="Q318">
        <v>98.7</v>
      </c>
      <c r="R318">
        <v>297</v>
      </c>
      <c r="S318">
        <v>103.3</v>
      </c>
      <c r="T318">
        <v>222</v>
      </c>
      <c r="U318">
        <v>-3.14</v>
      </c>
      <c r="V318">
        <v>254</v>
      </c>
    </row>
    <row r="319" spans="1:22" x14ac:dyDescent="0.25">
      <c r="A319">
        <f>COUNTIF('Value Matchup'!$D$356:$D$423,C319)</f>
        <v>0</v>
      </c>
      <c r="B319">
        <v>218</v>
      </c>
      <c r="C319" t="s">
        <v>392</v>
      </c>
      <c r="D319" t="s">
        <v>185</v>
      </c>
      <c r="E319" s="79" t="s">
        <v>599</v>
      </c>
      <c r="F319">
        <v>-3.52</v>
      </c>
      <c r="G319">
        <v>96.2</v>
      </c>
      <c r="H319">
        <v>286</v>
      </c>
      <c r="I319">
        <v>99.7</v>
      </c>
      <c r="J319">
        <v>132</v>
      </c>
      <c r="K319">
        <v>62.9</v>
      </c>
      <c r="L319">
        <v>353</v>
      </c>
      <c r="M319">
        <v>-7.3999999999999996E-2</v>
      </c>
      <c r="N319">
        <v>314</v>
      </c>
      <c r="O319">
        <v>-0.14000000000000001</v>
      </c>
      <c r="P319">
        <v>179</v>
      </c>
      <c r="Q319">
        <v>103.8</v>
      </c>
      <c r="R319">
        <v>150</v>
      </c>
      <c r="S319">
        <v>103.9</v>
      </c>
      <c r="T319">
        <v>247</v>
      </c>
      <c r="U319">
        <v>11.47</v>
      </c>
      <c r="V319">
        <v>44</v>
      </c>
    </row>
    <row r="320" spans="1:22" x14ac:dyDescent="0.25">
      <c r="A320">
        <f>COUNTIF('Value Matchup'!$D$356:$D$423,C320)</f>
        <v>0</v>
      </c>
      <c r="B320">
        <v>236</v>
      </c>
      <c r="C320" t="s">
        <v>393</v>
      </c>
      <c r="D320" t="s">
        <v>158</v>
      </c>
      <c r="E320" s="79" t="s">
        <v>685</v>
      </c>
      <c r="F320">
        <v>-5.29</v>
      </c>
      <c r="G320">
        <v>101.5</v>
      </c>
      <c r="H320">
        <v>202</v>
      </c>
      <c r="I320">
        <v>106.8</v>
      </c>
      <c r="J320">
        <v>284</v>
      </c>
      <c r="K320">
        <v>68.5</v>
      </c>
      <c r="L320">
        <v>173</v>
      </c>
      <c r="M320">
        <v>-8.0000000000000002E-3</v>
      </c>
      <c r="N320">
        <v>201</v>
      </c>
      <c r="O320">
        <v>-5.48</v>
      </c>
      <c r="P320">
        <v>290</v>
      </c>
      <c r="Q320">
        <v>99.3</v>
      </c>
      <c r="R320">
        <v>279</v>
      </c>
      <c r="S320">
        <v>104.7</v>
      </c>
      <c r="T320">
        <v>290</v>
      </c>
      <c r="U320">
        <v>-4.6900000000000004</v>
      </c>
      <c r="V320">
        <v>273</v>
      </c>
    </row>
    <row r="321" spans="1:22" x14ac:dyDescent="0.25">
      <c r="A321">
        <f>COUNTIF('Value Matchup'!$D$356:$D$423,C321)</f>
        <v>1</v>
      </c>
      <c r="B321">
        <v>100</v>
      </c>
      <c r="C321" t="s">
        <v>394</v>
      </c>
      <c r="D321" t="s">
        <v>168</v>
      </c>
      <c r="E321" s="79" t="s">
        <v>559</v>
      </c>
      <c r="F321">
        <v>9.56</v>
      </c>
      <c r="G321">
        <v>104.9</v>
      </c>
      <c r="H321">
        <v>129</v>
      </c>
      <c r="I321">
        <v>95.3</v>
      </c>
      <c r="J321">
        <v>67</v>
      </c>
      <c r="K321">
        <v>68.5</v>
      </c>
      <c r="L321">
        <v>174</v>
      </c>
      <c r="M321">
        <v>5.0000000000000001E-3</v>
      </c>
      <c r="N321">
        <v>163</v>
      </c>
      <c r="O321">
        <v>0.72</v>
      </c>
      <c r="P321">
        <v>169</v>
      </c>
      <c r="Q321">
        <v>103.3</v>
      </c>
      <c r="R321">
        <v>161</v>
      </c>
      <c r="S321">
        <v>102.6</v>
      </c>
      <c r="T321">
        <v>192</v>
      </c>
      <c r="U321">
        <v>-2.82</v>
      </c>
      <c r="V321">
        <v>252</v>
      </c>
    </row>
    <row r="322" spans="1:22" x14ac:dyDescent="0.25">
      <c r="A322">
        <f>COUNTIF('Value Matchup'!$D$356:$D$423,C322)</f>
        <v>0</v>
      </c>
      <c r="B322">
        <v>239</v>
      </c>
      <c r="C322" t="s">
        <v>395</v>
      </c>
      <c r="D322" t="s">
        <v>175</v>
      </c>
      <c r="E322" s="79" t="s">
        <v>691</v>
      </c>
      <c r="F322">
        <v>-5.56</v>
      </c>
      <c r="G322">
        <v>102.8</v>
      </c>
      <c r="H322">
        <v>173</v>
      </c>
      <c r="I322">
        <v>108.4</v>
      </c>
      <c r="J322">
        <v>309</v>
      </c>
      <c r="K322">
        <v>69.3</v>
      </c>
      <c r="L322">
        <v>130</v>
      </c>
      <c r="M322">
        <v>-0.122</v>
      </c>
      <c r="N322">
        <v>350</v>
      </c>
      <c r="O322">
        <v>-4.63</v>
      </c>
      <c r="P322">
        <v>272</v>
      </c>
      <c r="Q322">
        <v>100.1</v>
      </c>
      <c r="R322">
        <v>255</v>
      </c>
      <c r="S322">
        <v>104.7</v>
      </c>
      <c r="T322">
        <v>288</v>
      </c>
      <c r="U322">
        <v>-2.21</v>
      </c>
      <c r="V322">
        <v>247</v>
      </c>
    </row>
    <row r="323" spans="1:22" x14ac:dyDescent="0.25">
      <c r="A323">
        <f>COUNTIF('Value Matchup'!$D$356:$D$423,C323)</f>
        <v>0</v>
      </c>
      <c r="B323">
        <v>169</v>
      </c>
      <c r="C323" t="s">
        <v>396</v>
      </c>
      <c r="D323" t="s">
        <v>110</v>
      </c>
      <c r="E323" s="79" t="s">
        <v>647</v>
      </c>
      <c r="F323">
        <v>1.39</v>
      </c>
      <c r="G323">
        <v>104.7</v>
      </c>
      <c r="H323">
        <v>133</v>
      </c>
      <c r="I323">
        <v>103.3</v>
      </c>
      <c r="J323">
        <v>211</v>
      </c>
      <c r="K323">
        <v>66.400000000000006</v>
      </c>
      <c r="L323">
        <v>281</v>
      </c>
      <c r="M323">
        <v>-3.6999999999999998E-2</v>
      </c>
      <c r="N323">
        <v>259</v>
      </c>
      <c r="O323">
        <v>5.51</v>
      </c>
      <c r="P323">
        <v>115</v>
      </c>
      <c r="Q323">
        <v>104.2</v>
      </c>
      <c r="R323">
        <v>138</v>
      </c>
      <c r="S323">
        <v>98.7</v>
      </c>
      <c r="T323">
        <v>108</v>
      </c>
      <c r="U323">
        <v>13.14</v>
      </c>
      <c r="V323">
        <v>31</v>
      </c>
    </row>
    <row r="324" spans="1:22" x14ac:dyDescent="0.25">
      <c r="A324">
        <f>COUNTIF('Value Matchup'!$D$356:$D$423,C324)</f>
        <v>1</v>
      </c>
      <c r="B324">
        <v>14</v>
      </c>
      <c r="C324" t="s">
        <v>85</v>
      </c>
      <c r="D324" t="s">
        <v>124</v>
      </c>
      <c r="E324" s="79" t="s">
        <v>500</v>
      </c>
      <c r="F324">
        <v>23.63</v>
      </c>
      <c r="G324">
        <v>113.6</v>
      </c>
      <c r="H324">
        <v>30</v>
      </c>
      <c r="I324">
        <v>90</v>
      </c>
      <c r="J324">
        <v>18</v>
      </c>
      <c r="K324">
        <v>67.3</v>
      </c>
      <c r="L324">
        <v>235</v>
      </c>
      <c r="M324">
        <v>-6.0000000000000001E-3</v>
      </c>
      <c r="N324">
        <v>194</v>
      </c>
      <c r="O324">
        <v>11.1</v>
      </c>
      <c r="P324">
        <v>63</v>
      </c>
      <c r="Q324">
        <v>108.1</v>
      </c>
      <c r="R324">
        <v>56</v>
      </c>
      <c r="S324">
        <v>97</v>
      </c>
      <c r="T324">
        <v>70</v>
      </c>
      <c r="U324">
        <v>5</v>
      </c>
      <c r="V324">
        <v>128</v>
      </c>
    </row>
    <row r="325" spans="1:22" x14ac:dyDescent="0.25">
      <c r="A325">
        <f>COUNTIF('Value Matchup'!$D$356:$D$423,C325)</f>
        <v>0</v>
      </c>
      <c r="B325">
        <v>319</v>
      </c>
      <c r="C325" t="s">
        <v>397</v>
      </c>
      <c r="D325" t="s">
        <v>158</v>
      </c>
      <c r="E325" s="79" t="s">
        <v>661</v>
      </c>
      <c r="F325">
        <v>-12.89</v>
      </c>
      <c r="G325">
        <v>95.6</v>
      </c>
      <c r="H325">
        <v>295</v>
      </c>
      <c r="I325">
        <v>108.5</v>
      </c>
      <c r="J325">
        <v>311</v>
      </c>
      <c r="K325">
        <v>68.599999999999994</v>
      </c>
      <c r="L325">
        <v>168</v>
      </c>
      <c r="M325">
        <v>-3.2000000000000001E-2</v>
      </c>
      <c r="N325">
        <v>249</v>
      </c>
      <c r="O325">
        <v>-2.4</v>
      </c>
      <c r="P325">
        <v>222</v>
      </c>
      <c r="Q325">
        <v>100.5</v>
      </c>
      <c r="R325">
        <v>239</v>
      </c>
      <c r="S325">
        <v>102.9</v>
      </c>
      <c r="T325">
        <v>204</v>
      </c>
      <c r="U325">
        <v>7.84</v>
      </c>
      <c r="V325">
        <v>84</v>
      </c>
    </row>
    <row r="326" spans="1:22" x14ac:dyDescent="0.25">
      <c r="A326">
        <f>COUNTIF('Value Matchup'!$D$356:$D$423,C326)</f>
        <v>0</v>
      </c>
      <c r="B326">
        <v>253</v>
      </c>
      <c r="C326" t="s">
        <v>398</v>
      </c>
      <c r="D326" t="s">
        <v>123</v>
      </c>
      <c r="E326" s="79" t="s">
        <v>553</v>
      </c>
      <c r="F326">
        <v>-6.65</v>
      </c>
      <c r="G326">
        <v>98.7</v>
      </c>
      <c r="H326">
        <v>249</v>
      </c>
      <c r="I326">
        <v>105.4</v>
      </c>
      <c r="J326">
        <v>260</v>
      </c>
      <c r="K326">
        <v>69.599999999999994</v>
      </c>
      <c r="L326">
        <v>117</v>
      </c>
      <c r="M326">
        <v>5.0999999999999997E-2</v>
      </c>
      <c r="N326">
        <v>68</v>
      </c>
      <c r="O326">
        <v>-3.38</v>
      </c>
      <c r="P326">
        <v>241</v>
      </c>
      <c r="Q326">
        <v>99.4</v>
      </c>
      <c r="R326">
        <v>276</v>
      </c>
      <c r="S326">
        <v>102.8</v>
      </c>
      <c r="T326">
        <v>200</v>
      </c>
      <c r="U326">
        <v>12.15</v>
      </c>
      <c r="V326">
        <v>38</v>
      </c>
    </row>
    <row r="327" spans="1:22" x14ac:dyDescent="0.25">
      <c r="A327">
        <f>COUNTIF('Value Matchup'!$D$356:$D$423,C327)</f>
        <v>0</v>
      </c>
      <c r="B327">
        <v>292</v>
      </c>
      <c r="C327" t="s">
        <v>399</v>
      </c>
      <c r="D327" t="s">
        <v>154</v>
      </c>
      <c r="E327" s="79" t="s">
        <v>615</v>
      </c>
      <c r="F327">
        <v>-10.01</v>
      </c>
      <c r="G327">
        <v>92.1</v>
      </c>
      <c r="H327">
        <v>328</v>
      </c>
      <c r="I327">
        <v>102.1</v>
      </c>
      <c r="J327">
        <v>189</v>
      </c>
      <c r="K327">
        <v>69.900000000000006</v>
      </c>
      <c r="L327">
        <v>103</v>
      </c>
      <c r="M327">
        <v>-0.05</v>
      </c>
      <c r="N327">
        <v>287</v>
      </c>
      <c r="O327">
        <v>-4.7300000000000004</v>
      </c>
      <c r="P327">
        <v>277</v>
      </c>
      <c r="Q327">
        <v>99.2</v>
      </c>
      <c r="R327">
        <v>281</v>
      </c>
      <c r="S327">
        <v>104</v>
      </c>
      <c r="T327">
        <v>251</v>
      </c>
      <c r="U327">
        <v>-2.16</v>
      </c>
      <c r="V327">
        <v>246</v>
      </c>
    </row>
    <row r="328" spans="1:22" x14ac:dyDescent="0.25">
      <c r="A328">
        <f>COUNTIF('Value Matchup'!$D$356:$D$423,C328)</f>
        <v>0</v>
      </c>
      <c r="B328">
        <v>71</v>
      </c>
      <c r="C328" t="s">
        <v>65</v>
      </c>
      <c r="D328" t="s">
        <v>124</v>
      </c>
      <c r="E328" s="79" t="s">
        <v>692</v>
      </c>
      <c r="F328">
        <v>13.08</v>
      </c>
      <c r="G328">
        <v>111.3</v>
      </c>
      <c r="H328">
        <v>47</v>
      </c>
      <c r="I328">
        <v>98.2</v>
      </c>
      <c r="J328">
        <v>114</v>
      </c>
      <c r="K328">
        <v>68</v>
      </c>
      <c r="L328">
        <v>201</v>
      </c>
      <c r="M328">
        <v>-7.6999999999999999E-2</v>
      </c>
      <c r="N328">
        <v>317</v>
      </c>
      <c r="O328">
        <v>11.06</v>
      </c>
      <c r="P328">
        <v>66</v>
      </c>
      <c r="Q328">
        <v>108</v>
      </c>
      <c r="R328">
        <v>59</v>
      </c>
      <c r="S328">
        <v>97</v>
      </c>
      <c r="T328">
        <v>68</v>
      </c>
      <c r="U328">
        <v>-6.96</v>
      </c>
      <c r="V328">
        <v>301</v>
      </c>
    </row>
    <row r="329" spans="1:22" x14ac:dyDescent="0.25">
      <c r="A329">
        <f>COUNTIF('Value Matchup'!$D$356:$D$423,C329)</f>
        <v>1</v>
      </c>
      <c r="B329">
        <v>40</v>
      </c>
      <c r="C329" t="s">
        <v>400</v>
      </c>
      <c r="D329" t="s">
        <v>110</v>
      </c>
      <c r="E329" s="79" t="s">
        <v>542</v>
      </c>
      <c r="F329">
        <v>17.899999999999999</v>
      </c>
      <c r="G329">
        <v>106.5</v>
      </c>
      <c r="H329">
        <v>112</v>
      </c>
      <c r="I329">
        <v>88.6</v>
      </c>
      <c r="J329">
        <v>9</v>
      </c>
      <c r="K329">
        <v>68.900000000000006</v>
      </c>
      <c r="L329">
        <v>152</v>
      </c>
      <c r="M329">
        <v>-3.2000000000000001E-2</v>
      </c>
      <c r="N329">
        <v>248</v>
      </c>
      <c r="O329">
        <v>5.09</v>
      </c>
      <c r="P329">
        <v>118</v>
      </c>
      <c r="Q329">
        <v>104.9</v>
      </c>
      <c r="R329">
        <v>122</v>
      </c>
      <c r="S329">
        <v>99.8</v>
      </c>
      <c r="T329">
        <v>126</v>
      </c>
      <c r="U329">
        <v>7.5</v>
      </c>
      <c r="V329">
        <v>88</v>
      </c>
    </row>
    <row r="330" spans="1:22" ht="16.5" customHeight="1" x14ac:dyDescent="0.25">
      <c r="A330">
        <f>COUNTIF('Value Matchup'!$D$356:$D$423,C330)</f>
        <v>0</v>
      </c>
      <c r="B330">
        <v>211</v>
      </c>
      <c r="C330" t="s">
        <v>401</v>
      </c>
      <c r="D330" t="s">
        <v>154</v>
      </c>
      <c r="E330" s="79" t="s">
        <v>670</v>
      </c>
      <c r="F330">
        <v>-3.14</v>
      </c>
      <c r="G330">
        <v>100.8</v>
      </c>
      <c r="H330">
        <v>216</v>
      </c>
      <c r="I330">
        <v>103.9</v>
      </c>
      <c r="J330">
        <v>225</v>
      </c>
      <c r="K330">
        <v>70.5</v>
      </c>
      <c r="L330">
        <v>85</v>
      </c>
      <c r="M330">
        <v>7.0000000000000001E-3</v>
      </c>
      <c r="N330">
        <v>157</v>
      </c>
      <c r="O330">
        <v>-0.68</v>
      </c>
      <c r="P330">
        <v>188</v>
      </c>
      <c r="Q330">
        <v>102.4</v>
      </c>
      <c r="R330">
        <v>183</v>
      </c>
      <c r="S330">
        <v>103.1</v>
      </c>
      <c r="T330">
        <v>214</v>
      </c>
      <c r="U330">
        <v>11</v>
      </c>
      <c r="V330">
        <v>47</v>
      </c>
    </row>
    <row r="331" spans="1:22" ht="15.75" customHeight="1" x14ac:dyDescent="0.25">
      <c r="A331">
        <f>COUNTIF('Value Matchup'!$D$356:$D$423,C331)</f>
        <v>0</v>
      </c>
      <c r="B331">
        <v>135</v>
      </c>
      <c r="C331" t="s">
        <v>402</v>
      </c>
      <c r="D331" t="s">
        <v>166</v>
      </c>
      <c r="E331" s="79" t="s">
        <v>636</v>
      </c>
      <c r="F331">
        <v>4.1500000000000004</v>
      </c>
      <c r="G331">
        <v>103.9</v>
      </c>
      <c r="H331">
        <v>154</v>
      </c>
      <c r="I331">
        <v>99.8</v>
      </c>
      <c r="J331">
        <v>135</v>
      </c>
      <c r="K331">
        <v>68.2</v>
      </c>
      <c r="L331">
        <v>191</v>
      </c>
      <c r="M331">
        <v>-6.5000000000000002E-2</v>
      </c>
      <c r="N331">
        <v>303</v>
      </c>
      <c r="O331">
        <v>4.3099999999999996</v>
      </c>
      <c r="P331">
        <v>131</v>
      </c>
      <c r="Q331">
        <v>103.3</v>
      </c>
      <c r="R331">
        <v>162</v>
      </c>
      <c r="S331">
        <v>99</v>
      </c>
      <c r="T331">
        <v>111</v>
      </c>
      <c r="U331">
        <v>18.309999999999999</v>
      </c>
      <c r="V331">
        <v>11</v>
      </c>
    </row>
    <row r="332" spans="1:22" x14ac:dyDescent="0.25">
      <c r="A332">
        <f>COUNTIF('Value Matchup'!$D$356:$D$423,C332)</f>
        <v>0</v>
      </c>
      <c r="B332">
        <v>167</v>
      </c>
      <c r="C332" t="s">
        <v>403</v>
      </c>
      <c r="D332" t="s">
        <v>166</v>
      </c>
      <c r="E332" s="79" t="s">
        <v>533</v>
      </c>
      <c r="F332">
        <v>1.64</v>
      </c>
      <c r="G332">
        <v>107</v>
      </c>
      <c r="H332">
        <v>106</v>
      </c>
      <c r="I332">
        <v>105.3</v>
      </c>
      <c r="J332">
        <v>259</v>
      </c>
      <c r="K332">
        <v>72.099999999999994</v>
      </c>
      <c r="L332">
        <v>35</v>
      </c>
      <c r="M332">
        <v>2.1000000000000001E-2</v>
      </c>
      <c r="N332">
        <v>126</v>
      </c>
      <c r="O332">
        <v>2.31</v>
      </c>
      <c r="P332">
        <v>155</v>
      </c>
      <c r="Q332">
        <v>102</v>
      </c>
      <c r="R332">
        <v>199</v>
      </c>
      <c r="S332">
        <v>99.7</v>
      </c>
      <c r="T332">
        <v>124</v>
      </c>
      <c r="U332">
        <v>3.43</v>
      </c>
      <c r="V332">
        <v>153</v>
      </c>
    </row>
    <row r="333" spans="1:22" x14ac:dyDescent="0.25">
      <c r="A333">
        <f>COUNTIF('Value Matchup'!$D$356:$D$423,C333)</f>
        <v>0</v>
      </c>
      <c r="B333">
        <v>191</v>
      </c>
      <c r="C333" t="s">
        <v>32</v>
      </c>
      <c r="D333" t="s">
        <v>143</v>
      </c>
      <c r="E333" s="79" t="s">
        <v>653</v>
      </c>
      <c r="F333">
        <v>-1.26</v>
      </c>
      <c r="G333">
        <v>97.3</v>
      </c>
      <c r="H333">
        <v>273</v>
      </c>
      <c r="I333">
        <v>98.5</v>
      </c>
      <c r="J333">
        <v>117</v>
      </c>
      <c r="K333">
        <v>67.3</v>
      </c>
      <c r="L333">
        <v>238</v>
      </c>
      <c r="M333">
        <v>-2.8000000000000001E-2</v>
      </c>
      <c r="N333">
        <v>242</v>
      </c>
      <c r="O333">
        <v>6.16</v>
      </c>
      <c r="P333">
        <v>110</v>
      </c>
      <c r="Q333">
        <v>105.6</v>
      </c>
      <c r="R333">
        <v>104</v>
      </c>
      <c r="S333">
        <v>99.4</v>
      </c>
      <c r="T333">
        <v>120</v>
      </c>
      <c r="U333">
        <v>5.49</v>
      </c>
      <c r="V333">
        <v>118</v>
      </c>
    </row>
    <row r="334" spans="1:22" x14ac:dyDescent="0.25">
      <c r="A334">
        <f>COUNTIF('Value Matchup'!$D$356:$D$423,C334)</f>
        <v>0</v>
      </c>
      <c r="B334">
        <v>96</v>
      </c>
      <c r="C334" t="s">
        <v>78</v>
      </c>
      <c r="D334" t="s">
        <v>114</v>
      </c>
      <c r="E334" s="79" t="s">
        <v>617</v>
      </c>
      <c r="F334">
        <v>10</v>
      </c>
      <c r="G334">
        <v>109.7</v>
      </c>
      <c r="H334">
        <v>70</v>
      </c>
      <c r="I334">
        <v>99.7</v>
      </c>
      <c r="J334">
        <v>131</v>
      </c>
      <c r="K334">
        <v>69</v>
      </c>
      <c r="L334">
        <v>148</v>
      </c>
      <c r="M334">
        <v>-0.128</v>
      </c>
      <c r="N334">
        <v>352</v>
      </c>
      <c r="O334">
        <v>12.61</v>
      </c>
      <c r="P334">
        <v>42</v>
      </c>
      <c r="Q334">
        <v>107.7</v>
      </c>
      <c r="R334">
        <v>68</v>
      </c>
      <c r="S334">
        <v>95.1</v>
      </c>
      <c r="T334">
        <v>24</v>
      </c>
      <c r="U334">
        <v>-3.22</v>
      </c>
      <c r="V334">
        <v>256</v>
      </c>
    </row>
    <row r="335" spans="1:22" x14ac:dyDescent="0.25">
      <c r="A335">
        <f>COUNTIF('Value Matchup'!$D$356:$D$423,C335)</f>
        <v>1</v>
      </c>
      <c r="B335">
        <v>43</v>
      </c>
      <c r="C335" t="s">
        <v>47</v>
      </c>
      <c r="D335" t="s">
        <v>181</v>
      </c>
      <c r="E335" s="79" t="s">
        <v>587</v>
      </c>
      <c r="F335">
        <v>17.55</v>
      </c>
      <c r="G335">
        <v>106.1</v>
      </c>
      <c r="H335">
        <v>119</v>
      </c>
      <c r="I335">
        <v>88.5</v>
      </c>
      <c r="J335">
        <v>8</v>
      </c>
      <c r="K335">
        <v>69.8</v>
      </c>
      <c r="L335">
        <v>110</v>
      </c>
      <c r="M335">
        <v>4.4999999999999998E-2</v>
      </c>
      <c r="N335">
        <v>85</v>
      </c>
      <c r="O335">
        <v>8.25</v>
      </c>
      <c r="P335">
        <v>89</v>
      </c>
      <c r="Q335">
        <v>106.3</v>
      </c>
      <c r="R335">
        <v>92</v>
      </c>
      <c r="S335">
        <v>98.1</v>
      </c>
      <c r="T335">
        <v>96</v>
      </c>
      <c r="U335">
        <v>5.48</v>
      </c>
      <c r="V335">
        <v>119</v>
      </c>
    </row>
    <row r="336" spans="1:22" x14ac:dyDescent="0.25">
      <c r="A336">
        <f>COUNTIF('Value Matchup'!$D$356:$D$423,C336)</f>
        <v>0</v>
      </c>
      <c r="B336">
        <v>130</v>
      </c>
      <c r="C336" t="s">
        <v>404</v>
      </c>
      <c r="D336" t="s">
        <v>118</v>
      </c>
      <c r="E336" s="79" t="s">
        <v>693</v>
      </c>
      <c r="F336">
        <v>5.03</v>
      </c>
      <c r="G336">
        <v>106.2</v>
      </c>
      <c r="H336">
        <v>116</v>
      </c>
      <c r="I336">
        <v>101.2</v>
      </c>
      <c r="J336">
        <v>173</v>
      </c>
      <c r="K336">
        <v>66.7</v>
      </c>
      <c r="L336">
        <v>270</v>
      </c>
      <c r="M336">
        <v>-6.9000000000000006E-2</v>
      </c>
      <c r="N336">
        <v>311</v>
      </c>
      <c r="O336">
        <v>-7.99</v>
      </c>
      <c r="P336">
        <v>329</v>
      </c>
      <c r="Q336">
        <v>96.2</v>
      </c>
      <c r="R336">
        <v>337</v>
      </c>
      <c r="S336">
        <v>104.2</v>
      </c>
      <c r="T336">
        <v>264</v>
      </c>
      <c r="U336">
        <v>-99</v>
      </c>
      <c r="V336">
        <v>331</v>
      </c>
    </row>
    <row r="337" spans="1:22" x14ac:dyDescent="0.25">
      <c r="A337">
        <f>COUNTIF('Value Matchup'!$D$356:$D$423,C337)</f>
        <v>1</v>
      </c>
      <c r="B337">
        <v>12</v>
      </c>
      <c r="C337" t="s">
        <v>50</v>
      </c>
      <c r="D337" t="s">
        <v>149</v>
      </c>
      <c r="E337" s="79" t="s">
        <v>549</v>
      </c>
      <c r="F337">
        <v>24.02</v>
      </c>
      <c r="G337">
        <v>119.3</v>
      </c>
      <c r="H337">
        <v>8</v>
      </c>
      <c r="I337">
        <v>95.3</v>
      </c>
      <c r="J337">
        <v>68</v>
      </c>
      <c r="K337">
        <v>65.099999999999994</v>
      </c>
      <c r="L337">
        <v>319</v>
      </c>
      <c r="M337">
        <v>-6.0000000000000001E-3</v>
      </c>
      <c r="N337">
        <v>196</v>
      </c>
      <c r="O337">
        <v>12.96</v>
      </c>
      <c r="P337">
        <v>40</v>
      </c>
      <c r="Q337">
        <v>108.9</v>
      </c>
      <c r="R337">
        <v>44</v>
      </c>
      <c r="S337">
        <v>95.9</v>
      </c>
      <c r="T337">
        <v>41</v>
      </c>
      <c r="U337">
        <v>7.29</v>
      </c>
      <c r="V337">
        <v>91</v>
      </c>
    </row>
    <row r="338" spans="1:22" ht="15.75" customHeight="1" x14ac:dyDescent="0.25">
      <c r="A338">
        <f>COUNTIF('Value Matchup'!$D$356:$D$423,C338)</f>
        <v>1</v>
      </c>
      <c r="B338">
        <v>10</v>
      </c>
      <c r="C338" t="s">
        <v>61</v>
      </c>
      <c r="D338" t="s">
        <v>139</v>
      </c>
      <c r="E338" s="79" t="s">
        <v>540</v>
      </c>
      <c r="F338">
        <v>24.05</v>
      </c>
      <c r="G338">
        <v>116.4</v>
      </c>
      <c r="H338">
        <v>12</v>
      </c>
      <c r="I338">
        <v>92.3</v>
      </c>
      <c r="J338">
        <v>32</v>
      </c>
      <c r="K338">
        <v>60.1</v>
      </c>
      <c r="L338">
        <v>357</v>
      </c>
      <c r="M338">
        <v>4.5999999999999999E-2</v>
      </c>
      <c r="N338">
        <v>83</v>
      </c>
      <c r="O338">
        <v>11.98</v>
      </c>
      <c r="P338">
        <v>53</v>
      </c>
      <c r="Q338">
        <v>109.6</v>
      </c>
      <c r="R338">
        <v>29</v>
      </c>
      <c r="S338">
        <v>97.6</v>
      </c>
      <c r="T338">
        <v>84</v>
      </c>
      <c r="U338">
        <v>0.24</v>
      </c>
      <c r="V338">
        <v>210</v>
      </c>
    </row>
    <row r="339" spans="1:22" x14ac:dyDescent="0.25">
      <c r="A339">
        <f>COUNTIF('Value Matchup'!$D$356:$D$423,C339)</f>
        <v>1</v>
      </c>
      <c r="B339">
        <v>50</v>
      </c>
      <c r="C339" t="s">
        <v>405</v>
      </c>
      <c r="D339" t="s">
        <v>139</v>
      </c>
      <c r="E339" s="79" t="s">
        <v>529</v>
      </c>
      <c r="F339">
        <v>16.62</v>
      </c>
      <c r="G339">
        <v>110.8</v>
      </c>
      <c r="H339">
        <v>54</v>
      </c>
      <c r="I339">
        <v>94.2</v>
      </c>
      <c r="J339">
        <v>54</v>
      </c>
      <c r="K339">
        <v>66.2</v>
      </c>
      <c r="L339">
        <v>293</v>
      </c>
      <c r="M339">
        <v>6.6000000000000003E-2</v>
      </c>
      <c r="N339">
        <v>45</v>
      </c>
      <c r="O339">
        <v>9.2799999999999994</v>
      </c>
      <c r="P339">
        <v>80</v>
      </c>
      <c r="Q339">
        <v>107.6</v>
      </c>
      <c r="R339">
        <v>71</v>
      </c>
      <c r="S339">
        <v>98.3</v>
      </c>
      <c r="T339">
        <v>104</v>
      </c>
      <c r="U339">
        <v>0.5</v>
      </c>
      <c r="V339">
        <v>205</v>
      </c>
    </row>
    <row r="340" spans="1:22" x14ac:dyDescent="0.25">
      <c r="A340">
        <f>COUNTIF('Value Matchup'!$D$356:$D$423,C340)</f>
        <v>0</v>
      </c>
      <c r="B340">
        <v>148</v>
      </c>
      <c r="C340" t="s">
        <v>406</v>
      </c>
      <c r="D340" t="s">
        <v>168</v>
      </c>
      <c r="E340" s="79" t="s">
        <v>548</v>
      </c>
      <c r="F340">
        <v>2.89</v>
      </c>
      <c r="G340">
        <v>108.6</v>
      </c>
      <c r="H340">
        <v>83</v>
      </c>
      <c r="I340">
        <v>105.7</v>
      </c>
      <c r="J340">
        <v>267</v>
      </c>
      <c r="K340">
        <v>70.2</v>
      </c>
      <c r="L340">
        <v>91</v>
      </c>
      <c r="M340">
        <v>-4.8000000000000001E-2</v>
      </c>
      <c r="N340">
        <v>280</v>
      </c>
      <c r="O340">
        <v>2.88</v>
      </c>
      <c r="P340">
        <v>149</v>
      </c>
      <c r="Q340">
        <v>104.5</v>
      </c>
      <c r="R340">
        <v>130</v>
      </c>
      <c r="S340">
        <v>101.6</v>
      </c>
      <c r="T340">
        <v>161</v>
      </c>
      <c r="U340">
        <v>5.21</v>
      </c>
      <c r="V340">
        <v>123</v>
      </c>
    </row>
    <row r="341" spans="1:22" x14ac:dyDescent="0.25">
      <c r="A341">
        <f>COUNTIF('Value Matchup'!$D$356:$D$423,C341)</f>
        <v>0</v>
      </c>
      <c r="B341">
        <v>212</v>
      </c>
      <c r="C341" t="s">
        <v>407</v>
      </c>
      <c r="D341" t="s">
        <v>147</v>
      </c>
      <c r="E341" s="79" t="s">
        <v>524</v>
      </c>
      <c r="F341">
        <v>-3.2</v>
      </c>
      <c r="G341">
        <v>101.9</v>
      </c>
      <c r="H341">
        <v>190</v>
      </c>
      <c r="I341">
        <v>105.1</v>
      </c>
      <c r="J341">
        <v>254</v>
      </c>
      <c r="K341">
        <v>65.900000000000006</v>
      </c>
      <c r="L341">
        <v>305</v>
      </c>
      <c r="M341">
        <v>6.8000000000000005E-2</v>
      </c>
      <c r="N341">
        <v>44</v>
      </c>
      <c r="O341">
        <v>-7.88</v>
      </c>
      <c r="P341">
        <v>327</v>
      </c>
      <c r="Q341">
        <v>98.1</v>
      </c>
      <c r="R341">
        <v>313</v>
      </c>
      <c r="S341">
        <v>105.9</v>
      </c>
      <c r="T341">
        <v>332</v>
      </c>
      <c r="U341">
        <v>19.739999999999998</v>
      </c>
      <c r="V341">
        <v>9</v>
      </c>
    </row>
    <row r="342" spans="1:22" x14ac:dyDescent="0.25">
      <c r="A342">
        <f>COUNTIF('Value Matchup'!$D$356:$D$423,C342)</f>
        <v>0</v>
      </c>
      <c r="B342">
        <v>170</v>
      </c>
      <c r="C342" t="s">
        <v>408</v>
      </c>
      <c r="D342" t="s">
        <v>139</v>
      </c>
      <c r="E342" s="79" t="s">
        <v>665</v>
      </c>
      <c r="F342">
        <v>1.34</v>
      </c>
      <c r="G342">
        <v>102.1</v>
      </c>
      <c r="H342">
        <v>184</v>
      </c>
      <c r="I342">
        <v>100.8</v>
      </c>
      <c r="J342">
        <v>162</v>
      </c>
      <c r="K342">
        <v>67.3</v>
      </c>
      <c r="L342">
        <v>241</v>
      </c>
      <c r="M342">
        <v>-0.109</v>
      </c>
      <c r="N342">
        <v>345</v>
      </c>
      <c r="O342">
        <v>13.63</v>
      </c>
      <c r="P342">
        <v>34</v>
      </c>
      <c r="Q342">
        <v>110.4</v>
      </c>
      <c r="R342">
        <v>19</v>
      </c>
      <c r="S342">
        <v>96.7</v>
      </c>
      <c r="T342">
        <v>58</v>
      </c>
      <c r="U342">
        <v>-17.78</v>
      </c>
      <c r="V342">
        <v>327</v>
      </c>
    </row>
    <row r="343" spans="1:22" x14ac:dyDescent="0.25">
      <c r="A343">
        <f>COUNTIF('Value Matchup'!$D$356:$D$423,C343)</f>
        <v>0</v>
      </c>
      <c r="B343">
        <v>173</v>
      </c>
      <c r="C343" t="s">
        <v>409</v>
      </c>
      <c r="D343" t="s">
        <v>124</v>
      </c>
      <c r="E343" s="79" t="s">
        <v>694</v>
      </c>
      <c r="F343">
        <v>1.1499999999999999</v>
      </c>
      <c r="G343">
        <v>102.7</v>
      </c>
      <c r="H343">
        <v>175</v>
      </c>
      <c r="I343">
        <v>101.5</v>
      </c>
      <c r="J343">
        <v>180</v>
      </c>
      <c r="K343">
        <v>71.3</v>
      </c>
      <c r="L343">
        <v>53</v>
      </c>
      <c r="M343">
        <v>-6.0999999999999999E-2</v>
      </c>
      <c r="N343">
        <v>300</v>
      </c>
      <c r="O343">
        <v>13.44</v>
      </c>
      <c r="P343">
        <v>37</v>
      </c>
      <c r="Q343">
        <v>109.6</v>
      </c>
      <c r="R343">
        <v>30</v>
      </c>
      <c r="S343">
        <v>96.1</v>
      </c>
      <c r="T343">
        <v>43</v>
      </c>
      <c r="U343">
        <v>9.25</v>
      </c>
      <c r="V343">
        <v>65</v>
      </c>
    </row>
    <row r="344" spans="1:22" x14ac:dyDescent="0.25">
      <c r="A344">
        <f>COUNTIF('Value Matchup'!$D$356:$D$423,C344)</f>
        <v>0</v>
      </c>
      <c r="B344">
        <v>107</v>
      </c>
      <c r="C344" t="s">
        <v>410</v>
      </c>
      <c r="D344" t="s">
        <v>124</v>
      </c>
      <c r="E344" s="79" t="s">
        <v>521</v>
      </c>
      <c r="F344">
        <v>8.76</v>
      </c>
      <c r="G344">
        <v>101.2</v>
      </c>
      <c r="H344">
        <v>208</v>
      </c>
      <c r="I344">
        <v>92.4</v>
      </c>
      <c r="J344">
        <v>35</v>
      </c>
      <c r="K344">
        <v>67.900000000000006</v>
      </c>
      <c r="L344">
        <v>207</v>
      </c>
      <c r="M344">
        <v>-0.01</v>
      </c>
      <c r="N344">
        <v>202</v>
      </c>
      <c r="O344">
        <v>7.77</v>
      </c>
      <c r="P344">
        <v>94</v>
      </c>
      <c r="Q344">
        <v>106.6</v>
      </c>
      <c r="R344">
        <v>84</v>
      </c>
      <c r="S344">
        <v>98.8</v>
      </c>
      <c r="T344">
        <v>110</v>
      </c>
      <c r="U344">
        <v>-10.220000000000001</v>
      </c>
      <c r="V344">
        <v>315</v>
      </c>
    </row>
    <row r="345" spans="1:22" x14ac:dyDescent="0.25">
      <c r="A345">
        <f>COUNTIF('Value Matchup'!$D$356:$D$423,C345)</f>
        <v>0</v>
      </c>
      <c r="B345">
        <v>127</v>
      </c>
      <c r="C345" t="s">
        <v>411</v>
      </c>
      <c r="D345" t="s">
        <v>197</v>
      </c>
      <c r="E345" s="79" t="s">
        <v>556</v>
      </c>
      <c r="F345">
        <v>5.35</v>
      </c>
      <c r="G345">
        <v>107.7</v>
      </c>
      <c r="H345">
        <v>98</v>
      </c>
      <c r="I345">
        <v>102.4</v>
      </c>
      <c r="J345">
        <v>195</v>
      </c>
      <c r="K345">
        <v>72.2</v>
      </c>
      <c r="L345">
        <v>33</v>
      </c>
      <c r="M345">
        <v>-2.8000000000000001E-2</v>
      </c>
      <c r="N345">
        <v>241</v>
      </c>
      <c r="O345">
        <v>-4.68</v>
      </c>
      <c r="P345">
        <v>275</v>
      </c>
      <c r="Q345">
        <v>100.1</v>
      </c>
      <c r="R345">
        <v>254</v>
      </c>
      <c r="S345">
        <v>104.8</v>
      </c>
      <c r="T345">
        <v>293</v>
      </c>
      <c r="U345">
        <v>5.85</v>
      </c>
      <c r="V345">
        <v>110</v>
      </c>
    </row>
    <row r="346" spans="1:22" x14ac:dyDescent="0.25">
      <c r="A346">
        <f>COUNTIF('Value Matchup'!$D$356:$D$423,C346)</f>
        <v>1</v>
      </c>
      <c r="B346">
        <v>26</v>
      </c>
      <c r="C346" t="s">
        <v>412</v>
      </c>
      <c r="D346" t="s">
        <v>133</v>
      </c>
      <c r="E346" s="79" t="s">
        <v>560</v>
      </c>
      <c r="F346">
        <v>21.71</v>
      </c>
      <c r="G346">
        <v>116.9</v>
      </c>
      <c r="H346">
        <v>11</v>
      </c>
      <c r="I346">
        <v>95.2</v>
      </c>
      <c r="J346">
        <v>65</v>
      </c>
      <c r="K346">
        <v>69.599999999999994</v>
      </c>
      <c r="L346">
        <v>114</v>
      </c>
      <c r="M346">
        <v>-0.04</v>
      </c>
      <c r="N346">
        <v>264</v>
      </c>
      <c r="O346">
        <v>14.8</v>
      </c>
      <c r="P346">
        <v>19</v>
      </c>
      <c r="Q346">
        <v>109.3</v>
      </c>
      <c r="R346">
        <v>38</v>
      </c>
      <c r="S346">
        <v>94.5</v>
      </c>
      <c r="T346">
        <v>16</v>
      </c>
      <c r="U346">
        <v>13.56</v>
      </c>
      <c r="V346">
        <v>27</v>
      </c>
    </row>
    <row r="347" spans="1:22" x14ac:dyDescent="0.25">
      <c r="A347">
        <f>COUNTIF('Value Matchup'!$D$356:$D$423,C347)</f>
        <v>0</v>
      </c>
      <c r="B347">
        <v>237</v>
      </c>
      <c r="C347" t="s">
        <v>413</v>
      </c>
      <c r="D347" t="s">
        <v>168</v>
      </c>
      <c r="E347" s="79" t="s">
        <v>681</v>
      </c>
      <c r="F347">
        <v>-5.31</v>
      </c>
      <c r="G347">
        <v>100.6</v>
      </c>
      <c r="H347">
        <v>219</v>
      </c>
      <c r="I347">
        <v>105.9</v>
      </c>
      <c r="J347">
        <v>269</v>
      </c>
      <c r="K347">
        <v>70.8</v>
      </c>
      <c r="L347">
        <v>78</v>
      </c>
      <c r="M347">
        <v>3.1E-2</v>
      </c>
      <c r="N347">
        <v>107</v>
      </c>
      <c r="O347">
        <v>1.81</v>
      </c>
      <c r="P347">
        <v>160</v>
      </c>
      <c r="Q347">
        <v>104.3</v>
      </c>
      <c r="R347">
        <v>137</v>
      </c>
      <c r="S347">
        <v>102.5</v>
      </c>
      <c r="T347">
        <v>189</v>
      </c>
      <c r="U347">
        <v>-3.85</v>
      </c>
      <c r="V347">
        <v>266</v>
      </c>
    </row>
    <row r="348" spans="1:22" x14ac:dyDescent="0.25">
      <c r="A348">
        <f>COUNTIF('Value Matchup'!$D$356:$D$423,C348)</f>
        <v>0</v>
      </c>
      <c r="B348">
        <v>303</v>
      </c>
      <c r="C348" t="s">
        <v>414</v>
      </c>
      <c r="D348" t="s">
        <v>185</v>
      </c>
      <c r="E348" s="79" t="s">
        <v>674</v>
      </c>
      <c r="F348">
        <v>-10.96</v>
      </c>
      <c r="G348">
        <v>98.1</v>
      </c>
      <c r="H348">
        <v>259</v>
      </c>
      <c r="I348">
        <v>109</v>
      </c>
      <c r="J348">
        <v>315</v>
      </c>
      <c r="K348">
        <v>71.8</v>
      </c>
      <c r="L348">
        <v>46</v>
      </c>
      <c r="M348">
        <v>-0.01</v>
      </c>
      <c r="N348">
        <v>204</v>
      </c>
      <c r="O348">
        <v>-2.06</v>
      </c>
      <c r="P348">
        <v>217</v>
      </c>
      <c r="Q348">
        <v>103.3</v>
      </c>
      <c r="R348">
        <v>163</v>
      </c>
      <c r="S348">
        <v>105.3</v>
      </c>
      <c r="T348">
        <v>313</v>
      </c>
      <c r="U348">
        <v>-0.08</v>
      </c>
      <c r="V348">
        <v>212</v>
      </c>
    </row>
    <row r="349" spans="1:22" x14ac:dyDescent="0.25">
      <c r="A349">
        <f>COUNTIF('Value Matchup'!$D$356:$D$423,C349)</f>
        <v>0</v>
      </c>
      <c r="B349">
        <v>95</v>
      </c>
      <c r="C349" t="s">
        <v>415</v>
      </c>
      <c r="D349" t="s">
        <v>166</v>
      </c>
      <c r="E349" s="79" t="s">
        <v>588</v>
      </c>
      <c r="F349">
        <v>10.02</v>
      </c>
      <c r="G349">
        <v>106.4</v>
      </c>
      <c r="H349">
        <v>113</v>
      </c>
      <c r="I349">
        <v>96.4</v>
      </c>
      <c r="J349">
        <v>83</v>
      </c>
      <c r="K349">
        <v>67.900000000000006</v>
      </c>
      <c r="L349">
        <v>209</v>
      </c>
      <c r="M349">
        <v>8.6999999999999994E-2</v>
      </c>
      <c r="N349">
        <v>25</v>
      </c>
      <c r="O349">
        <v>3.08</v>
      </c>
      <c r="P349">
        <v>146</v>
      </c>
      <c r="Q349">
        <v>103.1</v>
      </c>
      <c r="R349">
        <v>170</v>
      </c>
      <c r="S349">
        <v>100</v>
      </c>
      <c r="T349">
        <v>131</v>
      </c>
      <c r="U349">
        <v>9.76</v>
      </c>
      <c r="V349">
        <v>58</v>
      </c>
    </row>
    <row r="350" spans="1:22" x14ac:dyDescent="0.25">
      <c r="A350">
        <f>COUNTIF('Value Matchup'!$D$356:$D$423,C350)</f>
        <v>0</v>
      </c>
      <c r="B350">
        <v>267</v>
      </c>
      <c r="C350" t="s">
        <v>416</v>
      </c>
      <c r="D350" t="s">
        <v>112</v>
      </c>
      <c r="E350" s="79" t="s">
        <v>613</v>
      </c>
      <c r="F350">
        <v>-8.08</v>
      </c>
      <c r="G350">
        <v>95.8</v>
      </c>
      <c r="H350">
        <v>290</v>
      </c>
      <c r="I350">
        <v>103.9</v>
      </c>
      <c r="J350">
        <v>224</v>
      </c>
      <c r="K350">
        <v>66.3</v>
      </c>
      <c r="L350">
        <v>284</v>
      </c>
      <c r="M350">
        <v>-3.5999999999999997E-2</v>
      </c>
      <c r="N350">
        <v>256</v>
      </c>
      <c r="O350">
        <v>4.9400000000000004</v>
      </c>
      <c r="P350">
        <v>122</v>
      </c>
      <c r="Q350">
        <v>106.6</v>
      </c>
      <c r="R350">
        <v>83</v>
      </c>
      <c r="S350">
        <v>101.7</v>
      </c>
      <c r="T350">
        <v>164</v>
      </c>
      <c r="U350">
        <v>5.63</v>
      </c>
      <c r="V350">
        <v>116</v>
      </c>
    </row>
    <row r="351" spans="1:22" x14ac:dyDescent="0.25">
      <c r="A351">
        <f>COUNTIF('Value Matchup'!$D$356:$D$423,C351)</f>
        <v>1</v>
      </c>
      <c r="B351">
        <v>74</v>
      </c>
      <c r="C351" t="s">
        <v>417</v>
      </c>
      <c r="D351" t="s">
        <v>170</v>
      </c>
      <c r="E351" s="79" t="s">
        <v>580</v>
      </c>
      <c r="F351">
        <v>12.93</v>
      </c>
      <c r="G351">
        <v>110.8</v>
      </c>
      <c r="H351">
        <v>55</v>
      </c>
      <c r="I351">
        <v>97.8</v>
      </c>
      <c r="J351">
        <v>103</v>
      </c>
      <c r="K351">
        <v>67.599999999999994</v>
      </c>
      <c r="L351">
        <v>225</v>
      </c>
      <c r="M351">
        <v>0.121</v>
      </c>
      <c r="N351">
        <v>10</v>
      </c>
      <c r="O351">
        <v>9.1</v>
      </c>
      <c r="P351">
        <v>83</v>
      </c>
      <c r="Q351">
        <v>105.5</v>
      </c>
      <c r="R351">
        <v>107</v>
      </c>
      <c r="S351">
        <v>96.4</v>
      </c>
      <c r="T351">
        <v>47</v>
      </c>
      <c r="U351">
        <v>12.56</v>
      </c>
      <c r="V351">
        <v>34</v>
      </c>
    </row>
    <row r="352" spans="1:22" x14ac:dyDescent="0.25">
      <c r="A352">
        <f>COUNTIF('Value Matchup'!$D$356:$D$423,C352)</f>
        <v>0</v>
      </c>
      <c r="B352">
        <v>298</v>
      </c>
      <c r="C352" t="s">
        <v>418</v>
      </c>
      <c r="D352" t="s">
        <v>175</v>
      </c>
      <c r="E352" s="79" t="s">
        <v>691</v>
      </c>
      <c r="F352">
        <v>-10.48</v>
      </c>
      <c r="G352">
        <v>95.7</v>
      </c>
      <c r="H352">
        <v>294</v>
      </c>
      <c r="I352">
        <v>106.1</v>
      </c>
      <c r="J352">
        <v>271</v>
      </c>
      <c r="K352">
        <v>68.400000000000006</v>
      </c>
      <c r="L352">
        <v>180</v>
      </c>
      <c r="M352">
        <v>0.106</v>
      </c>
      <c r="N352">
        <v>16</v>
      </c>
      <c r="O352">
        <v>-0.69</v>
      </c>
      <c r="P352">
        <v>189</v>
      </c>
      <c r="Q352">
        <v>103.1</v>
      </c>
      <c r="R352">
        <v>169</v>
      </c>
      <c r="S352">
        <v>103.8</v>
      </c>
      <c r="T352">
        <v>239</v>
      </c>
      <c r="U352">
        <v>0.33</v>
      </c>
      <c r="V352">
        <v>208</v>
      </c>
    </row>
    <row r="353" spans="1:22" x14ac:dyDescent="0.25">
      <c r="A353">
        <f>COUNTIF('Value Matchup'!$D$356:$D$423,C353)</f>
        <v>1</v>
      </c>
      <c r="B353">
        <v>92</v>
      </c>
      <c r="C353" t="s">
        <v>419</v>
      </c>
      <c r="D353" t="s">
        <v>158</v>
      </c>
      <c r="E353" s="79" t="s">
        <v>589</v>
      </c>
      <c r="F353">
        <v>10.34</v>
      </c>
      <c r="G353">
        <v>105.8</v>
      </c>
      <c r="H353">
        <v>120</v>
      </c>
      <c r="I353">
        <v>95.5</v>
      </c>
      <c r="J353">
        <v>70</v>
      </c>
      <c r="K353">
        <v>73.7</v>
      </c>
      <c r="L353">
        <v>11</v>
      </c>
      <c r="M353">
        <v>3.2000000000000001E-2</v>
      </c>
      <c r="N353">
        <v>103</v>
      </c>
      <c r="O353">
        <v>-6.48</v>
      </c>
      <c r="P353">
        <v>309</v>
      </c>
      <c r="Q353">
        <v>98.9</v>
      </c>
      <c r="R353">
        <v>289</v>
      </c>
      <c r="S353">
        <v>105.3</v>
      </c>
      <c r="T353">
        <v>316</v>
      </c>
      <c r="U353">
        <v>3.94</v>
      </c>
      <c r="V353">
        <v>145</v>
      </c>
    </row>
    <row r="354" spans="1:22" x14ac:dyDescent="0.25">
      <c r="A354">
        <f>COUNTIF('Value Matchup'!$D$356:$D$423,C354)</f>
        <v>1</v>
      </c>
      <c r="B354">
        <v>11</v>
      </c>
      <c r="C354" t="s">
        <v>39</v>
      </c>
      <c r="D354" t="s">
        <v>231</v>
      </c>
      <c r="E354" s="79" t="s">
        <v>579</v>
      </c>
      <c r="F354">
        <v>24.05</v>
      </c>
      <c r="G354">
        <v>113.3</v>
      </c>
      <c r="H354">
        <v>32</v>
      </c>
      <c r="I354">
        <v>89.2</v>
      </c>
      <c r="J354">
        <v>13</v>
      </c>
      <c r="K354">
        <v>64.900000000000006</v>
      </c>
      <c r="L354">
        <v>327</v>
      </c>
      <c r="M354">
        <v>-4.9000000000000002E-2</v>
      </c>
      <c r="N354">
        <v>283</v>
      </c>
      <c r="O354">
        <v>18.03</v>
      </c>
      <c r="P354">
        <v>9</v>
      </c>
      <c r="Q354">
        <v>111.7</v>
      </c>
      <c r="R354">
        <v>7</v>
      </c>
      <c r="S354">
        <v>93.7</v>
      </c>
      <c r="T354">
        <v>9</v>
      </c>
      <c r="U354">
        <v>1.17</v>
      </c>
      <c r="V354">
        <v>194</v>
      </c>
    </row>
    <row r="355" spans="1:22" x14ac:dyDescent="0.25">
      <c r="A355">
        <f>COUNTIF('Value Matchup'!$D$356:$D$423,C355)</f>
        <v>0</v>
      </c>
      <c r="B355">
        <v>124</v>
      </c>
      <c r="C355" t="s">
        <v>42</v>
      </c>
      <c r="D355" t="s">
        <v>168</v>
      </c>
      <c r="E355" s="79" t="s">
        <v>590</v>
      </c>
      <c r="F355">
        <v>6.05</v>
      </c>
      <c r="G355">
        <v>107.1</v>
      </c>
      <c r="H355">
        <v>105</v>
      </c>
      <c r="I355">
        <v>101</v>
      </c>
      <c r="J355">
        <v>165</v>
      </c>
      <c r="K355">
        <v>66.2</v>
      </c>
      <c r="L355">
        <v>291</v>
      </c>
      <c r="M355">
        <v>2.5000000000000001E-2</v>
      </c>
      <c r="N355">
        <v>116</v>
      </c>
      <c r="O355">
        <v>3.18</v>
      </c>
      <c r="P355">
        <v>145</v>
      </c>
      <c r="Q355">
        <v>104.8</v>
      </c>
      <c r="R355">
        <v>123</v>
      </c>
      <c r="S355">
        <v>101.7</v>
      </c>
      <c r="T355">
        <v>163</v>
      </c>
      <c r="U355">
        <v>5.78</v>
      </c>
      <c r="V355">
        <v>112</v>
      </c>
    </row>
    <row r="356" spans="1:22" x14ac:dyDescent="0.25">
      <c r="A356">
        <f>COUNTIF('Value Matchup'!$D$356:$D$423,C356)</f>
        <v>0</v>
      </c>
      <c r="B356">
        <v>65</v>
      </c>
      <c r="C356" t="s">
        <v>420</v>
      </c>
      <c r="D356" t="s">
        <v>172</v>
      </c>
      <c r="E356" s="79" t="s">
        <v>540</v>
      </c>
      <c r="F356">
        <v>14.16</v>
      </c>
      <c r="G356">
        <v>109.4</v>
      </c>
      <c r="H356">
        <v>76</v>
      </c>
      <c r="I356">
        <v>95.2</v>
      </c>
      <c r="J356">
        <v>66</v>
      </c>
      <c r="K356">
        <v>71.400000000000006</v>
      </c>
      <c r="L356">
        <v>51</v>
      </c>
      <c r="M356">
        <v>-7.8E-2</v>
      </c>
      <c r="N356">
        <v>319</v>
      </c>
      <c r="O356">
        <v>-2.79</v>
      </c>
      <c r="P356">
        <v>227</v>
      </c>
      <c r="Q356">
        <v>102.9</v>
      </c>
      <c r="R356">
        <v>173</v>
      </c>
      <c r="S356">
        <v>105.7</v>
      </c>
      <c r="T356">
        <v>323</v>
      </c>
      <c r="U356">
        <v>5.8</v>
      </c>
      <c r="V356">
        <v>111</v>
      </c>
    </row>
    <row r="357" spans="1:22" x14ac:dyDescent="0.25">
      <c r="B357">
        <v>164</v>
      </c>
      <c r="C357" t="s">
        <v>53</v>
      </c>
      <c r="D357" t="s">
        <v>110</v>
      </c>
      <c r="E357" s="79" t="s">
        <v>528</v>
      </c>
      <c r="F357">
        <v>1.79</v>
      </c>
      <c r="G357">
        <v>109.9</v>
      </c>
      <c r="H357">
        <v>67</v>
      </c>
      <c r="I357">
        <v>108.1</v>
      </c>
      <c r="J357">
        <v>305</v>
      </c>
      <c r="K357">
        <v>69.3</v>
      </c>
      <c r="L357">
        <v>132</v>
      </c>
      <c r="M357">
        <v>4.5999999999999999E-2</v>
      </c>
      <c r="N357">
        <v>81</v>
      </c>
      <c r="O357">
        <v>1.02</v>
      </c>
      <c r="P357">
        <v>166</v>
      </c>
      <c r="Q357">
        <v>102.1</v>
      </c>
      <c r="R357">
        <v>196</v>
      </c>
      <c r="S357">
        <v>101.1</v>
      </c>
      <c r="T357">
        <v>143</v>
      </c>
      <c r="U357">
        <v>-13.32</v>
      </c>
      <c r="V357">
        <v>322</v>
      </c>
    </row>
    <row r="358" spans="1:22" x14ac:dyDescent="0.25">
      <c r="B358">
        <v>61</v>
      </c>
      <c r="C358" t="s">
        <v>44</v>
      </c>
      <c r="D358" t="s">
        <v>149</v>
      </c>
      <c r="E358" s="79" t="s">
        <v>543</v>
      </c>
      <c r="F358">
        <v>14.73</v>
      </c>
      <c r="G358">
        <v>111.5</v>
      </c>
      <c r="H358">
        <v>43</v>
      </c>
      <c r="I358">
        <v>96.7</v>
      </c>
      <c r="J358">
        <v>85</v>
      </c>
      <c r="K358">
        <v>68.2</v>
      </c>
      <c r="L358">
        <v>187</v>
      </c>
      <c r="M358">
        <v>3.0000000000000001E-3</v>
      </c>
      <c r="N358">
        <v>166</v>
      </c>
      <c r="O358">
        <v>10.42</v>
      </c>
      <c r="P358">
        <v>71</v>
      </c>
      <c r="Q358">
        <v>107.9</v>
      </c>
      <c r="R358">
        <v>61</v>
      </c>
      <c r="S358">
        <v>97.5</v>
      </c>
      <c r="T358">
        <v>81</v>
      </c>
      <c r="U358">
        <v>2.13</v>
      </c>
      <c r="V358">
        <v>176</v>
      </c>
    </row>
    <row r="359" spans="1:22" x14ac:dyDescent="0.25">
      <c r="B359">
        <v>119</v>
      </c>
      <c r="C359" t="s">
        <v>93</v>
      </c>
      <c r="D359" t="s">
        <v>145</v>
      </c>
      <c r="E359" s="79" t="s">
        <v>526</v>
      </c>
      <c r="F359">
        <v>6.85</v>
      </c>
      <c r="G359">
        <v>107.9</v>
      </c>
      <c r="H359">
        <v>95</v>
      </c>
      <c r="I359">
        <v>101</v>
      </c>
      <c r="J359">
        <v>164</v>
      </c>
      <c r="K359">
        <v>68.099999999999994</v>
      </c>
      <c r="L359">
        <v>193</v>
      </c>
      <c r="M359">
        <v>0</v>
      </c>
      <c r="N359">
        <v>174</v>
      </c>
      <c r="O359">
        <v>-99</v>
      </c>
      <c r="P359">
        <v>348</v>
      </c>
      <c r="Q359">
        <v>0</v>
      </c>
      <c r="R359">
        <v>348</v>
      </c>
      <c r="S359">
        <v>200</v>
      </c>
      <c r="T359">
        <v>348</v>
      </c>
      <c r="U359">
        <v>-99</v>
      </c>
      <c r="V359">
        <v>331</v>
      </c>
    </row>
    <row r="360" spans="1:22" x14ac:dyDescent="0.25">
      <c r="B360">
        <v>232</v>
      </c>
      <c r="C360" t="s">
        <v>421</v>
      </c>
      <c r="D360" t="s">
        <v>172</v>
      </c>
      <c r="E360" s="79" t="s">
        <v>562</v>
      </c>
      <c r="F360">
        <v>-4.9000000000000004</v>
      </c>
      <c r="G360">
        <v>103.3</v>
      </c>
      <c r="H360">
        <v>167</v>
      </c>
      <c r="I360">
        <v>108.2</v>
      </c>
      <c r="J360">
        <v>306</v>
      </c>
      <c r="K360">
        <v>67.900000000000006</v>
      </c>
      <c r="L360">
        <v>204</v>
      </c>
      <c r="M360">
        <v>3.2000000000000001E-2</v>
      </c>
      <c r="N360">
        <v>101</v>
      </c>
      <c r="O360">
        <v>-3.51</v>
      </c>
      <c r="P360">
        <v>244</v>
      </c>
      <c r="Q360">
        <v>102.1</v>
      </c>
      <c r="R360">
        <v>195</v>
      </c>
      <c r="S360">
        <v>105.6</v>
      </c>
      <c r="T360">
        <v>322</v>
      </c>
      <c r="U360">
        <v>-10.07</v>
      </c>
      <c r="V360">
        <v>313</v>
      </c>
    </row>
  </sheetData>
  <autoFilter ref="A3:V360" xr:uid="{00000000-0009-0000-0000-000004000000}">
    <sortState xmlns:xlrd2="http://schemas.microsoft.com/office/spreadsheetml/2017/richdata2" ref="A4:V356">
      <sortCondition ref="C3:C356"/>
    </sortState>
  </autoFilter>
  <hyperlinks>
    <hyperlink ref="C1" r:id="rId1" xr:uid="{00000000-0004-0000-0400-000000000000}"/>
  </hyperlinks>
  <pageMargins left="0.7" right="0.7" top="0.75" bottom="0.75" header="0.3" footer="0.3"/>
  <pageSetup orientation="portrait" horizontalDpi="4294967292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-0.249977111117893"/>
  </sheetPr>
  <dimension ref="A1:V356"/>
  <sheetViews>
    <sheetView showZeros="0" zoomScale="85" zoomScaleNormal="85" workbookViewId="0">
      <pane ySplit="3" topLeftCell="A238" activePane="bottomLeft" state="frozen"/>
      <selection activeCell="M418" sqref="M418"/>
      <selection pane="bottomLeft" activeCell="C335" sqref="C335:H335"/>
    </sheetView>
  </sheetViews>
  <sheetFormatPr defaultColWidth="7.42578125" defaultRowHeight="15" x14ac:dyDescent="0.25"/>
  <cols>
    <col min="2" max="2" width="23.5703125" bestFit="1" customWidth="1"/>
    <col min="3" max="3" width="6.140625" bestFit="1" customWidth="1"/>
    <col min="4" max="4" width="5.5703125" bestFit="1" customWidth="1"/>
    <col min="7" max="7" width="7.7109375" customWidth="1"/>
    <col min="11" max="11" width="5.42578125" bestFit="1" customWidth="1"/>
    <col min="12" max="12" width="7.85546875" bestFit="1" customWidth="1"/>
    <col min="13" max="13" width="20.28515625" bestFit="1" customWidth="1"/>
    <col min="14" max="14" width="8.5703125" style="79" bestFit="1" customWidth="1"/>
    <col min="15" max="15" width="7.7109375" customWidth="1"/>
    <col min="16" max="16" width="6.5703125" customWidth="1"/>
    <col min="17" max="17" width="5" style="71" bestFit="1" customWidth="1"/>
    <col min="18" max="18" width="7.140625" bestFit="1" customWidth="1"/>
    <col min="19" max="19" width="5" bestFit="1" customWidth="1"/>
  </cols>
  <sheetData>
    <row r="1" spans="1:22" x14ac:dyDescent="0.25">
      <c r="B1" s="12" t="s">
        <v>486</v>
      </c>
    </row>
    <row r="2" spans="1:22" ht="15" customHeight="1" x14ac:dyDescent="0.25">
      <c r="A2" s="1">
        <f>SUM(A4:A356)</f>
        <v>68</v>
      </c>
      <c r="B2" s="11" t="s">
        <v>423</v>
      </c>
      <c r="C2" s="11"/>
      <c r="D2" s="11"/>
      <c r="E2" s="11"/>
      <c r="F2" s="11"/>
      <c r="G2" s="11"/>
      <c r="H2" s="11"/>
      <c r="K2" t="s">
        <v>449</v>
      </c>
      <c r="M2" t="s">
        <v>442</v>
      </c>
      <c r="O2" t="s">
        <v>443</v>
      </c>
    </row>
    <row r="3" spans="1:22" ht="29.25" customHeight="1" x14ac:dyDescent="0.25">
      <c r="A3" s="48" t="s">
        <v>437</v>
      </c>
      <c r="B3" s="57" t="s">
        <v>441</v>
      </c>
      <c r="C3" s="58" t="s">
        <v>424</v>
      </c>
      <c r="D3" s="58" t="s">
        <v>13</v>
      </c>
      <c r="E3" s="58" t="s">
        <v>425</v>
      </c>
      <c r="F3" s="58" t="s">
        <v>14</v>
      </c>
      <c r="G3" s="58" t="s">
        <v>426</v>
      </c>
      <c r="H3" s="58" t="s">
        <v>15</v>
      </c>
      <c r="K3" t="s">
        <v>444</v>
      </c>
      <c r="L3" t="s">
        <v>445</v>
      </c>
      <c r="M3" t="s">
        <v>11</v>
      </c>
      <c r="N3" s="79" t="s">
        <v>446</v>
      </c>
      <c r="O3" t="s">
        <v>447</v>
      </c>
      <c r="P3" t="s">
        <v>448</v>
      </c>
      <c r="Q3" s="71" t="s">
        <v>424</v>
      </c>
      <c r="R3" t="s">
        <v>13</v>
      </c>
      <c r="S3" t="s">
        <v>425</v>
      </c>
      <c r="T3" t="s">
        <v>14</v>
      </c>
      <c r="U3" t="s">
        <v>426</v>
      </c>
      <c r="V3" t="s">
        <v>15</v>
      </c>
    </row>
    <row r="4" spans="1:22" x14ac:dyDescent="0.25">
      <c r="A4">
        <f>COUNTIF('Value Matchup'!$D$356:$D$423,B4)</f>
        <v>1</v>
      </c>
      <c r="B4" s="59" t="s">
        <v>107</v>
      </c>
      <c r="C4" s="60">
        <f>Q4</f>
        <v>0.13</v>
      </c>
      <c r="D4" s="60">
        <f t="shared" ref="D4:H4" si="0">R4</f>
        <v>0.03</v>
      </c>
      <c r="E4" s="60">
        <f t="shared" si="0"/>
        <v>0.01</v>
      </c>
      <c r="F4" s="60">
        <f t="shared" si="0"/>
        <v>0</v>
      </c>
      <c r="G4" s="60">
        <f t="shared" si="0"/>
        <v>0</v>
      </c>
      <c r="H4" s="60">
        <f t="shared" si="0"/>
        <v>0</v>
      </c>
      <c r="K4">
        <v>15</v>
      </c>
      <c r="L4">
        <v>61</v>
      </c>
      <c r="M4" t="s">
        <v>695</v>
      </c>
      <c r="N4" s="79" t="s">
        <v>514</v>
      </c>
      <c r="O4" s="80">
        <v>1</v>
      </c>
      <c r="P4" s="80">
        <v>0.99</v>
      </c>
      <c r="Q4" s="81">
        <v>0.13</v>
      </c>
      <c r="R4" s="80">
        <v>0.03</v>
      </c>
      <c r="S4" s="80">
        <v>0.01</v>
      </c>
      <c r="T4" s="80">
        <v>0</v>
      </c>
      <c r="U4" s="80">
        <v>0</v>
      </c>
      <c r="V4" s="80">
        <v>0</v>
      </c>
    </row>
    <row r="5" spans="1:22" x14ac:dyDescent="0.25">
      <c r="A5">
        <f>COUNTIF('Value Matchup'!$D$356:$D$423,B5)</f>
        <v>0</v>
      </c>
      <c r="B5" t="s">
        <v>109</v>
      </c>
      <c r="C5" s="60"/>
      <c r="D5" s="60"/>
      <c r="E5" s="60"/>
      <c r="F5" s="60"/>
      <c r="G5" s="60"/>
      <c r="H5" s="60"/>
      <c r="M5" t="s">
        <v>696</v>
      </c>
      <c r="N5" s="79">
        <v>44336</v>
      </c>
      <c r="O5" s="80">
        <v>0</v>
      </c>
      <c r="P5" s="80">
        <v>0</v>
      </c>
      <c r="Q5" s="81">
        <v>0</v>
      </c>
      <c r="R5" s="80">
        <v>0</v>
      </c>
      <c r="S5" s="80">
        <v>0</v>
      </c>
      <c r="T5" s="80">
        <v>0</v>
      </c>
      <c r="U5" s="80">
        <v>0</v>
      </c>
      <c r="V5" s="80">
        <v>0</v>
      </c>
    </row>
    <row r="6" spans="1:22" x14ac:dyDescent="0.25">
      <c r="A6">
        <f>COUNTIF('Value Matchup'!$D$356:$D$423,B6)</f>
        <v>0</v>
      </c>
      <c r="B6" s="56" t="s">
        <v>111</v>
      </c>
      <c r="C6" s="60"/>
      <c r="D6" s="60"/>
      <c r="E6" s="60"/>
      <c r="F6" s="60"/>
      <c r="G6" s="60"/>
      <c r="H6" s="60"/>
      <c r="M6" t="s">
        <v>697</v>
      </c>
      <c r="N6" s="79" t="s">
        <v>515</v>
      </c>
      <c r="O6" s="80">
        <v>0</v>
      </c>
      <c r="P6" s="80">
        <v>0</v>
      </c>
      <c r="Q6" s="81">
        <v>0</v>
      </c>
      <c r="R6" s="80">
        <v>0</v>
      </c>
      <c r="S6" s="80">
        <v>0</v>
      </c>
      <c r="T6" s="80">
        <v>0</v>
      </c>
      <c r="U6" s="80">
        <v>0</v>
      </c>
      <c r="V6" s="80">
        <v>0</v>
      </c>
    </row>
    <row r="7" spans="1:22" x14ac:dyDescent="0.25">
      <c r="A7">
        <f>COUNTIF('Value Matchup'!$D$356:$D$423,B7)</f>
        <v>1</v>
      </c>
      <c r="B7" t="s">
        <v>113</v>
      </c>
      <c r="C7" s="60">
        <f>Q8</f>
        <v>0.93</v>
      </c>
      <c r="D7" s="60">
        <f t="shared" ref="D7:H7" si="1">R8</f>
        <v>0.61</v>
      </c>
      <c r="E7" s="60">
        <f t="shared" si="1"/>
        <v>0.37</v>
      </c>
      <c r="F7" s="60">
        <f t="shared" si="1"/>
        <v>0.18</v>
      </c>
      <c r="G7" s="60">
        <f t="shared" si="1"/>
        <v>7.0000000000000007E-2</v>
      </c>
      <c r="H7" s="60">
        <f t="shared" si="1"/>
        <v>0.03</v>
      </c>
      <c r="M7" t="s">
        <v>698</v>
      </c>
      <c r="N7" s="79">
        <v>44356</v>
      </c>
      <c r="O7" s="80">
        <v>0</v>
      </c>
      <c r="P7" s="80">
        <v>0</v>
      </c>
      <c r="Q7" s="81">
        <v>0</v>
      </c>
      <c r="R7" s="80">
        <v>0</v>
      </c>
      <c r="S7" s="80">
        <v>0</v>
      </c>
      <c r="T7" s="80">
        <v>0</v>
      </c>
      <c r="U7" s="80">
        <v>0</v>
      </c>
      <c r="V7" s="80">
        <v>0</v>
      </c>
    </row>
    <row r="8" spans="1:22" x14ac:dyDescent="0.25">
      <c r="A8">
        <f>COUNTIF('Value Matchup'!$D$356:$D$423,B8)</f>
        <v>0</v>
      </c>
      <c r="B8" s="56" t="s">
        <v>115</v>
      </c>
      <c r="C8" s="60"/>
      <c r="D8" s="60"/>
      <c r="E8" s="60"/>
      <c r="F8" s="60"/>
      <c r="G8" s="60"/>
      <c r="H8" s="60"/>
      <c r="K8">
        <v>2</v>
      </c>
      <c r="L8">
        <v>5</v>
      </c>
      <c r="M8" t="s">
        <v>699</v>
      </c>
      <c r="N8" s="79" t="s">
        <v>516</v>
      </c>
      <c r="O8" s="80">
        <v>1</v>
      </c>
      <c r="P8" s="80">
        <v>1</v>
      </c>
      <c r="Q8" s="81">
        <v>0.93</v>
      </c>
      <c r="R8" s="80">
        <v>0.61</v>
      </c>
      <c r="S8" s="80">
        <v>0.37</v>
      </c>
      <c r="T8" s="80">
        <v>0.18</v>
      </c>
      <c r="U8" s="80">
        <v>7.0000000000000007E-2</v>
      </c>
      <c r="V8" s="80">
        <v>0.03</v>
      </c>
    </row>
    <row r="9" spans="1:22" x14ac:dyDescent="0.25">
      <c r="A9">
        <f>COUNTIF('Value Matchup'!$D$356:$D$423,B9)</f>
        <v>0</v>
      </c>
      <c r="B9" t="s">
        <v>117</v>
      </c>
      <c r="C9" s="60"/>
      <c r="D9" s="60"/>
      <c r="E9" s="60"/>
      <c r="F9" s="60"/>
      <c r="G9" s="60"/>
      <c r="H9" s="60"/>
      <c r="M9" t="s">
        <v>700</v>
      </c>
      <c r="N9" s="79">
        <v>44300</v>
      </c>
      <c r="O9" s="80">
        <v>0</v>
      </c>
      <c r="P9" s="80">
        <v>0</v>
      </c>
      <c r="Q9" s="81">
        <v>0</v>
      </c>
      <c r="R9" s="80">
        <v>0</v>
      </c>
      <c r="S9" s="80">
        <v>0</v>
      </c>
      <c r="T9" s="80">
        <v>0</v>
      </c>
      <c r="U9" s="80">
        <v>0</v>
      </c>
      <c r="V9" s="80">
        <v>0</v>
      </c>
    </row>
    <row r="10" spans="1:22" x14ac:dyDescent="0.25">
      <c r="A10">
        <f>COUNTIF('Value Matchup'!$D$356:$D$423,B10)</f>
        <v>0</v>
      </c>
      <c r="B10" s="56" t="s">
        <v>59</v>
      </c>
      <c r="C10" s="60"/>
      <c r="D10" s="60"/>
      <c r="E10" s="60"/>
      <c r="F10" s="60"/>
      <c r="G10" s="60"/>
      <c r="H10" s="60"/>
      <c r="M10" t="s">
        <v>701</v>
      </c>
      <c r="N10" s="79">
        <v>44386</v>
      </c>
      <c r="O10" s="80">
        <v>0</v>
      </c>
      <c r="P10" s="80">
        <v>0</v>
      </c>
      <c r="Q10" s="81">
        <v>0</v>
      </c>
      <c r="R10" s="80">
        <v>0</v>
      </c>
      <c r="S10" s="80">
        <v>0</v>
      </c>
      <c r="T10" s="80">
        <v>0</v>
      </c>
      <c r="U10" s="80">
        <v>0</v>
      </c>
      <c r="V10" s="80">
        <v>0</v>
      </c>
    </row>
    <row r="11" spans="1:22" x14ac:dyDescent="0.25">
      <c r="A11">
        <f>COUNTIF('Value Matchup'!$D$356:$D$423,B11)</f>
        <v>0</v>
      </c>
      <c r="B11" t="s">
        <v>119</v>
      </c>
      <c r="C11" s="60"/>
      <c r="D11" s="60"/>
      <c r="E11" s="60"/>
      <c r="F11" s="60"/>
      <c r="G11" s="60"/>
      <c r="H11" s="60"/>
      <c r="M11" t="s">
        <v>702</v>
      </c>
      <c r="N11" s="79">
        <v>44360</v>
      </c>
      <c r="O11" s="80">
        <v>0</v>
      </c>
      <c r="P11" s="80">
        <v>0</v>
      </c>
      <c r="Q11" s="81">
        <v>0</v>
      </c>
      <c r="R11" s="80">
        <v>0</v>
      </c>
      <c r="S11" s="80">
        <v>0</v>
      </c>
      <c r="T11" s="80">
        <v>0</v>
      </c>
      <c r="U11" s="80">
        <v>0</v>
      </c>
      <c r="V11" s="80">
        <v>0</v>
      </c>
    </row>
    <row r="12" spans="1:22" x14ac:dyDescent="0.25">
      <c r="A12">
        <f>COUNTIF('Value Matchup'!$D$356:$D$423,B12)</f>
        <v>0</v>
      </c>
      <c r="B12" s="56" t="s">
        <v>120</v>
      </c>
      <c r="C12" s="60"/>
      <c r="D12" s="60"/>
      <c r="E12" s="60"/>
      <c r="F12" s="60"/>
      <c r="G12" s="60"/>
      <c r="H12" s="60"/>
      <c r="M12" t="s">
        <v>703</v>
      </c>
      <c r="N12" s="79">
        <v>44292</v>
      </c>
      <c r="O12" s="80">
        <v>0</v>
      </c>
      <c r="P12" s="80">
        <v>0</v>
      </c>
      <c r="Q12" s="81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</row>
    <row r="13" spans="1:22" x14ac:dyDescent="0.25">
      <c r="A13">
        <f>COUNTIF('Value Matchup'!$D$356:$D$423,B13)</f>
        <v>1</v>
      </c>
      <c r="B13" t="s">
        <v>122</v>
      </c>
      <c r="C13" s="60">
        <f>Q13</f>
        <v>0.02</v>
      </c>
      <c r="D13" s="60">
        <f t="shared" ref="D13:H13" si="2">R13</f>
        <v>0</v>
      </c>
      <c r="E13" s="60">
        <f t="shared" si="2"/>
        <v>0</v>
      </c>
      <c r="F13" s="60">
        <f t="shared" si="2"/>
        <v>0</v>
      </c>
      <c r="G13" s="60">
        <f t="shared" si="2"/>
        <v>0</v>
      </c>
      <c r="H13" s="60">
        <f t="shared" si="2"/>
        <v>0</v>
      </c>
      <c r="K13">
        <v>16</v>
      </c>
      <c r="L13">
        <v>63</v>
      </c>
      <c r="M13" t="s">
        <v>704</v>
      </c>
      <c r="N13" s="79" t="s">
        <v>517</v>
      </c>
      <c r="O13" s="80">
        <v>1</v>
      </c>
      <c r="P13" s="80">
        <v>0.75</v>
      </c>
      <c r="Q13" s="81">
        <v>0.02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</row>
    <row r="14" spans="1:22" x14ac:dyDescent="0.25">
      <c r="A14">
        <f>COUNTIF('Value Matchup'!$D$356:$D$423,B14)</f>
        <v>0</v>
      </c>
      <c r="B14" s="56" t="s">
        <v>48</v>
      </c>
      <c r="C14" s="60"/>
      <c r="D14" s="60"/>
      <c r="E14" s="60"/>
      <c r="F14" s="60"/>
      <c r="G14" s="60"/>
      <c r="H14" s="60"/>
      <c r="M14" t="s">
        <v>705</v>
      </c>
      <c r="N14" s="79">
        <v>44514</v>
      </c>
      <c r="O14" s="80">
        <v>0</v>
      </c>
      <c r="P14" s="80">
        <v>0</v>
      </c>
      <c r="Q14" s="81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</row>
    <row r="15" spans="1:22" x14ac:dyDescent="0.25">
      <c r="A15">
        <f>COUNTIF('Value Matchup'!$D$356:$D$423,B15)</f>
        <v>0</v>
      </c>
      <c r="B15" t="s">
        <v>125</v>
      </c>
      <c r="C15" s="60">
        <f>Q14</f>
        <v>0</v>
      </c>
      <c r="D15" s="60"/>
      <c r="E15" s="60"/>
      <c r="F15" s="60"/>
      <c r="G15" s="60"/>
      <c r="H15" s="60"/>
      <c r="M15" t="s">
        <v>706</v>
      </c>
      <c r="N15" s="79" t="s">
        <v>518</v>
      </c>
      <c r="O15" s="80">
        <v>0</v>
      </c>
      <c r="P15" s="80">
        <v>0</v>
      </c>
      <c r="Q15" s="81">
        <v>0</v>
      </c>
      <c r="R15" s="80">
        <v>0</v>
      </c>
      <c r="S15" s="80">
        <v>0</v>
      </c>
      <c r="T15" s="80">
        <v>0</v>
      </c>
      <c r="U15" s="80">
        <v>0</v>
      </c>
      <c r="V15" s="80">
        <v>0</v>
      </c>
    </row>
    <row r="16" spans="1:22" x14ac:dyDescent="0.25">
      <c r="A16">
        <f>COUNTIF('Value Matchup'!$D$356:$D$423,B16)</f>
        <v>1</v>
      </c>
      <c r="B16" s="56" t="s">
        <v>41</v>
      </c>
      <c r="C16" s="60">
        <f>Q17</f>
        <v>0.87</v>
      </c>
      <c r="D16" s="60">
        <f t="shared" ref="D16:H16" si="3">R17</f>
        <v>0.49</v>
      </c>
      <c r="E16" s="60">
        <f t="shared" si="3"/>
        <v>0.22</v>
      </c>
      <c r="F16" s="60">
        <f t="shared" si="3"/>
        <v>0.09</v>
      </c>
      <c r="G16" s="60">
        <f t="shared" si="3"/>
        <v>0.03</v>
      </c>
      <c r="H16" s="60">
        <f t="shared" si="3"/>
        <v>0.01</v>
      </c>
      <c r="M16" t="s">
        <v>707</v>
      </c>
      <c r="N16" s="79">
        <v>44307</v>
      </c>
      <c r="O16" s="80">
        <v>0</v>
      </c>
      <c r="P16" s="80">
        <v>0</v>
      </c>
      <c r="Q16" s="81">
        <v>0</v>
      </c>
      <c r="R16" s="80">
        <v>0</v>
      </c>
      <c r="S16" s="80">
        <v>0</v>
      </c>
      <c r="T16" s="80">
        <v>0</v>
      </c>
      <c r="U16" s="80">
        <v>0</v>
      </c>
      <c r="V16" s="80">
        <v>0</v>
      </c>
    </row>
    <row r="17" spans="1:22" x14ac:dyDescent="0.25">
      <c r="A17">
        <f>COUNTIF('Value Matchup'!$D$356:$D$423,B17)</f>
        <v>0</v>
      </c>
      <c r="B17" t="s">
        <v>126</v>
      </c>
      <c r="C17" s="60"/>
      <c r="D17" s="60"/>
      <c r="E17" s="60"/>
      <c r="F17" s="60"/>
      <c r="G17" s="60"/>
      <c r="H17" s="60"/>
      <c r="K17">
        <v>3</v>
      </c>
      <c r="L17">
        <v>11</v>
      </c>
      <c r="M17" t="s">
        <v>708</v>
      </c>
      <c r="N17" s="79" t="s">
        <v>519</v>
      </c>
      <c r="O17" s="80">
        <v>1</v>
      </c>
      <c r="P17" s="80">
        <v>1</v>
      </c>
      <c r="Q17" s="81">
        <v>0.87</v>
      </c>
      <c r="R17" s="80">
        <v>0.49</v>
      </c>
      <c r="S17" s="80">
        <v>0.22</v>
      </c>
      <c r="T17" s="80">
        <v>0.09</v>
      </c>
      <c r="U17" s="80">
        <v>0.03</v>
      </c>
      <c r="V17" s="80">
        <v>0.01</v>
      </c>
    </row>
    <row r="18" spans="1:22" x14ac:dyDescent="0.25">
      <c r="A18">
        <f>COUNTIF('Value Matchup'!$D$356:$D$423,B18)</f>
        <v>0</v>
      </c>
      <c r="B18" s="56" t="s">
        <v>127</v>
      </c>
      <c r="C18" s="60"/>
      <c r="D18" s="60"/>
      <c r="E18" s="60"/>
      <c r="F18" s="60"/>
      <c r="G18" s="60"/>
      <c r="H18" s="60"/>
      <c r="M18" t="s">
        <v>709</v>
      </c>
      <c r="N18" s="79">
        <v>44513</v>
      </c>
      <c r="O18" s="80">
        <v>0</v>
      </c>
      <c r="P18" s="80">
        <v>0</v>
      </c>
      <c r="Q18" s="81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</row>
    <row r="19" spans="1:22" x14ac:dyDescent="0.25">
      <c r="A19">
        <f>COUNTIF('Value Matchup'!$D$356:$D$423,B19)</f>
        <v>0</v>
      </c>
      <c r="B19" t="s">
        <v>128</v>
      </c>
      <c r="C19" s="60"/>
      <c r="D19" s="60"/>
      <c r="E19" s="60"/>
      <c r="F19" s="60"/>
      <c r="G19" s="60"/>
      <c r="H19" s="60"/>
      <c r="M19" t="s">
        <v>710</v>
      </c>
      <c r="N19" s="79">
        <v>44539</v>
      </c>
      <c r="O19" s="80">
        <v>0</v>
      </c>
      <c r="P19" s="80">
        <v>0</v>
      </c>
      <c r="Q19" s="81">
        <v>0</v>
      </c>
      <c r="R19" s="80">
        <v>0</v>
      </c>
      <c r="S19" s="80">
        <v>0</v>
      </c>
      <c r="T19" s="80">
        <v>0</v>
      </c>
      <c r="U19" s="80">
        <v>0</v>
      </c>
      <c r="V19" s="80">
        <v>0</v>
      </c>
    </row>
    <row r="20" spans="1:22" x14ac:dyDescent="0.25">
      <c r="A20">
        <f>COUNTIF('Value Matchup'!$D$356:$D$423,B20)</f>
        <v>0</v>
      </c>
      <c r="B20" s="56" t="s">
        <v>129</v>
      </c>
      <c r="C20" s="60"/>
      <c r="D20" s="60"/>
      <c r="E20" s="60"/>
      <c r="F20" s="60"/>
      <c r="G20" s="60"/>
      <c r="H20" s="60"/>
      <c r="M20" t="s">
        <v>711</v>
      </c>
      <c r="N20" s="79" t="s">
        <v>520</v>
      </c>
      <c r="O20" s="80">
        <v>0</v>
      </c>
      <c r="P20" s="80">
        <v>0</v>
      </c>
      <c r="Q20" s="81">
        <v>0</v>
      </c>
      <c r="R20" s="80">
        <v>0</v>
      </c>
      <c r="S20" s="80">
        <v>0</v>
      </c>
      <c r="T20" s="80">
        <v>0</v>
      </c>
      <c r="U20" s="80">
        <v>0</v>
      </c>
      <c r="V20" s="80">
        <v>0</v>
      </c>
    </row>
    <row r="21" spans="1:22" x14ac:dyDescent="0.25">
      <c r="A21">
        <f>COUNTIF('Value Matchup'!$D$356:$D$423,B21)</f>
        <v>0</v>
      </c>
      <c r="B21" t="s">
        <v>130</v>
      </c>
      <c r="C21" s="60"/>
      <c r="D21" s="60"/>
      <c r="E21" s="60"/>
      <c r="F21" s="60"/>
      <c r="G21" s="60"/>
      <c r="H21" s="60"/>
      <c r="M21" t="s">
        <v>712</v>
      </c>
      <c r="N21" s="79" t="s">
        <v>521</v>
      </c>
      <c r="O21" s="80">
        <v>0</v>
      </c>
      <c r="P21" s="80">
        <v>0</v>
      </c>
      <c r="Q21" s="81">
        <v>0</v>
      </c>
      <c r="R21" s="80">
        <v>0</v>
      </c>
      <c r="S21" s="80">
        <v>0</v>
      </c>
      <c r="T21" s="80">
        <v>0</v>
      </c>
      <c r="U21" s="80">
        <v>0</v>
      </c>
      <c r="V21" s="80">
        <v>0</v>
      </c>
    </row>
    <row r="22" spans="1:22" x14ac:dyDescent="0.25">
      <c r="A22">
        <f>COUNTIF('Value Matchup'!$D$356:$D$423,B22)</f>
        <v>0</v>
      </c>
      <c r="B22" s="56" t="s">
        <v>132</v>
      </c>
      <c r="C22" s="60"/>
      <c r="D22" s="60"/>
      <c r="E22" s="60"/>
      <c r="F22" s="60"/>
      <c r="G22" s="60"/>
      <c r="H22" s="60"/>
      <c r="M22" t="s">
        <v>713</v>
      </c>
      <c r="N22" s="79">
        <v>44482</v>
      </c>
      <c r="O22" s="80">
        <v>0</v>
      </c>
      <c r="P22" s="80">
        <v>0</v>
      </c>
      <c r="Q22" s="81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</row>
    <row r="23" spans="1:22" x14ac:dyDescent="0.25">
      <c r="A23">
        <f>COUNTIF('Value Matchup'!$D$356:$D$423,B23)</f>
        <v>1</v>
      </c>
      <c r="B23" t="s">
        <v>46</v>
      </c>
      <c r="C23" s="60">
        <f>Q23</f>
        <v>0.98</v>
      </c>
      <c r="D23" s="60">
        <f t="shared" ref="D23:H23" si="4">R23</f>
        <v>0.77</v>
      </c>
      <c r="E23" s="60">
        <f t="shared" si="4"/>
        <v>0.56000000000000005</v>
      </c>
      <c r="F23" s="60">
        <f t="shared" si="4"/>
        <v>0.38</v>
      </c>
      <c r="G23" s="60">
        <f t="shared" si="4"/>
        <v>0.25</v>
      </c>
      <c r="H23" s="60">
        <f t="shared" si="4"/>
        <v>0.14000000000000001</v>
      </c>
      <c r="K23">
        <v>1</v>
      </c>
      <c r="L23">
        <v>2</v>
      </c>
      <c r="M23" t="s">
        <v>714</v>
      </c>
      <c r="N23" s="79" t="s">
        <v>522</v>
      </c>
      <c r="O23" s="80">
        <v>1</v>
      </c>
      <c r="P23" s="80">
        <v>1</v>
      </c>
      <c r="Q23" s="81">
        <v>0.98</v>
      </c>
      <c r="R23" s="80">
        <v>0.77</v>
      </c>
      <c r="S23" s="80">
        <v>0.56000000000000005</v>
      </c>
      <c r="T23" s="80">
        <v>0.38</v>
      </c>
      <c r="U23" s="80">
        <v>0.25</v>
      </c>
      <c r="V23" s="80">
        <v>0.14000000000000001</v>
      </c>
    </row>
    <row r="24" spans="1:22" x14ac:dyDescent="0.25">
      <c r="A24">
        <f>COUNTIF('Value Matchup'!$D$356:$D$423,B24)</f>
        <v>0</v>
      </c>
      <c r="B24" s="56" t="s">
        <v>62</v>
      </c>
      <c r="C24" s="60"/>
      <c r="D24" s="60"/>
      <c r="E24" s="60"/>
      <c r="F24" s="60"/>
      <c r="G24" s="60"/>
      <c r="H24" s="60"/>
      <c r="M24" t="s">
        <v>715</v>
      </c>
      <c r="N24" s="79" t="s">
        <v>524</v>
      </c>
      <c r="O24" s="80">
        <v>0</v>
      </c>
      <c r="P24" s="80">
        <v>0</v>
      </c>
      <c r="Q24" s="81">
        <v>0</v>
      </c>
      <c r="R24" s="80">
        <v>0</v>
      </c>
      <c r="S24" s="80">
        <v>0</v>
      </c>
      <c r="T24" s="80">
        <v>0</v>
      </c>
      <c r="U24" s="80">
        <v>0</v>
      </c>
      <c r="V24" s="80">
        <v>0</v>
      </c>
    </row>
    <row r="25" spans="1:22" x14ac:dyDescent="0.25">
      <c r="A25">
        <f>COUNTIF('Value Matchup'!$D$356:$D$423,B25)</f>
        <v>0</v>
      </c>
      <c r="B25" t="s">
        <v>134</v>
      </c>
      <c r="C25" s="60"/>
      <c r="D25" s="60"/>
      <c r="E25" s="60"/>
      <c r="F25" s="60"/>
      <c r="G25" s="60"/>
      <c r="H25" s="60"/>
      <c r="M25" t="s">
        <v>716</v>
      </c>
      <c r="N25" s="79" t="s">
        <v>525</v>
      </c>
      <c r="O25" s="80">
        <v>0</v>
      </c>
      <c r="P25" s="80">
        <v>0</v>
      </c>
      <c r="Q25" s="81">
        <v>0</v>
      </c>
      <c r="R25" s="80">
        <v>0</v>
      </c>
      <c r="S25" s="80">
        <v>0</v>
      </c>
      <c r="T25" s="80">
        <v>0</v>
      </c>
      <c r="U25" s="80">
        <v>0</v>
      </c>
      <c r="V25" s="80">
        <v>0</v>
      </c>
    </row>
    <row r="26" spans="1:22" x14ac:dyDescent="0.25">
      <c r="A26">
        <f>COUNTIF('Value Matchup'!$D$356:$D$423,B26)</f>
        <v>0</v>
      </c>
      <c r="B26" s="56" t="s">
        <v>136</v>
      </c>
      <c r="C26" s="60"/>
      <c r="D26" s="60"/>
      <c r="E26" s="60"/>
      <c r="F26" s="60"/>
      <c r="G26" s="60"/>
      <c r="H26" s="60"/>
      <c r="M26" t="s">
        <v>717</v>
      </c>
      <c r="N26" s="79">
        <v>44300</v>
      </c>
      <c r="O26" s="80">
        <v>0</v>
      </c>
      <c r="P26" s="80">
        <v>0</v>
      </c>
      <c r="Q26" s="81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</row>
    <row r="27" spans="1:22" x14ac:dyDescent="0.25">
      <c r="A27">
        <f>COUNTIF('Value Matchup'!$D$356:$D$423,B27)</f>
        <v>0</v>
      </c>
      <c r="B27" t="s">
        <v>137</v>
      </c>
      <c r="C27" s="60"/>
      <c r="D27" s="60"/>
      <c r="E27" s="60"/>
      <c r="F27" s="60"/>
      <c r="G27" s="60"/>
      <c r="H27" s="60"/>
      <c r="M27" t="s">
        <v>718</v>
      </c>
      <c r="N27" s="79" t="s">
        <v>527</v>
      </c>
      <c r="O27" s="80">
        <v>0.02</v>
      </c>
      <c r="P27" s="80">
        <v>0.02</v>
      </c>
      <c r="Q27" s="81">
        <v>0.01</v>
      </c>
      <c r="R27" s="80">
        <v>0</v>
      </c>
      <c r="S27" s="80">
        <v>0</v>
      </c>
      <c r="T27" s="80">
        <v>0</v>
      </c>
      <c r="U27" s="80">
        <v>0</v>
      </c>
      <c r="V27" s="80">
        <v>0</v>
      </c>
    </row>
    <row r="28" spans="1:22" x14ac:dyDescent="0.25">
      <c r="A28">
        <f>COUNTIF('Value Matchup'!$D$356:$D$423,B28)</f>
        <v>0</v>
      </c>
      <c r="B28" s="56" t="s">
        <v>138</v>
      </c>
      <c r="C28" s="60"/>
      <c r="D28" s="60"/>
      <c r="E28" s="60"/>
      <c r="F28" s="60"/>
      <c r="G28" s="60"/>
      <c r="H28" s="60"/>
      <c r="M28" t="s">
        <v>719</v>
      </c>
      <c r="N28" s="79">
        <v>44302</v>
      </c>
      <c r="O28" s="80">
        <v>0</v>
      </c>
      <c r="P28" s="80">
        <v>0</v>
      </c>
      <c r="Q28" s="81">
        <v>0</v>
      </c>
      <c r="R28" s="80">
        <v>0</v>
      </c>
      <c r="S28" s="80">
        <v>0</v>
      </c>
      <c r="T28" s="80">
        <v>0</v>
      </c>
      <c r="U28" s="80">
        <v>0</v>
      </c>
      <c r="V28" s="80">
        <v>0</v>
      </c>
    </row>
    <row r="29" spans="1:22" x14ac:dyDescent="0.25">
      <c r="A29">
        <f>COUNTIF('Value Matchup'!$D$356:$D$423,B29)</f>
        <v>0</v>
      </c>
      <c r="B29" t="s">
        <v>140</v>
      </c>
      <c r="C29" s="60"/>
      <c r="D29" s="60"/>
      <c r="E29" s="60"/>
      <c r="F29" s="60"/>
      <c r="G29" s="60"/>
      <c r="H29" s="60"/>
      <c r="M29" t="s">
        <v>720</v>
      </c>
      <c r="N29" s="79">
        <v>44388</v>
      </c>
      <c r="O29" s="80">
        <v>0</v>
      </c>
      <c r="P29" s="80">
        <v>0</v>
      </c>
      <c r="Q29" s="81">
        <v>0</v>
      </c>
      <c r="R29" s="80">
        <v>0</v>
      </c>
      <c r="S29" s="80">
        <v>0</v>
      </c>
      <c r="T29" s="80">
        <v>0</v>
      </c>
      <c r="U29" s="80">
        <v>0</v>
      </c>
      <c r="V29" s="80">
        <v>0</v>
      </c>
    </row>
    <row r="30" spans="1:22" x14ac:dyDescent="0.25">
      <c r="A30">
        <f>COUNTIF('Value Matchup'!$D$356:$D$423,B30)</f>
        <v>0</v>
      </c>
      <c r="B30" s="56" t="s">
        <v>141</v>
      </c>
      <c r="C30" s="60"/>
      <c r="D30" s="60"/>
      <c r="E30" s="60"/>
      <c r="F30" s="60"/>
      <c r="G30" s="60"/>
      <c r="H30" s="60"/>
      <c r="M30" t="s">
        <v>721</v>
      </c>
      <c r="N30" s="79" t="s">
        <v>528</v>
      </c>
      <c r="O30" s="80">
        <v>0</v>
      </c>
      <c r="P30" s="80">
        <v>0</v>
      </c>
      <c r="Q30" s="81">
        <v>0</v>
      </c>
      <c r="R30" s="80">
        <v>0</v>
      </c>
      <c r="S30" s="80">
        <v>0</v>
      </c>
      <c r="T30" s="80">
        <v>0</v>
      </c>
      <c r="U30" s="80">
        <v>0</v>
      </c>
      <c r="V30" s="80">
        <v>0</v>
      </c>
    </row>
    <row r="31" spans="1:22" x14ac:dyDescent="0.25">
      <c r="A31">
        <f>COUNTIF('Value Matchup'!$D$356:$D$423,B31)</f>
        <v>0</v>
      </c>
      <c r="B31" t="s">
        <v>142</v>
      </c>
      <c r="C31" s="60"/>
      <c r="D31" s="60"/>
      <c r="E31" s="60"/>
      <c r="F31" s="60"/>
      <c r="G31" s="60"/>
      <c r="H31" s="60"/>
      <c r="M31" t="s">
        <v>722</v>
      </c>
      <c r="N31" s="79">
        <v>44546</v>
      </c>
      <c r="O31" s="80">
        <v>0</v>
      </c>
      <c r="P31" s="80">
        <v>0</v>
      </c>
      <c r="Q31" s="81">
        <v>0</v>
      </c>
      <c r="R31" s="80">
        <v>0</v>
      </c>
      <c r="S31" s="80">
        <v>0</v>
      </c>
      <c r="T31" s="80">
        <v>0</v>
      </c>
      <c r="U31" s="80">
        <v>0</v>
      </c>
      <c r="V31" s="80">
        <v>0</v>
      </c>
    </row>
    <row r="32" spans="1:22" x14ac:dyDescent="0.25">
      <c r="A32">
        <f>COUNTIF('Value Matchup'!$D$356:$D$423,B32)</f>
        <v>0</v>
      </c>
      <c r="B32" s="56" t="s">
        <v>144</v>
      </c>
      <c r="C32" s="60"/>
      <c r="D32" s="60"/>
      <c r="E32" s="60"/>
      <c r="F32" s="60"/>
      <c r="G32" s="60"/>
      <c r="H32" s="60"/>
      <c r="K32">
        <v>6</v>
      </c>
      <c r="L32">
        <v>24</v>
      </c>
      <c r="M32" t="s">
        <v>723</v>
      </c>
      <c r="N32" s="79" t="s">
        <v>531</v>
      </c>
      <c r="O32" s="80">
        <v>1</v>
      </c>
      <c r="P32" s="80">
        <v>1</v>
      </c>
      <c r="Q32" s="81">
        <v>0.57999999999999996</v>
      </c>
      <c r="R32" s="80">
        <v>0.22</v>
      </c>
      <c r="S32" s="80">
        <v>0.08</v>
      </c>
      <c r="T32" s="80">
        <v>0.03</v>
      </c>
      <c r="U32" s="80">
        <v>0.01</v>
      </c>
      <c r="V32" s="80">
        <v>0</v>
      </c>
    </row>
    <row r="33" spans="1:22" x14ac:dyDescent="0.25">
      <c r="A33">
        <f>COUNTIF('Value Matchup'!$D$356:$D$423,B33)</f>
        <v>0</v>
      </c>
      <c r="B33" t="s">
        <v>146</v>
      </c>
      <c r="C33" s="60"/>
      <c r="D33" s="60"/>
      <c r="E33" s="60"/>
      <c r="F33" s="60"/>
      <c r="G33" s="60"/>
      <c r="H33" s="60"/>
      <c r="M33" t="s">
        <v>724</v>
      </c>
      <c r="N33" s="79" t="s">
        <v>529</v>
      </c>
      <c r="O33" s="80">
        <v>0</v>
      </c>
      <c r="P33" s="80">
        <v>0</v>
      </c>
      <c r="Q33" s="81">
        <v>0</v>
      </c>
      <c r="R33" s="80">
        <v>0</v>
      </c>
      <c r="S33" s="80">
        <v>0</v>
      </c>
      <c r="T33" s="80">
        <v>0</v>
      </c>
      <c r="U33" s="80">
        <v>0</v>
      </c>
      <c r="V33" s="80">
        <v>0</v>
      </c>
    </row>
    <row r="34" spans="1:22" x14ac:dyDescent="0.25">
      <c r="A34">
        <f>COUNTIF('Value Matchup'!$D$356:$D$423,B34)</f>
        <v>0</v>
      </c>
      <c r="B34" s="56" t="s">
        <v>148</v>
      </c>
      <c r="C34" s="60"/>
      <c r="D34" s="60"/>
      <c r="E34" s="60"/>
      <c r="F34" s="60"/>
      <c r="G34" s="60"/>
      <c r="H34" s="60"/>
      <c r="M34" t="s">
        <v>725</v>
      </c>
      <c r="N34" s="79">
        <v>44323</v>
      </c>
      <c r="O34" s="80">
        <v>0</v>
      </c>
      <c r="P34" s="80">
        <v>0</v>
      </c>
      <c r="Q34" s="81">
        <v>0</v>
      </c>
      <c r="R34" s="80">
        <v>0</v>
      </c>
      <c r="S34" s="80">
        <v>0</v>
      </c>
      <c r="T34" s="80">
        <v>0</v>
      </c>
      <c r="U34" s="80">
        <v>0</v>
      </c>
      <c r="V34" s="80">
        <v>0</v>
      </c>
    </row>
    <row r="35" spans="1:22" x14ac:dyDescent="0.25">
      <c r="A35">
        <f>COUNTIF('Value Matchup'!$D$356:$D$423,B35)</f>
        <v>0</v>
      </c>
      <c r="B35" t="s">
        <v>30</v>
      </c>
      <c r="C35" s="60"/>
      <c r="D35" s="60"/>
      <c r="E35" s="60"/>
      <c r="F35" s="60"/>
      <c r="G35" s="60"/>
      <c r="H35" s="60"/>
      <c r="M35" t="s">
        <v>726</v>
      </c>
      <c r="N35" s="79" t="s">
        <v>530</v>
      </c>
      <c r="O35" s="80">
        <v>0</v>
      </c>
      <c r="P35" s="80">
        <v>0</v>
      </c>
      <c r="Q35" s="81">
        <v>0</v>
      </c>
      <c r="R35" s="80">
        <v>0</v>
      </c>
      <c r="S35" s="80">
        <v>0</v>
      </c>
      <c r="T35" s="80">
        <v>0</v>
      </c>
      <c r="U35" s="80">
        <v>0</v>
      </c>
      <c r="V35" s="80">
        <v>0</v>
      </c>
    </row>
    <row r="36" spans="1:22" x14ac:dyDescent="0.25">
      <c r="A36">
        <f>COUNTIF('Value Matchup'!$D$356:$D$423,B36)</f>
        <v>0</v>
      </c>
      <c r="B36" s="56" t="s">
        <v>33</v>
      </c>
      <c r="C36" s="60"/>
      <c r="D36" s="60"/>
      <c r="E36" s="60"/>
      <c r="F36" s="60"/>
      <c r="G36" s="60"/>
      <c r="H36" s="60"/>
      <c r="M36" t="s">
        <v>727</v>
      </c>
      <c r="N36" s="79">
        <v>44484</v>
      </c>
      <c r="O36" s="80">
        <v>0</v>
      </c>
      <c r="P36" s="80">
        <v>0</v>
      </c>
      <c r="Q36" s="81">
        <v>0</v>
      </c>
      <c r="R36" s="80">
        <v>0</v>
      </c>
      <c r="S36" s="80">
        <v>0</v>
      </c>
      <c r="T36" s="80">
        <v>0</v>
      </c>
      <c r="U36" s="80">
        <v>0</v>
      </c>
      <c r="V36" s="80">
        <v>0</v>
      </c>
    </row>
    <row r="37" spans="1:22" x14ac:dyDescent="0.25">
      <c r="A37">
        <f>COUNTIF('Value Matchup'!$D$356:$D$423,B37)</f>
        <v>1</v>
      </c>
      <c r="B37" t="s">
        <v>72</v>
      </c>
      <c r="C37" s="60">
        <f>Q32</f>
        <v>0.57999999999999996</v>
      </c>
      <c r="D37" s="60">
        <f t="shared" ref="D37:H37" si="5">R32</f>
        <v>0.22</v>
      </c>
      <c r="E37" s="60">
        <f t="shared" si="5"/>
        <v>0.08</v>
      </c>
      <c r="F37" s="60">
        <f t="shared" si="5"/>
        <v>0.03</v>
      </c>
      <c r="G37" s="60">
        <f t="shared" si="5"/>
        <v>0.01</v>
      </c>
      <c r="H37" s="60">
        <f t="shared" si="5"/>
        <v>0</v>
      </c>
      <c r="M37" t="s">
        <v>728</v>
      </c>
      <c r="N37" s="79">
        <v>44306</v>
      </c>
      <c r="O37" s="80">
        <v>0</v>
      </c>
      <c r="P37" s="80">
        <v>0</v>
      </c>
      <c r="Q37" s="81">
        <v>0</v>
      </c>
      <c r="R37" s="80">
        <v>0</v>
      </c>
      <c r="S37" s="80">
        <v>0</v>
      </c>
      <c r="T37" s="80">
        <v>0</v>
      </c>
      <c r="U37" s="80">
        <v>0</v>
      </c>
      <c r="V37" s="80">
        <v>0</v>
      </c>
    </row>
    <row r="38" spans="1:22" x14ac:dyDescent="0.25">
      <c r="A38">
        <f>COUNTIF('Value Matchup'!$D$356:$D$423,B38)</f>
        <v>0</v>
      </c>
      <c r="B38" s="56" t="s">
        <v>487</v>
      </c>
      <c r="C38" s="60"/>
      <c r="D38" s="60"/>
      <c r="E38" s="60"/>
      <c r="F38" s="60"/>
      <c r="G38" s="60"/>
      <c r="H38" s="60"/>
      <c r="M38" t="s">
        <v>729</v>
      </c>
      <c r="N38" s="79" t="s">
        <v>532</v>
      </c>
      <c r="O38" s="80">
        <v>0</v>
      </c>
      <c r="P38" s="80">
        <v>0</v>
      </c>
      <c r="Q38" s="81">
        <v>0</v>
      </c>
      <c r="R38" s="80">
        <v>0</v>
      </c>
      <c r="S38" s="80">
        <v>0</v>
      </c>
      <c r="T38" s="80">
        <v>0</v>
      </c>
      <c r="U38" s="80">
        <v>0</v>
      </c>
      <c r="V38" s="80">
        <v>0</v>
      </c>
    </row>
    <row r="39" spans="1:22" x14ac:dyDescent="0.25">
      <c r="A39">
        <f>COUNTIF('Value Matchup'!$D$356:$D$423,B39)</f>
        <v>0</v>
      </c>
      <c r="B39" t="s">
        <v>151</v>
      </c>
      <c r="C39" s="60"/>
      <c r="D39" s="60"/>
      <c r="E39" s="60"/>
      <c r="F39" s="60"/>
      <c r="G39" s="60"/>
      <c r="H39" s="60"/>
      <c r="M39" t="s">
        <v>730</v>
      </c>
      <c r="N39" s="79">
        <v>44459</v>
      </c>
      <c r="O39" s="80">
        <v>0</v>
      </c>
      <c r="P39" s="80">
        <v>0</v>
      </c>
      <c r="Q39" s="81">
        <v>0</v>
      </c>
      <c r="R39" s="80">
        <v>0</v>
      </c>
      <c r="S39" s="80">
        <v>0</v>
      </c>
      <c r="T39" s="80">
        <v>0</v>
      </c>
      <c r="U39" s="80">
        <v>0</v>
      </c>
      <c r="V39" s="80">
        <v>0</v>
      </c>
    </row>
    <row r="40" spans="1:22" x14ac:dyDescent="0.25">
      <c r="A40">
        <f>COUNTIF('Value Matchup'!$D$356:$D$423,B40)</f>
        <v>0</v>
      </c>
      <c r="B40" s="56" t="s">
        <v>153</v>
      </c>
      <c r="C40" s="60"/>
      <c r="D40" s="60"/>
      <c r="E40" s="60"/>
      <c r="F40" s="60"/>
      <c r="G40" s="60"/>
      <c r="H40" s="60"/>
      <c r="M40" t="s">
        <v>731</v>
      </c>
      <c r="N40" s="79" t="s">
        <v>534</v>
      </c>
      <c r="O40" s="80">
        <v>0</v>
      </c>
      <c r="P40" s="80">
        <v>0</v>
      </c>
      <c r="Q40" s="81">
        <v>0</v>
      </c>
      <c r="R40" s="80">
        <v>0</v>
      </c>
      <c r="S40" s="80">
        <v>0</v>
      </c>
      <c r="T40" s="80">
        <v>0</v>
      </c>
      <c r="U40" s="80">
        <v>0</v>
      </c>
      <c r="V40" s="80">
        <v>0</v>
      </c>
    </row>
    <row r="41" spans="1:22" x14ac:dyDescent="0.25">
      <c r="A41">
        <f>COUNTIF('Value Matchup'!$D$356:$D$423,B41)</f>
        <v>0</v>
      </c>
      <c r="B41" t="s">
        <v>155</v>
      </c>
      <c r="C41" s="60"/>
      <c r="D41" s="60"/>
      <c r="E41" s="60"/>
      <c r="F41" s="60"/>
      <c r="G41" s="60"/>
      <c r="H41" s="60"/>
      <c r="M41" t="s">
        <v>732</v>
      </c>
      <c r="N41" s="79">
        <v>44383</v>
      </c>
      <c r="O41" s="80">
        <v>0</v>
      </c>
      <c r="P41" s="80">
        <v>0</v>
      </c>
      <c r="Q41" s="81">
        <v>0</v>
      </c>
      <c r="R41" s="80">
        <v>0</v>
      </c>
      <c r="S41" s="80">
        <v>0</v>
      </c>
      <c r="T41" s="80">
        <v>0</v>
      </c>
      <c r="U41" s="80">
        <v>0</v>
      </c>
      <c r="V41" s="80">
        <v>0</v>
      </c>
    </row>
    <row r="42" spans="1:22" x14ac:dyDescent="0.25">
      <c r="A42">
        <f>COUNTIF('Value Matchup'!$D$356:$D$423,B42)</f>
        <v>0</v>
      </c>
      <c r="B42" s="56" t="s">
        <v>156</v>
      </c>
      <c r="C42" s="60"/>
      <c r="D42" s="60"/>
      <c r="E42" s="60"/>
      <c r="F42" s="60"/>
      <c r="G42" s="60"/>
      <c r="H42" s="60"/>
      <c r="M42" t="s">
        <v>733</v>
      </c>
      <c r="N42" s="79">
        <v>44335</v>
      </c>
      <c r="O42" s="80">
        <v>0</v>
      </c>
      <c r="P42" s="80">
        <v>0</v>
      </c>
      <c r="Q42" s="81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</row>
    <row r="43" spans="1:22" x14ac:dyDescent="0.25">
      <c r="A43">
        <f>COUNTIF('Value Matchup'!$D$356:$D$423,B43)</f>
        <v>0</v>
      </c>
      <c r="B43" t="s">
        <v>84</v>
      </c>
      <c r="C43" s="60"/>
      <c r="D43" s="60"/>
      <c r="E43" s="60"/>
      <c r="F43" s="60"/>
      <c r="G43" s="60"/>
      <c r="H43" s="60"/>
      <c r="M43" t="s">
        <v>734</v>
      </c>
      <c r="N43" s="79">
        <v>44332</v>
      </c>
      <c r="O43" s="80">
        <v>0</v>
      </c>
      <c r="P43" s="80">
        <v>0</v>
      </c>
      <c r="Q43" s="81">
        <v>0</v>
      </c>
      <c r="R43" s="80">
        <v>0</v>
      </c>
      <c r="S43" s="80">
        <v>0</v>
      </c>
      <c r="T43" s="80">
        <v>0</v>
      </c>
      <c r="U43" s="80">
        <v>0</v>
      </c>
      <c r="V43" s="80">
        <v>0</v>
      </c>
    </row>
    <row r="44" spans="1:22" x14ac:dyDescent="0.25">
      <c r="A44">
        <f>COUNTIF('Value Matchup'!$D$356:$D$423,B44)</f>
        <v>0</v>
      </c>
      <c r="B44" s="56" t="s">
        <v>157</v>
      </c>
      <c r="C44" s="60"/>
      <c r="D44" s="60"/>
      <c r="E44" s="60"/>
      <c r="F44" s="60"/>
      <c r="G44" s="60"/>
      <c r="H44" s="60"/>
      <c r="M44" t="s">
        <v>735</v>
      </c>
      <c r="N44" s="79">
        <v>44512</v>
      </c>
      <c r="O44" s="80">
        <v>0</v>
      </c>
      <c r="P44" s="80">
        <v>0</v>
      </c>
      <c r="Q44" s="81">
        <v>0</v>
      </c>
      <c r="R44" s="80">
        <v>0</v>
      </c>
      <c r="S44" s="80">
        <v>0</v>
      </c>
      <c r="T44" s="80">
        <v>0</v>
      </c>
      <c r="U44" s="80">
        <v>0</v>
      </c>
      <c r="V44" s="80">
        <v>0</v>
      </c>
    </row>
    <row r="45" spans="1:22" x14ac:dyDescent="0.25">
      <c r="A45">
        <f>COUNTIF('Value Matchup'!$D$356:$D$423,B45)</f>
        <v>0</v>
      </c>
      <c r="B45" t="s">
        <v>159</v>
      </c>
      <c r="C45" s="60"/>
      <c r="D45" s="60"/>
      <c r="E45" s="60"/>
      <c r="F45" s="60"/>
      <c r="G45" s="60"/>
      <c r="H45" s="60"/>
      <c r="M45" t="s">
        <v>736</v>
      </c>
      <c r="N45" s="79">
        <v>44393</v>
      </c>
      <c r="O45" s="80">
        <v>0</v>
      </c>
      <c r="P45" s="80">
        <v>0</v>
      </c>
      <c r="Q45" s="81">
        <v>0</v>
      </c>
      <c r="R45" s="80">
        <v>0</v>
      </c>
      <c r="S45" s="80">
        <v>0</v>
      </c>
      <c r="T45" s="80">
        <v>0</v>
      </c>
      <c r="U45" s="80">
        <v>0</v>
      </c>
      <c r="V45" s="80">
        <v>0</v>
      </c>
    </row>
    <row r="46" spans="1:22" x14ac:dyDescent="0.25">
      <c r="A46">
        <f>COUNTIF('Value Matchup'!$D$356:$D$423,B46)</f>
        <v>0</v>
      </c>
      <c r="B46" s="56" t="s">
        <v>161</v>
      </c>
      <c r="C46" s="60"/>
      <c r="D46" s="60"/>
      <c r="E46" s="60"/>
      <c r="F46" s="60"/>
      <c r="G46" s="60"/>
      <c r="H46" s="60"/>
      <c r="M46" t="s">
        <v>737</v>
      </c>
      <c r="N46" s="79">
        <v>44449</v>
      </c>
      <c r="O46" s="80">
        <v>0</v>
      </c>
      <c r="P46" s="80">
        <v>0</v>
      </c>
      <c r="Q46" s="81">
        <v>0</v>
      </c>
      <c r="R46" s="80">
        <v>0</v>
      </c>
      <c r="S46" s="80">
        <v>0</v>
      </c>
      <c r="T46" s="80">
        <v>0</v>
      </c>
      <c r="U46" s="80">
        <v>0</v>
      </c>
      <c r="V46" s="80">
        <v>0</v>
      </c>
    </row>
    <row r="47" spans="1:22" x14ac:dyDescent="0.25">
      <c r="A47">
        <f>COUNTIF('Value Matchup'!$D$356:$D$423,B47)</f>
        <v>0</v>
      </c>
      <c r="B47" t="s">
        <v>162</v>
      </c>
      <c r="C47" s="60"/>
      <c r="D47" s="60"/>
      <c r="E47" s="60"/>
      <c r="F47" s="60"/>
      <c r="G47" s="60"/>
      <c r="H47" s="60"/>
      <c r="M47" t="s">
        <v>738</v>
      </c>
      <c r="N47" s="79">
        <v>44273</v>
      </c>
      <c r="O47" s="80">
        <v>0</v>
      </c>
      <c r="P47" s="80">
        <v>0</v>
      </c>
      <c r="Q47" s="81">
        <v>0</v>
      </c>
      <c r="R47" s="80">
        <v>0</v>
      </c>
      <c r="S47" s="80">
        <v>0</v>
      </c>
      <c r="T47" s="80">
        <v>0</v>
      </c>
      <c r="U47" s="80">
        <v>0</v>
      </c>
      <c r="V47" s="80">
        <v>0</v>
      </c>
    </row>
    <row r="48" spans="1:22" x14ac:dyDescent="0.25">
      <c r="A48">
        <f>COUNTIF('Value Matchup'!$D$356:$D$423,B48)</f>
        <v>0</v>
      </c>
      <c r="B48" s="56" t="s">
        <v>163</v>
      </c>
      <c r="C48" s="60"/>
      <c r="D48" s="60"/>
      <c r="E48" s="60"/>
      <c r="F48" s="60"/>
      <c r="G48" s="60"/>
      <c r="H48" s="60"/>
      <c r="M48" t="s">
        <v>739</v>
      </c>
      <c r="N48" s="79">
        <v>44455</v>
      </c>
      <c r="O48" s="80">
        <v>0</v>
      </c>
      <c r="P48" s="80">
        <v>0</v>
      </c>
      <c r="Q48" s="81">
        <v>0</v>
      </c>
      <c r="R48" s="80">
        <v>0</v>
      </c>
      <c r="S48" s="80">
        <v>0</v>
      </c>
      <c r="T48" s="80">
        <v>0</v>
      </c>
      <c r="U48" s="80">
        <v>0</v>
      </c>
      <c r="V48" s="80">
        <v>0</v>
      </c>
    </row>
    <row r="49" spans="1:22" x14ac:dyDescent="0.25">
      <c r="A49">
        <f>COUNTIF('Value Matchup'!$D$356:$D$423,B49)</f>
        <v>0</v>
      </c>
      <c r="B49" t="s">
        <v>488</v>
      </c>
      <c r="C49" s="60"/>
      <c r="D49" s="60"/>
      <c r="E49" s="60"/>
      <c r="F49" s="60"/>
      <c r="G49" s="60"/>
      <c r="H49" s="60"/>
      <c r="M49" t="s">
        <v>740</v>
      </c>
      <c r="N49" s="79" t="s">
        <v>527</v>
      </c>
      <c r="O49" s="80">
        <v>0</v>
      </c>
      <c r="P49" s="80">
        <v>0</v>
      </c>
      <c r="Q49" s="81">
        <v>0</v>
      </c>
      <c r="R49" s="80">
        <v>0</v>
      </c>
      <c r="S49" s="80">
        <v>0</v>
      </c>
      <c r="T49" s="80">
        <v>0</v>
      </c>
      <c r="U49" s="80">
        <v>0</v>
      </c>
      <c r="V49" s="80">
        <v>0</v>
      </c>
    </row>
    <row r="50" spans="1:22" x14ac:dyDescent="0.25">
      <c r="A50">
        <f>COUNTIF('Value Matchup'!$D$356:$D$423,B50)</f>
        <v>0</v>
      </c>
      <c r="B50" s="56" t="s">
        <v>164</v>
      </c>
      <c r="C50" s="60"/>
      <c r="D50" s="60"/>
      <c r="E50" s="60"/>
      <c r="F50" s="60"/>
      <c r="G50" s="60"/>
      <c r="H50" s="60"/>
      <c r="M50" t="s">
        <v>741</v>
      </c>
      <c r="N50" s="79" t="s">
        <v>535</v>
      </c>
      <c r="O50" s="80">
        <v>0</v>
      </c>
      <c r="P50" s="80">
        <v>0</v>
      </c>
      <c r="Q50" s="81">
        <v>0</v>
      </c>
      <c r="R50" s="80">
        <v>0</v>
      </c>
      <c r="S50" s="80">
        <v>0</v>
      </c>
      <c r="T50" s="80">
        <v>0</v>
      </c>
      <c r="U50" s="80">
        <v>0</v>
      </c>
      <c r="V50" s="80">
        <v>0</v>
      </c>
    </row>
    <row r="51" spans="1:22" x14ac:dyDescent="0.25">
      <c r="A51">
        <f>COUNTIF('Value Matchup'!$D$356:$D$423,B51)</f>
        <v>0</v>
      </c>
      <c r="B51" t="s">
        <v>165</v>
      </c>
      <c r="C51" s="60"/>
      <c r="D51" s="60"/>
      <c r="E51" s="60"/>
      <c r="F51" s="60"/>
      <c r="G51" s="60"/>
      <c r="H51" s="60"/>
      <c r="M51" t="s">
        <v>742</v>
      </c>
      <c r="N51" s="79">
        <v>44540</v>
      </c>
      <c r="O51" s="80">
        <v>0.09</v>
      </c>
      <c r="P51" s="80">
        <v>0.08</v>
      </c>
      <c r="Q51" s="81">
        <v>0.02</v>
      </c>
      <c r="R51" s="80">
        <v>0</v>
      </c>
      <c r="S51" s="80">
        <v>0</v>
      </c>
      <c r="T51" s="80">
        <v>0</v>
      </c>
      <c r="U51" s="80">
        <v>0</v>
      </c>
      <c r="V51" s="80">
        <v>0</v>
      </c>
    </row>
    <row r="52" spans="1:22" x14ac:dyDescent="0.25">
      <c r="A52">
        <f>COUNTIF('Value Matchup'!$D$356:$D$423,B52)</f>
        <v>0</v>
      </c>
      <c r="B52" s="56" t="s">
        <v>167</v>
      </c>
      <c r="C52" s="60"/>
      <c r="D52" s="60"/>
      <c r="E52" s="60"/>
      <c r="F52" s="60"/>
      <c r="G52" s="60"/>
      <c r="H52" s="60"/>
      <c r="K52">
        <v>6</v>
      </c>
      <c r="L52">
        <v>21</v>
      </c>
      <c r="M52" t="s">
        <v>743</v>
      </c>
      <c r="N52" s="79" t="s">
        <v>536</v>
      </c>
      <c r="O52" s="80">
        <v>1</v>
      </c>
      <c r="P52" s="80">
        <v>1</v>
      </c>
      <c r="Q52" s="81">
        <v>0.55000000000000004</v>
      </c>
      <c r="R52" s="80">
        <v>0.2</v>
      </c>
      <c r="S52" s="80">
        <v>0.06</v>
      </c>
      <c r="T52" s="80">
        <v>0.02</v>
      </c>
      <c r="U52" s="80">
        <v>0.01</v>
      </c>
      <c r="V52" s="80">
        <v>0</v>
      </c>
    </row>
    <row r="53" spans="1:22" x14ac:dyDescent="0.25">
      <c r="A53">
        <f>COUNTIF('Value Matchup'!$D$356:$D$423,B53)</f>
        <v>0</v>
      </c>
      <c r="B53" t="s">
        <v>169</v>
      </c>
      <c r="C53" s="60"/>
      <c r="D53" s="60"/>
      <c r="E53" s="60"/>
      <c r="F53" s="60"/>
      <c r="G53" s="60"/>
      <c r="H53" s="60"/>
      <c r="K53">
        <v>14</v>
      </c>
      <c r="L53">
        <v>56</v>
      </c>
      <c r="M53" t="s">
        <v>744</v>
      </c>
      <c r="N53" s="79" t="s">
        <v>537</v>
      </c>
      <c r="O53" s="80">
        <v>1</v>
      </c>
      <c r="P53" s="80">
        <v>1</v>
      </c>
      <c r="Q53" s="81">
        <v>0.04</v>
      </c>
      <c r="R53" s="80">
        <v>0</v>
      </c>
      <c r="S53" s="80">
        <v>0</v>
      </c>
      <c r="T53" s="80">
        <v>0</v>
      </c>
      <c r="U53" s="80">
        <v>0</v>
      </c>
      <c r="V53" s="80">
        <v>0</v>
      </c>
    </row>
    <row r="54" spans="1:22" x14ac:dyDescent="0.25">
      <c r="A54">
        <f>COUNTIF('Value Matchup'!$D$356:$D$423,B54)</f>
        <v>0</v>
      </c>
      <c r="B54" s="56" t="s">
        <v>28</v>
      </c>
      <c r="C54" s="60"/>
      <c r="D54" s="60"/>
      <c r="E54" s="60"/>
      <c r="F54" s="60"/>
      <c r="G54" s="60"/>
      <c r="H54" s="60"/>
      <c r="M54" t="s">
        <v>745</v>
      </c>
      <c r="N54" s="79" t="s">
        <v>536</v>
      </c>
      <c r="O54" s="80">
        <v>0</v>
      </c>
      <c r="P54" s="80">
        <v>0</v>
      </c>
      <c r="Q54" s="81">
        <v>0</v>
      </c>
      <c r="R54" s="80">
        <v>0</v>
      </c>
      <c r="S54" s="80">
        <v>0</v>
      </c>
      <c r="T54" s="80">
        <v>0</v>
      </c>
      <c r="U54" s="80">
        <v>0</v>
      </c>
      <c r="V54" s="80">
        <v>0</v>
      </c>
    </row>
    <row r="55" spans="1:22" x14ac:dyDescent="0.25">
      <c r="A55">
        <f>COUNTIF('Value Matchup'!$D$356:$D$423,B55)</f>
        <v>1</v>
      </c>
      <c r="B55" t="s">
        <v>89</v>
      </c>
      <c r="C55" s="60">
        <f>Q52</f>
        <v>0.55000000000000004</v>
      </c>
      <c r="D55" s="60">
        <f t="shared" ref="D55:H55" si="6">R52</f>
        <v>0.2</v>
      </c>
      <c r="E55" s="60">
        <f t="shared" si="6"/>
        <v>0.06</v>
      </c>
      <c r="F55" s="60">
        <f t="shared" si="6"/>
        <v>0.02</v>
      </c>
      <c r="G55" s="60">
        <f t="shared" si="6"/>
        <v>0.01</v>
      </c>
      <c r="H55" s="60">
        <f t="shared" si="6"/>
        <v>0</v>
      </c>
      <c r="K55">
        <v>12</v>
      </c>
      <c r="L55">
        <v>46</v>
      </c>
      <c r="M55" t="s">
        <v>746</v>
      </c>
      <c r="N55" s="79" t="s">
        <v>538</v>
      </c>
      <c r="O55" s="80">
        <v>0.9</v>
      </c>
      <c r="P55" s="80">
        <v>0.76</v>
      </c>
      <c r="Q55" s="81">
        <v>0.22</v>
      </c>
      <c r="R55" s="80">
        <v>7.0000000000000007E-2</v>
      </c>
      <c r="S55" s="80">
        <v>0.01</v>
      </c>
      <c r="T55" s="80">
        <v>0</v>
      </c>
      <c r="U55" s="80">
        <v>0</v>
      </c>
      <c r="V55" s="80">
        <v>0</v>
      </c>
    </row>
    <row r="56" spans="1:22" x14ac:dyDescent="0.25">
      <c r="A56">
        <f>COUNTIF('Value Matchup'!$D$356:$D$423,B56)</f>
        <v>1</v>
      </c>
      <c r="B56" s="56" t="s">
        <v>171</v>
      </c>
      <c r="C56" s="60">
        <f>Q53</f>
        <v>0.04</v>
      </c>
      <c r="D56" s="60">
        <f t="shared" ref="D56:H56" si="7">R53</f>
        <v>0</v>
      </c>
      <c r="E56" s="60">
        <f t="shared" si="7"/>
        <v>0</v>
      </c>
      <c r="F56" s="60">
        <f t="shared" si="7"/>
        <v>0</v>
      </c>
      <c r="G56" s="60">
        <f t="shared" si="7"/>
        <v>0</v>
      </c>
      <c r="H56" s="60">
        <f t="shared" si="7"/>
        <v>0</v>
      </c>
      <c r="K56">
        <v>7</v>
      </c>
      <c r="L56">
        <v>28</v>
      </c>
      <c r="M56" t="s">
        <v>747</v>
      </c>
      <c r="N56" s="79" t="s">
        <v>539</v>
      </c>
      <c r="O56" s="80">
        <v>1</v>
      </c>
      <c r="P56" s="80">
        <v>1</v>
      </c>
      <c r="Q56" s="81">
        <v>0.61</v>
      </c>
      <c r="R56" s="80">
        <v>0.26</v>
      </c>
      <c r="S56" s="80">
        <v>0.13</v>
      </c>
      <c r="T56" s="80">
        <v>0.05</v>
      </c>
      <c r="U56" s="80">
        <v>0.02</v>
      </c>
      <c r="V56" s="80">
        <v>0.01</v>
      </c>
    </row>
    <row r="57" spans="1:22" x14ac:dyDescent="0.25">
      <c r="A57">
        <f>COUNTIF('Value Matchup'!$D$356:$D$423,B57)</f>
        <v>0</v>
      </c>
      <c r="B57" t="s">
        <v>173</v>
      </c>
      <c r="C57" s="60"/>
      <c r="D57" s="60"/>
      <c r="E57" s="60"/>
      <c r="F57" s="60"/>
      <c r="G57" s="60"/>
      <c r="H57" s="60"/>
      <c r="K57">
        <v>12</v>
      </c>
      <c r="L57">
        <v>49</v>
      </c>
      <c r="M57" t="s">
        <v>748</v>
      </c>
      <c r="N57" s="79" t="s">
        <v>540</v>
      </c>
      <c r="O57" s="80">
        <v>0.47</v>
      </c>
      <c r="P57" s="80">
        <v>0.31</v>
      </c>
      <c r="Q57" s="81">
        <v>0.09</v>
      </c>
      <c r="R57" s="80">
        <v>0.03</v>
      </c>
      <c r="S57" s="80">
        <v>0.01</v>
      </c>
      <c r="T57" s="80">
        <v>0</v>
      </c>
      <c r="U57" s="80">
        <v>0</v>
      </c>
      <c r="V57" s="80">
        <v>0</v>
      </c>
    </row>
    <row r="58" spans="1:22" x14ac:dyDescent="0.25">
      <c r="A58">
        <f>COUNTIF('Value Matchup'!$D$356:$D$423,B58)</f>
        <v>1</v>
      </c>
      <c r="B58" s="56" t="s">
        <v>174</v>
      </c>
      <c r="C58" s="60">
        <f>Q55</f>
        <v>0.22</v>
      </c>
      <c r="D58" s="60">
        <f t="shared" ref="D58:H58" si="8">R55</f>
        <v>7.0000000000000007E-2</v>
      </c>
      <c r="E58" s="60">
        <f t="shared" si="8"/>
        <v>0.01</v>
      </c>
      <c r="F58" s="60">
        <f t="shared" si="8"/>
        <v>0</v>
      </c>
      <c r="G58" s="60">
        <f t="shared" si="8"/>
        <v>0</v>
      </c>
      <c r="H58" s="60">
        <f t="shared" si="8"/>
        <v>0</v>
      </c>
      <c r="K58">
        <v>9</v>
      </c>
      <c r="L58">
        <v>33</v>
      </c>
      <c r="M58" t="s">
        <v>749</v>
      </c>
      <c r="N58" s="79" t="s">
        <v>541</v>
      </c>
      <c r="O58" s="80">
        <v>0.99</v>
      </c>
      <c r="P58" s="80">
        <v>0.97</v>
      </c>
      <c r="Q58" s="81">
        <v>0.53</v>
      </c>
      <c r="R58" s="80">
        <v>0.2</v>
      </c>
      <c r="S58" s="80">
        <v>0.09</v>
      </c>
      <c r="T58" s="80">
        <v>0.04</v>
      </c>
      <c r="U58" s="80">
        <v>0.01</v>
      </c>
      <c r="V58" s="80">
        <v>0</v>
      </c>
    </row>
    <row r="59" spans="1:22" x14ac:dyDescent="0.25">
      <c r="A59">
        <f>COUNTIF('Value Matchup'!$D$356:$D$423,B59)</f>
        <v>1</v>
      </c>
      <c r="B59" t="s">
        <v>95</v>
      </c>
      <c r="C59" s="60">
        <f>Q56</f>
        <v>0.61</v>
      </c>
      <c r="D59" s="60">
        <f t="shared" ref="D59:H59" si="9">R56</f>
        <v>0.26</v>
      </c>
      <c r="E59" s="60">
        <f t="shared" si="9"/>
        <v>0.13</v>
      </c>
      <c r="F59" s="60">
        <f t="shared" si="9"/>
        <v>0.05</v>
      </c>
      <c r="G59" s="60">
        <f t="shared" si="9"/>
        <v>0.02</v>
      </c>
      <c r="H59" s="60">
        <f t="shared" si="9"/>
        <v>0.01</v>
      </c>
      <c r="M59" t="s">
        <v>750</v>
      </c>
      <c r="N59" s="79">
        <v>44452</v>
      </c>
      <c r="O59" s="80">
        <v>0</v>
      </c>
      <c r="P59" s="80">
        <v>0</v>
      </c>
      <c r="Q59" s="81">
        <v>0</v>
      </c>
      <c r="R59" s="80">
        <v>0</v>
      </c>
      <c r="S59" s="80">
        <v>0</v>
      </c>
      <c r="T59" s="80">
        <v>0</v>
      </c>
      <c r="U59" s="80">
        <v>0</v>
      </c>
      <c r="V59" s="80">
        <v>0</v>
      </c>
    </row>
    <row r="60" spans="1:22" x14ac:dyDescent="0.25">
      <c r="A60">
        <f>COUNTIF('Value Matchup'!$D$356:$D$423,B60)</f>
        <v>0</v>
      </c>
      <c r="B60" s="56" t="s">
        <v>176</v>
      </c>
      <c r="C60" s="60">
        <f>Q57</f>
        <v>0.09</v>
      </c>
      <c r="D60" s="60">
        <f t="shared" ref="D60:H60" si="10">R57</f>
        <v>0.03</v>
      </c>
      <c r="E60" s="60">
        <f t="shared" si="10"/>
        <v>0.01</v>
      </c>
      <c r="F60" s="60">
        <f t="shared" si="10"/>
        <v>0</v>
      </c>
      <c r="G60" s="60">
        <f t="shared" si="10"/>
        <v>0</v>
      </c>
      <c r="H60" s="60">
        <f t="shared" si="10"/>
        <v>0</v>
      </c>
      <c r="K60">
        <v>6</v>
      </c>
      <c r="L60">
        <v>23</v>
      </c>
      <c r="M60" t="s">
        <v>751</v>
      </c>
      <c r="N60" s="79" t="s">
        <v>542</v>
      </c>
      <c r="O60" s="80">
        <v>1</v>
      </c>
      <c r="P60" s="80">
        <v>1</v>
      </c>
      <c r="Q60" s="81">
        <v>0.67</v>
      </c>
      <c r="R60" s="80">
        <v>0.33</v>
      </c>
      <c r="S60" s="80">
        <v>0.16</v>
      </c>
      <c r="T60" s="80">
        <v>7.0000000000000007E-2</v>
      </c>
      <c r="U60" s="80">
        <v>0.03</v>
      </c>
      <c r="V60" s="80">
        <v>0.01</v>
      </c>
    </row>
    <row r="61" spans="1:22" x14ac:dyDescent="0.25">
      <c r="A61">
        <f>COUNTIF('Value Matchup'!$D$356:$D$423,B61)</f>
        <v>0</v>
      </c>
      <c r="B61" t="s">
        <v>177</v>
      </c>
      <c r="C61" s="60"/>
      <c r="D61" s="60"/>
      <c r="E61" s="60"/>
      <c r="F61" s="60"/>
      <c r="G61" s="60"/>
      <c r="H61" s="60"/>
      <c r="M61" t="s">
        <v>752</v>
      </c>
      <c r="N61" s="79" t="s">
        <v>533</v>
      </c>
      <c r="O61" s="80">
        <v>0</v>
      </c>
      <c r="P61" s="80">
        <v>0</v>
      </c>
      <c r="Q61" s="81">
        <v>0</v>
      </c>
      <c r="R61" s="80">
        <v>0</v>
      </c>
      <c r="S61" s="80">
        <v>0</v>
      </c>
      <c r="T61" s="80">
        <v>0</v>
      </c>
      <c r="U61" s="80">
        <v>0</v>
      </c>
      <c r="V61" s="80">
        <v>0</v>
      </c>
    </row>
    <row r="62" spans="1:22" x14ac:dyDescent="0.25">
      <c r="A62">
        <f>COUNTIF('Value Matchup'!$D$356:$D$423,B62)</f>
        <v>1</v>
      </c>
      <c r="B62" s="56" t="s">
        <v>80</v>
      </c>
      <c r="C62" s="60">
        <f>Q58</f>
        <v>0.53</v>
      </c>
      <c r="D62" s="60">
        <f t="shared" ref="D62:H62" si="11">R58</f>
        <v>0.2</v>
      </c>
      <c r="E62" s="60">
        <f t="shared" si="11"/>
        <v>0.09</v>
      </c>
      <c r="F62" s="60">
        <f t="shared" si="11"/>
        <v>0.04</v>
      </c>
      <c r="G62" s="60">
        <f t="shared" si="11"/>
        <v>0.01</v>
      </c>
      <c r="H62" s="60">
        <f t="shared" si="11"/>
        <v>0</v>
      </c>
      <c r="M62" t="s">
        <v>753</v>
      </c>
      <c r="N62" s="79">
        <v>44357</v>
      </c>
      <c r="O62" s="80">
        <v>0</v>
      </c>
      <c r="P62" s="80">
        <v>0</v>
      </c>
      <c r="Q62" s="81">
        <v>0</v>
      </c>
      <c r="R62" s="80">
        <v>0</v>
      </c>
      <c r="S62" s="80">
        <v>0</v>
      </c>
      <c r="T62" s="80">
        <v>0</v>
      </c>
      <c r="U62" s="80">
        <v>0</v>
      </c>
      <c r="V62" s="80">
        <v>0</v>
      </c>
    </row>
    <row r="63" spans="1:22" x14ac:dyDescent="0.25">
      <c r="A63">
        <f>COUNTIF('Value Matchup'!$D$356:$D$423,B63)</f>
        <v>0</v>
      </c>
      <c r="B63" t="s">
        <v>178</v>
      </c>
      <c r="C63" s="60"/>
      <c r="D63" s="60"/>
      <c r="E63" s="60"/>
      <c r="F63" s="60"/>
      <c r="G63" s="60"/>
      <c r="H63" s="60"/>
      <c r="M63" t="s">
        <v>754</v>
      </c>
      <c r="N63" s="79">
        <v>44452</v>
      </c>
      <c r="O63" s="80">
        <v>0</v>
      </c>
      <c r="P63" s="80">
        <v>0</v>
      </c>
      <c r="Q63" s="81">
        <v>0</v>
      </c>
      <c r="R63" s="80">
        <v>0</v>
      </c>
      <c r="S63" s="80">
        <v>0</v>
      </c>
      <c r="T63" s="80">
        <v>0</v>
      </c>
      <c r="U63" s="80">
        <v>0</v>
      </c>
      <c r="V63" s="80">
        <v>0</v>
      </c>
    </row>
    <row r="64" spans="1:22" x14ac:dyDescent="0.25">
      <c r="A64">
        <f>COUNTIF('Value Matchup'!$D$356:$D$423,B64)</f>
        <v>0</v>
      </c>
      <c r="B64" s="56" t="s">
        <v>179</v>
      </c>
      <c r="C64" s="60"/>
      <c r="D64" s="60"/>
      <c r="E64" s="60"/>
      <c r="F64" s="60"/>
      <c r="G64" s="60"/>
      <c r="H64" s="60"/>
      <c r="M64" t="s">
        <v>755</v>
      </c>
      <c r="N64" s="79" t="s">
        <v>543</v>
      </c>
      <c r="O64" s="80">
        <v>0</v>
      </c>
      <c r="P64" s="80">
        <v>0</v>
      </c>
      <c r="Q64" s="81">
        <v>0</v>
      </c>
      <c r="R64" s="80">
        <v>0</v>
      </c>
      <c r="S64" s="80">
        <v>0</v>
      </c>
      <c r="T64" s="80">
        <v>0</v>
      </c>
      <c r="U64" s="80">
        <v>0</v>
      </c>
      <c r="V64" s="80">
        <v>0</v>
      </c>
    </row>
    <row r="65" spans="1:22" x14ac:dyDescent="0.25">
      <c r="A65">
        <f>COUNTIF('Value Matchup'!$D$356:$D$423,B65)</f>
        <v>1</v>
      </c>
      <c r="B65" t="s">
        <v>88</v>
      </c>
      <c r="C65" s="60">
        <f>Q60</f>
        <v>0.67</v>
      </c>
      <c r="D65" s="60">
        <f t="shared" ref="D65:H65" si="12">R60</f>
        <v>0.33</v>
      </c>
      <c r="E65" s="60">
        <f t="shared" si="12"/>
        <v>0.16</v>
      </c>
      <c r="F65" s="60">
        <f t="shared" si="12"/>
        <v>7.0000000000000007E-2</v>
      </c>
      <c r="G65" s="60">
        <f t="shared" si="12"/>
        <v>0.03</v>
      </c>
      <c r="H65" s="60">
        <f t="shared" si="12"/>
        <v>0.01</v>
      </c>
      <c r="M65" t="s">
        <v>756</v>
      </c>
      <c r="N65" s="79" t="s">
        <v>544</v>
      </c>
      <c r="O65" s="80">
        <v>0</v>
      </c>
      <c r="P65" s="80">
        <v>0</v>
      </c>
      <c r="Q65" s="81">
        <v>0</v>
      </c>
      <c r="R65" s="80">
        <v>0</v>
      </c>
      <c r="S65" s="80">
        <v>0</v>
      </c>
      <c r="T65" s="80">
        <v>0</v>
      </c>
      <c r="U65" s="80">
        <v>0</v>
      </c>
      <c r="V65" s="80">
        <v>0</v>
      </c>
    </row>
    <row r="66" spans="1:22" x14ac:dyDescent="0.25">
      <c r="A66">
        <f>COUNTIF('Value Matchup'!$D$356:$D$423,B66)</f>
        <v>0</v>
      </c>
      <c r="B66" s="56" t="s">
        <v>180</v>
      </c>
      <c r="C66" s="60"/>
      <c r="D66" s="60"/>
      <c r="E66" s="60"/>
      <c r="F66" s="60"/>
      <c r="G66" s="60"/>
      <c r="H66" s="60"/>
      <c r="M66" t="s">
        <v>757</v>
      </c>
      <c r="N66" s="79">
        <v>44385</v>
      </c>
      <c r="O66" s="80">
        <v>0</v>
      </c>
      <c r="P66" s="80">
        <v>0</v>
      </c>
      <c r="Q66" s="81">
        <v>0</v>
      </c>
      <c r="R66" s="80">
        <v>0</v>
      </c>
      <c r="S66" s="80">
        <v>0</v>
      </c>
      <c r="T66" s="80">
        <v>0</v>
      </c>
      <c r="U66" s="80">
        <v>0</v>
      </c>
      <c r="V66" s="80">
        <v>0</v>
      </c>
    </row>
    <row r="67" spans="1:22" x14ac:dyDescent="0.25">
      <c r="A67">
        <f>COUNTIF('Value Matchup'!$D$356:$D$423,B67)</f>
        <v>0</v>
      </c>
      <c r="B67" t="s">
        <v>70</v>
      </c>
      <c r="C67" s="60"/>
      <c r="D67" s="60"/>
      <c r="E67" s="60"/>
      <c r="F67" s="60"/>
      <c r="G67" s="60"/>
      <c r="H67" s="60"/>
      <c r="M67" t="s">
        <v>758</v>
      </c>
      <c r="N67" s="79">
        <v>44271</v>
      </c>
      <c r="O67" s="80">
        <v>0</v>
      </c>
      <c r="P67" s="80">
        <v>0</v>
      </c>
      <c r="Q67" s="81">
        <v>0</v>
      </c>
      <c r="R67" s="80">
        <v>0</v>
      </c>
      <c r="S67" s="80">
        <v>0</v>
      </c>
      <c r="T67" s="80">
        <v>0</v>
      </c>
      <c r="U67" s="80">
        <v>0</v>
      </c>
      <c r="V67" s="80">
        <v>0</v>
      </c>
    </row>
    <row r="68" spans="1:22" x14ac:dyDescent="0.25">
      <c r="A68">
        <f>COUNTIF('Value Matchup'!$D$356:$D$423,B68)</f>
        <v>0</v>
      </c>
      <c r="B68" s="56" t="s">
        <v>57</v>
      </c>
      <c r="C68" s="60"/>
      <c r="D68" s="60"/>
      <c r="E68" s="60"/>
      <c r="F68" s="60"/>
      <c r="G68" s="60"/>
      <c r="H68" s="60"/>
      <c r="M68" t="s">
        <v>759</v>
      </c>
      <c r="N68" s="79">
        <v>44246</v>
      </c>
      <c r="O68" s="80">
        <v>0</v>
      </c>
      <c r="P68" s="80">
        <v>0</v>
      </c>
      <c r="Q68" s="81">
        <v>0</v>
      </c>
      <c r="R68" s="80">
        <v>0</v>
      </c>
      <c r="S68" s="80">
        <v>0</v>
      </c>
      <c r="T68" s="80">
        <v>0</v>
      </c>
      <c r="U68" s="80">
        <v>0</v>
      </c>
      <c r="V68" s="80">
        <v>0</v>
      </c>
    </row>
    <row r="69" spans="1:22" x14ac:dyDescent="0.25">
      <c r="A69">
        <f>COUNTIF('Value Matchup'!$D$356:$D$423,B69)</f>
        <v>0</v>
      </c>
      <c r="B69" t="s">
        <v>182</v>
      </c>
      <c r="C69" s="60"/>
      <c r="D69" s="60"/>
      <c r="E69" s="60"/>
      <c r="F69" s="60"/>
      <c r="G69" s="60"/>
      <c r="H69" s="60"/>
      <c r="M69" t="s">
        <v>760</v>
      </c>
      <c r="N69" s="79">
        <v>44330</v>
      </c>
      <c r="O69" s="80">
        <v>0</v>
      </c>
      <c r="P69" s="80">
        <v>0</v>
      </c>
      <c r="Q69" s="81">
        <v>0</v>
      </c>
      <c r="R69" s="80">
        <v>0</v>
      </c>
      <c r="S69" s="80">
        <v>0</v>
      </c>
      <c r="T69" s="80">
        <v>0</v>
      </c>
      <c r="U69" s="80">
        <v>0</v>
      </c>
      <c r="V69" s="80">
        <v>0</v>
      </c>
    </row>
    <row r="70" spans="1:22" x14ac:dyDescent="0.25">
      <c r="A70">
        <f>COUNTIF('Value Matchup'!$D$356:$D$423,B70)</f>
        <v>0</v>
      </c>
      <c r="B70" s="56" t="s">
        <v>183</v>
      </c>
      <c r="C70" s="60"/>
      <c r="D70" s="60"/>
      <c r="E70" s="60"/>
      <c r="F70" s="60"/>
      <c r="G70" s="60"/>
      <c r="H70" s="60"/>
      <c r="M70" t="s">
        <v>761</v>
      </c>
      <c r="N70" s="79">
        <v>44540</v>
      </c>
      <c r="O70" s="80">
        <v>0</v>
      </c>
      <c r="P70" s="80">
        <v>0</v>
      </c>
      <c r="Q70" s="81">
        <v>0</v>
      </c>
      <c r="R70" s="80">
        <v>0</v>
      </c>
      <c r="S70" s="80">
        <v>0</v>
      </c>
      <c r="T70" s="80">
        <v>0</v>
      </c>
      <c r="U70" s="80">
        <v>0</v>
      </c>
      <c r="V70" s="80">
        <v>0</v>
      </c>
    </row>
    <row r="71" spans="1:22" x14ac:dyDescent="0.25">
      <c r="A71">
        <f>COUNTIF('Value Matchup'!$D$356:$D$423,B71)</f>
        <v>0</v>
      </c>
      <c r="B71" t="s">
        <v>184</v>
      </c>
      <c r="C71" s="60"/>
      <c r="D71" s="60"/>
      <c r="E71" s="60"/>
      <c r="F71" s="60"/>
      <c r="G71" s="60"/>
      <c r="H71" s="60"/>
      <c r="M71" t="s">
        <v>762</v>
      </c>
      <c r="N71" s="79">
        <v>44421</v>
      </c>
      <c r="O71" s="80">
        <v>0</v>
      </c>
      <c r="P71" s="80">
        <v>0</v>
      </c>
      <c r="Q71" s="81">
        <v>0</v>
      </c>
      <c r="R71" s="80">
        <v>0</v>
      </c>
      <c r="S71" s="80">
        <v>0</v>
      </c>
      <c r="T71" s="80">
        <v>0</v>
      </c>
      <c r="U71" s="80">
        <v>0</v>
      </c>
      <c r="V71" s="80">
        <v>0</v>
      </c>
    </row>
    <row r="72" spans="1:22" x14ac:dyDescent="0.25">
      <c r="A72">
        <f>COUNTIF('Value Matchup'!$D$356:$D$423,B72)</f>
        <v>0</v>
      </c>
      <c r="B72" s="56" t="s">
        <v>186</v>
      </c>
      <c r="C72" s="60"/>
      <c r="D72" s="60"/>
      <c r="E72" s="60"/>
      <c r="F72" s="60"/>
      <c r="G72" s="60"/>
      <c r="H72" s="60"/>
      <c r="M72" t="s">
        <v>763</v>
      </c>
      <c r="N72" s="79" t="s">
        <v>546</v>
      </c>
      <c r="O72" s="80">
        <v>0.35</v>
      </c>
      <c r="P72" s="80">
        <v>0.26</v>
      </c>
      <c r="Q72" s="81">
        <v>7.0000000000000007E-2</v>
      </c>
      <c r="R72" s="80">
        <v>0.02</v>
      </c>
      <c r="S72" s="80">
        <v>0</v>
      </c>
      <c r="T72" s="80">
        <v>0</v>
      </c>
      <c r="U72" s="80">
        <v>0</v>
      </c>
      <c r="V72" s="80">
        <v>0</v>
      </c>
    </row>
    <row r="73" spans="1:22" x14ac:dyDescent="0.25">
      <c r="A73">
        <f>COUNTIF('Value Matchup'!$D$356:$D$423,B73)</f>
        <v>0</v>
      </c>
      <c r="B73" t="s">
        <v>187</v>
      </c>
      <c r="C73" s="60"/>
      <c r="D73" s="60"/>
      <c r="E73" s="60"/>
      <c r="F73" s="60"/>
      <c r="G73" s="60"/>
      <c r="H73" s="60"/>
      <c r="K73">
        <v>14</v>
      </c>
      <c r="L73">
        <v>58</v>
      </c>
      <c r="M73" t="s">
        <v>764</v>
      </c>
      <c r="N73" s="79">
        <v>44537</v>
      </c>
      <c r="O73" s="80">
        <v>1</v>
      </c>
      <c r="P73" s="80">
        <v>0.99</v>
      </c>
      <c r="Q73" s="81">
        <v>0.06</v>
      </c>
      <c r="R73" s="80">
        <v>0.01</v>
      </c>
      <c r="S73" s="80">
        <v>0</v>
      </c>
      <c r="T73" s="80">
        <v>0</v>
      </c>
      <c r="U73" s="80">
        <v>0</v>
      </c>
      <c r="V73" s="80">
        <v>0</v>
      </c>
    </row>
    <row r="74" spans="1:22" x14ac:dyDescent="0.25">
      <c r="A74">
        <f>COUNTIF('Value Matchup'!$D$356:$D$423,B74)</f>
        <v>1</v>
      </c>
      <c r="B74" s="56" t="s">
        <v>188</v>
      </c>
      <c r="C74" s="60">
        <f>Q72</f>
        <v>7.0000000000000007E-2</v>
      </c>
      <c r="D74" s="60">
        <f t="shared" ref="D74:F74" si="13">R72</f>
        <v>0.02</v>
      </c>
      <c r="E74" s="60">
        <f t="shared" si="13"/>
        <v>0</v>
      </c>
      <c r="F74" s="60">
        <f t="shared" si="13"/>
        <v>0</v>
      </c>
      <c r="G74" s="60"/>
      <c r="H74" s="60"/>
      <c r="M74" t="s">
        <v>765</v>
      </c>
      <c r="N74" s="79" t="s">
        <v>547</v>
      </c>
      <c r="O74" s="80">
        <v>0.08</v>
      </c>
      <c r="P74" s="80">
        <v>0.08</v>
      </c>
      <c r="Q74" s="81">
        <v>0.04</v>
      </c>
      <c r="R74" s="80">
        <v>0.02</v>
      </c>
      <c r="S74" s="80">
        <v>0.01</v>
      </c>
      <c r="T74" s="80">
        <v>0</v>
      </c>
      <c r="U74" s="80">
        <v>0</v>
      </c>
      <c r="V74" s="80">
        <v>0</v>
      </c>
    </row>
    <row r="75" spans="1:22" x14ac:dyDescent="0.25">
      <c r="A75">
        <f>COUNTIF('Value Matchup'!$D$356:$D$423,B75)</f>
        <v>1</v>
      </c>
      <c r="B75" t="s">
        <v>189</v>
      </c>
      <c r="C75" s="60">
        <f>Q73</f>
        <v>0.06</v>
      </c>
      <c r="D75" s="60">
        <f t="shared" ref="D75:H75" si="14">R73</f>
        <v>0.01</v>
      </c>
      <c r="E75" s="60">
        <f t="shared" si="14"/>
        <v>0</v>
      </c>
      <c r="F75" s="60">
        <f t="shared" si="14"/>
        <v>0</v>
      </c>
      <c r="G75" s="60">
        <f t="shared" si="14"/>
        <v>0</v>
      </c>
      <c r="H75" s="60">
        <f t="shared" si="14"/>
        <v>0</v>
      </c>
      <c r="M75" t="s">
        <v>766</v>
      </c>
      <c r="N75" s="79">
        <v>44448</v>
      </c>
      <c r="O75" s="80">
        <v>0</v>
      </c>
      <c r="P75" s="80">
        <v>0</v>
      </c>
      <c r="Q75" s="81">
        <v>0</v>
      </c>
      <c r="R75" s="80">
        <v>0</v>
      </c>
      <c r="S75" s="80">
        <v>0</v>
      </c>
      <c r="T75" s="80">
        <v>0</v>
      </c>
      <c r="U75" s="80">
        <v>0</v>
      </c>
      <c r="V75" s="80">
        <v>0</v>
      </c>
    </row>
    <row r="76" spans="1:22" x14ac:dyDescent="0.25">
      <c r="A76">
        <f>COUNTIF('Value Matchup'!$D$356:$D$423,B76)</f>
        <v>0</v>
      </c>
      <c r="B76" s="56" t="s">
        <v>64</v>
      </c>
      <c r="C76" s="60"/>
      <c r="D76" s="60"/>
      <c r="E76" s="60"/>
      <c r="F76" s="60"/>
      <c r="G76" s="60"/>
      <c r="H76" s="60"/>
      <c r="M76" t="s">
        <v>767</v>
      </c>
      <c r="N76" s="79">
        <v>44419</v>
      </c>
      <c r="O76" s="80">
        <v>0</v>
      </c>
      <c r="P76" s="80">
        <v>0</v>
      </c>
      <c r="Q76" s="81">
        <v>0</v>
      </c>
      <c r="R76" s="80">
        <v>0</v>
      </c>
      <c r="S76" s="80">
        <v>0</v>
      </c>
      <c r="T76" s="80">
        <v>0</v>
      </c>
      <c r="U76" s="80">
        <v>0</v>
      </c>
      <c r="V76" s="80">
        <v>0</v>
      </c>
    </row>
    <row r="77" spans="1:22" x14ac:dyDescent="0.25">
      <c r="A77">
        <f>COUNTIF('Value Matchup'!$D$356:$D$423,B77)</f>
        <v>0</v>
      </c>
      <c r="B77" t="s">
        <v>190</v>
      </c>
      <c r="C77" s="60"/>
      <c r="D77" s="60"/>
      <c r="E77" s="60"/>
      <c r="F77" s="60"/>
      <c r="G77" s="60"/>
      <c r="H77" s="60"/>
      <c r="M77" t="s">
        <v>768</v>
      </c>
      <c r="N77" s="79">
        <v>44542</v>
      </c>
      <c r="O77" s="80">
        <v>0</v>
      </c>
      <c r="P77" s="80">
        <v>0</v>
      </c>
      <c r="Q77" s="81">
        <v>0</v>
      </c>
      <c r="R77" s="80">
        <v>0</v>
      </c>
      <c r="S77" s="80">
        <v>0</v>
      </c>
      <c r="T77" s="80">
        <v>0</v>
      </c>
      <c r="U77" s="80">
        <v>0</v>
      </c>
      <c r="V77" s="80">
        <v>0</v>
      </c>
    </row>
    <row r="78" spans="1:22" x14ac:dyDescent="0.25">
      <c r="A78">
        <f>COUNTIF('Value Matchup'!$D$356:$D$423,B78)</f>
        <v>0</v>
      </c>
      <c r="B78" s="56" t="s">
        <v>191</v>
      </c>
      <c r="C78" s="60"/>
      <c r="D78" s="60"/>
      <c r="E78" s="60"/>
      <c r="F78" s="60"/>
      <c r="G78" s="60"/>
      <c r="H78" s="60"/>
      <c r="M78" t="s">
        <v>769</v>
      </c>
      <c r="N78" s="79">
        <v>44457</v>
      </c>
      <c r="O78" s="80">
        <v>0</v>
      </c>
      <c r="P78" s="80">
        <v>0</v>
      </c>
      <c r="Q78" s="81">
        <v>0</v>
      </c>
      <c r="R78" s="80">
        <v>0</v>
      </c>
      <c r="S78" s="80">
        <v>0</v>
      </c>
      <c r="T78" s="80">
        <v>0</v>
      </c>
      <c r="U78" s="80">
        <v>0</v>
      </c>
      <c r="V78" s="80">
        <v>0</v>
      </c>
    </row>
    <row r="79" spans="1:22" x14ac:dyDescent="0.25">
      <c r="A79">
        <f>COUNTIF('Value Matchup'!$D$356:$D$423,B79)</f>
        <v>0</v>
      </c>
      <c r="B79" t="s">
        <v>192</v>
      </c>
      <c r="C79" s="60"/>
      <c r="D79" s="60"/>
      <c r="E79" s="60"/>
      <c r="F79" s="60"/>
      <c r="G79" s="60"/>
      <c r="H79" s="60"/>
      <c r="M79" t="s">
        <v>770</v>
      </c>
      <c r="N79" s="79" t="s">
        <v>500</v>
      </c>
      <c r="O79" s="80">
        <v>0</v>
      </c>
      <c r="P79" s="80">
        <v>0</v>
      </c>
      <c r="Q79" s="81">
        <v>0</v>
      </c>
      <c r="R79" s="80">
        <v>0</v>
      </c>
      <c r="S79" s="80">
        <v>0</v>
      </c>
      <c r="T79" s="80">
        <v>0</v>
      </c>
      <c r="U79" s="80">
        <v>0</v>
      </c>
      <c r="V79" s="80">
        <v>0</v>
      </c>
    </row>
    <row r="80" spans="1:22" x14ac:dyDescent="0.25">
      <c r="A80">
        <f>COUNTIF('Value Matchup'!$D$356:$D$423,B80)</f>
        <v>0</v>
      </c>
      <c r="B80" s="56" t="s">
        <v>193</v>
      </c>
      <c r="C80" s="60"/>
      <c r="D80" s="60"/>
      <c r="E80" s="60"/>
      <c r="F80" s="60"/>
      <c r="G80" s="60"/>
      <c r="H80" s="60"/>
      <c r="M80" t="s">
        <v>771</v>
      </c>
      <c r="N80" s="79">
        <v>44359</v>
      </c>
      <c r="O80" s="80">
        <v>0</v>
      </c>
      <c r="P80" s="80">
        <v>0</v>
      </c>
      <c r="Q80" s="81">
        <v>0</v>
      </c>
      <c r="R80" s="80">
        <v>0</v>
      </c>
      <c r="S80" s="80">
        <v>0</v>
      </c>
      <c r="T80" s="80">
        <v>0</v>
      </c>
      <c r="U80" s="80">
        <v>0</v>
      </c>
      <c r="V80" s="80">
        <v>0</v>
      </c>
    </row>
    <row r="81" spans="1:22" x14ac:dyDescent="0.25">
      <c r="A81">
        <f>COUNTIF('Value Matchup'!$D$356:$D$423,B81)</f>
        <v>0</v>
      </c>
      <c r="B81" t="s">
        <v>194</v>
      </c>
      <c r="C81" s="60"/>
      <c r="D81" s="60"/>
      <c r="E81" s="60"/>
      <c r="F81" s="60"/>
      <c r="G81" s="60"/>
      <c r="H81" s="60"/>
      <c r="K81">
        <v>14</v>
      </c>
      <c r="L81">
        <v>57</v>
      </c>
      <c r="M81" t="s">
        <v>772</v>
      </c>
      <c r="N81" s="79" t="s">
        <v>536</v>
      </c>
      <c r="O81" s="80">
        <v>1</v>
      </c>
      <c r="P81" s="80">
        <v>1</v>
      </c>
      <c r="Q81" s="81">
        <v>0.12</v>
      </c>
      <c r="R81" s="80">
        <v>0.03</v>
      </c>
      <c r="S81" s="80">
        <v>0</v>
      </c>
      <c r="T81" s="80">
        <v>0</v>
      </c>
      <c r="U81" s="80">
        <v>0</v>
      </c>
      <c r="V81" s="80">
        <v>0</v>
      </c>
    </row>
    <row r="82" spans="1:22" x14ac:dyDescent="0.25">
      <c r="A82">
        <f>COUNTIF('Value Matchup'!$D$356:$D$423,B82)</f>
        <v>0</v>
      </c>
      <c r="B82" s="56" t="s">
        <v>195</v>
      </c>
      <c r="C82" s="60"/>
      <c r="D82" s="60"/>
      <c r="E82" s="60"/>
      <c r="F82" s="60"/>
      <c r="G82" s="60"/>
      <c r="H82" s="60"/>
      <c r="M82" t="s">
        <v>773</v>
      </c>
      <c r="N82" s="79">
        <v>44478</v>
      </c>
      <c r="O82" s="80">
        <v>0</v>
      </c>
      <c r="P82" s="80">
        <v>0</v>
      </c>
      <c r="Q82" s="81">
        <v>0</v>
      </c>
      <c r="R82" s="80">
        <v>0</v>
      </c>
      <c r="S82" s="80">
        <v>0</v>
      </c>
      <c r="T82" s="80">
        <v>0</v>
      </c>
      <c r="U82" s="80">
        <v>0</v>
      </c>
      <c r="V82" s="80">
        <v>0</v>
      </c>
    </row>
    <row r="83" spans="1:22" x14ac:dyDescent="0.25">
      <c r="A83">
        <f>COUNTIF('Value Matchup'!$D$356:$D$423,B83)</f>
        <v>1</v>
      </c>
      <c r="B83" t="s">
        <v>196</v>
      </c>
      <c r="C83" s="60">
        <f>Q81</f>
        <v>0.12</v>
      </c>
      <c r="D83" s="60">
        <f t="shared" ref="D83:H83" si="15">R81</f>
        <v>0.03</v>
      </c>
      <c r="E83" s="60">
        <f t="shared" si="15"/>
        <v>0</v>
      </c>
      <c r="F83" s="60">
        <f t="shared" si="15"/>
        <v>0</v>
      </c>
      <c r="G83" s="60">
        <f t="shared" si="15"/>
        <v>0</v>
      </c>
      <c r="H83" s="60">
        <f t="shared" si="15"/>
        <v>0</v>
      </c>
      <c r="M83" t="s">
        <v>774</v>
      </c>
      <c r="N83" s="79">
        <v>44455</v>
      </c>
      <c r="O83" s="80">
        <v>0</v>
      </c>
      <c r="P83" s="80">
        <v>0</v>
      </c>
      <c r="Q83" s="81">
        <v>0</v>
      </c>
      <c r="R83" s="80">
        <v>0</v>
      </c>
      <c r="S83" s="80">
        <v>0</v>
      </c>
      <c r="T83" s="80">
        <v>0</v>
      </c>
      <c r="U83" s="80">
        <v>0</v>
      </c>
      <c r="V83" s="80">
        <v>0</v>
      </c>
    </row>
    <row r="84" spans="1:22" x14ac:dyDescent="0.25">
      <c r="A84">
        <f>COUNTIF('Value Matchup'!$D$356:$D$423,B84)</f>
        <v>0</v>
      </c>
      <c r="B84" s="56" t="s">
        <v>198</v>
      </c>
      <c r="C84" s="60"/>
      <c r="D84" s="60"/>
      <c r="E84" s="60"/>
      <c r="F84" s="60"/>
      <c r="G84" s="60"/>
      <c r="H84" s="60"/>
      <c r="M84" t="s">
        <v>775</v>
      </c>
      <c r="N84" s="79">
        <v>44486</v>
      </c>
      <c r="O84" s="80">
        <v>0</v>
      </c>
      <c r="P84" s="80">
        <v>0</v>
      </c>
      <c r="Q84" s="81">
        <v>0</v>
      </c>
      <c r="R84" s="80">
        <v>0</v>
      </c>
      <c r="S84" s="80">
        <v>0</v>
      </c>
      <c r="T84" s="80">
        <v>0</v>
      </c>
      <c r="U84" s="80">
        <v>0</v>
      </c>
      <c r="V84" s="80">
        <v>0</v>
      </c>
    </row>
    <row r="85" spans="1:22" x14ac:dyDescent="0.25">
      <c r="A85">
        <f>COUNTIF('Value Matchup'!$D$356:$D$423,B85)</f>
        <v>0</v>
      </c>
      <c r="B85" t="s">
        <v>199</v>
      </c>
      <c r="C85" s="60"/>
      <c r="D85" s="60"/>
      <c r="E85" s="60"/>
      <c r="F85" s="60"/>
      <c r="G85" s="60"/>
      <c r="H85" s="60"/>
      <c r="M85" t="s">
        <v>776</v>
      </c>
      <c r="N85" s="79">
        <v>44454</v>
      </c>
      <c r="O85" s="80">
        <v>0</v>
      </c>
      <c r="P85" s="80">
        <v>0</v>
      </c>
      <c r="Q85" s="81">
        <v>0</v>
      </c>
      <c r="R85" s="80">
        <v>0</v>
      </c>
      <c r="S85" s="80">
        <v>0</v>
      </c>
      <c r="T85" s="80">
        <v>0</v>
      </c>
      <c r="U85" s="80">
        <v>0</v>
      </c>
      <c r="V85" s="80">
        <v>0</v>
      </c>
    </row>
    <row r="86" spans="1:22" x14ac:dyDescent="0.25">
      <c r="A86">
        <f>COUNTIF('Value Matchup'!$D$356:$D$423,B86)</f>
        <v>0</v>
      </c>
      <c r="B86" s="56" t="s">
        <v>200</v>
      </c>
      <c r="C86" s="60"/>
      <c r="D86" s="60"/>
      <c r="E86" s="60"/>
      <c r="F86" s="60"/>
      <c r="G86" s="60"/>
      <c r="H86" s="60"/>
      <c r="M86" t="s">
        <v>777</v>
      </c>
      <c r="N86" s="79">
        <v>44420</v>
      </c>
      <c r="O86" s="80">
        <v>0</v>
      </c>
      <c r="P86" s="80">
        <v>0</v>
      </c>
      <c r="Q86" s="81">
        <v>0</v>
      </c>
      <c r="R86" s="80">
        <v>0</v>
      </c>
      <c r="S86" s="80">
        <v>0</v>
      </c>
      <c r="T86" s="80">
        <v>0</v>
      </c>
      <c r="U86" s="80">
        <v>0</v>
      </c>
      <c r="V86" s="80">
        <v>0</v>
      </c>
    </row>
    <row r="87" spans="1:22" x14ac:dyDescent="0.25">
      <c r="A87">
        <f>COUNTIF('Value Matchup'!$D$356:$D$423,B87)</f>
        <v>0</v>
      </c>
      <c r="B87" t="s">
        <v>201</v>
      </c>
      <c r="C87" s="60"/>
      <c r="D87" s="60"/>
      <c r="E87" s="60"/>
      <c r="F87" s="60"/>
      <c r="G87" s="60"/>
      <c r="H87" s="60"/>
      <c r="M87" t="s">
        <v>778</v>
      </c>
      <c r="N87" s="79" t="s">
        <v>532</v>
      </c>
      <c r="O87" s="80">
        <v>0</v>
      </c>
      <c r="P87" s="80">
        <v>0</v>
      </c>
      <c r="Q87" s="81">
        <v>0</v>
      </c>
      <c r="R87" s="80">
        <v>0</v>
      </c>
      <c r="S87" s="80">
        <v>0</v>
      </c>
      <c r="T87" s="80">
        <v>0</v>
      </c>
      <c r="U87" s="80">
        <v>0</v>
      </c>
      <c r="V87" s="80">
        <v>0</v>
      </c>
    </row>
    <row r="88" spans="1:22" x14ac:dyDescent="0.25">
      <c r="A88">
        <f>COUNTIF('Value Matchup'!$D$356:$D$423,B88)</f>
        <v>0</v>
      </c>
      <c r="B88" s="56" t="s">
        <v>202</v>
      </c>
      <c r="C88" s="60"/>
      <c r="D88" s="60"/>
      <c r="E88" s="60"/>
      <c r="F88" s="60"/>
      <c r="G88" s="60"/>
      <c r="H88" s="60"/>
      <c r="K88">
        <v>7</v>
      </c>
      <c r="L88">
        <v>27</v>
      </c>
      <c r="M88" t="s">
        <v>779</v>
      </c>
      <c r="N88" s="79" t="s">
        <v>544</v>
      </c>
      <c r="O88" s="80">
        <v>1</v>
      </c>
      <c r="P88" s="80">
        <v>1</v>
      </c>
      <c r="Q88" s="81">
        <v>0.54</v>
      </c>
      <c r="R88" s="80">
        <v>0.19</v>
      </c>
      <c r="S88" s="80">
        <v>7.0000000000000007E-2</v>
      </c>
      <c r="T88" s="80">
        <v>0.02</v>
      </c>
      <c r="U88" s="80">
        <v>0.01</v>
      </c>
      <c r="V88" s="80">
        <v>0</v>
      </c>
    </row>
    <row r="89" spans="1:22" x14ac:dyDescent="0.25">
      <c r="A89">
        <f>COUNTIF('Value Matchup'!$D$356:$D$423,B89)</f>
        <v>1</v>
      </c>
      <c r="B89" t="s">
        <v>81</v>
      </c>
      <c r="C89" s="60">
        <f>Q88</f>
        <v>0.54</v>
      </c>
      <c r="D89" s="60">
        <f t="shared" ref="D89:H89" si="16">R88</f>
        <v>0.19</v>
      </c>
      <c r="E89" s="60">
        <f t="shared" si="16"/>
        <v>7.0000000000000007E-2</v>
      </c>
      <c r="F89" s="60">
        <f t="shared" si="16"/>
        <v>0.02</v>
      </c>
      <c r="G89" s="60">
        <f t="shared" si="16"/>
        <v>0.01</v>
      </c>
      <c r="H89" s="60">
        <f t="shared" si="16"/>
        <v>0</v>
      </c>
      <c r="M89" t="s">
        <v>780</v>
      </c>
      <c r="N89" s="79">
        <v>44477</v>
      </c>
      <c r="O89" s="80">
        <v>0</v>
      </c>
      <c r="P89" s="80">
        <v>0</v>
      </c>
      <c r="Q89" s="81">
        <v>0</v>
      </c>
      <c r="R89" s="80">
        <v>0</v>
      </c>
      <c r="S89" s="80">
        <v>0</v>
      </c>
      <c r="T89" s="80">
        <v>0</v>
      </c>
      <c r="U89" s="80">
        <v>0</v>
      </c>
      <c r="V89" s="80">
        <v>0</v>
      </c>
    </row>
    <row r="90" spans="1:22" x14ac:dyDescent="0.25">
      <c r="A90">
        <f>COUNTIF('Value Matchup'!$D$356:$D$423,B90)</f>
        <v>0</v>
      </c>
      <c r="B90" s="56" t="s">
        <v>203</v>
      </c>
      <c r="C90" s="60"/>
      <c r="D90" s="60"/>
      <c r="E90" s="60"/>
      <c r="F90" s="60"/>
      <c r="G90" s="60"/>
      <c r="H90" s="60"/>
      <c r="M90" t="s">
        <v>781</v>
      </c>
      <c r="N90" s="79">
        <v>44456</v>
      </c>
      <c r="O90" s="80">
        <v>0</v>
      </c>
      <c r="P90" s="80">
        <v>0</v>
      </c>
      <c r="Q90" s="81">
        <v>0</v>
      </c>
      <c r="R90" s="80">
        <v>0</v>
      </c>
      <c r="S90" s="80">
        <v>0</v>
      </c>
      <c r="T90" s="80">
        <v>0</v>
      </c>
      <c r="U90" s="80">
        <v>0</v>
      </c>
      <c r="V90" s="80">
        <v>0</v>
      </c>
    </row>
    <row r="91" spans="1:22" x14ac:dyDescent="0.25">
      <c r="A91">
        <f>COUNTIF('Value Matchup'!$D$356:$D$423,B91)</f>
        <v>0</v>
      </c>
      <c r="B91" t="s">
        <v>204</v>
      </c>
      <c r="C91" s="60"/>
      <c r="D91" s="60"/>
      <c r="E91" s="60"/>
      <c r="F91" s="60"/>
      <c r="G91" s="60"/>
      <c r="H91" s="60"/>
      <c r="K91">
        <v>4</v>
      </c>
      <c r="L91">
        <v>16</v>
      </c>
      <c r="M91" t="s">
        <v>782</v>
      </c>
      <c r="N91" s="79" t="s">
        <v>549</v>
      </c>
      <c r="O91" s="80">
        <v>1</v>
      </c>
      <c r="P91" s="80">
        <v>1</v>
      </c>
      <c r="Q91" s="81">
        <v>0.77</v>
      </c>
      <c r="R91" s="80">
        <v>0.44</v>
      </c>
      <c r="S91" s="80">
        <v>0.19</v>
      </c>
      <c r="T91" s="80">
        <v>0.09</v>
      </c>
      <c r="U91" s="80">
        <v>0.04</v>
      </c>
      <c r="V91" s="80">
        <v>0.01</v>
      </c>
    </row>
    <row r="92" spans="1:22" x14ac:dyDescent="0.25">
      <c r="A92">
        <f>COUNTIF('Value Matchup'!$D$356:$D$423,B92)</f>
        <v>0</v>
      </c>
      <c r="B92" s="56" t="s">
        <v>205</v>
      </c>
      <c r="C92" s="60"/>
      <c r="D92" s="60"/>
      <c r="E92" s="60"/>
      <c r="F92" s="60"/>
      <c r="G92" s="60"/>
      <c r="H92" s="60"/>
      <c r="M92" t="s">
        <v>783</v>
      </c>
      <c r="N92" s="79">
        <v>44239</v>
      </c>
      <c r="O92" s="80">
        <v>0</v>
      </c>
      <c r="P92" s="80">
        <v>0</v>
      </c>
      <c r="Q92" s="81">
        <v>0</v>
      </c>
      <c r="R92" s="80">
        <v>0</v>
      </c>
      <c r="S92" s="80">
        <v>0</v>
      </c>
      <c r="T92" s="80">
        <v>0</v>
      </c>
      <c r="U92" s="80">
        <v>0</v>
      </c>
      <c r="V92" s="80">
        <v>0</v>
      </c>
    </row>
    <row r="93" spans="1:22" x14ac:dyDescent="0.25">
      <c r="A93">
        <f>COUNTIF('Value Matchup'!$D$356:$D$423,B93)</f>
        <v>1</v>
      </c>
      <c r="B93" t="s">
        <v>207</v>
      </c>
      <c r="C93" s="60">
        <f>Q91</f>
        <v>0.77</v>
      </c>
      <c r="D93" s="60">
        <f t="shared" ref="D93:H93" si="17">R91</f>
        <v>0.44</v>
      </c>
      <c r="E93" s="60">
        <f t="shared" si="17"/>
        <v>0.19</v>
      </c>
      <c r="F93" s="60">
        <f t="shared" si="17"/>
        <v>0.09</v>
      </c>
      <c r="G93" s="60">
        <f t="shared" si="17"/>
        <v>0.04</v>
      </c>
      <c r="H93" s="60">
        <f t="shared" si="17"/>
        <v>0.01</v>
      </c>
      <c r="M93" t="s">
        <v>784</v>
      </c>
      <c r="N93" s="79">
        <v>44542</v>
      </c>
      <c r="O93" s="80">
        <v>0</v>
      </c>
      <c r="P93" s="80">
        <v>0</v>
      </c>
      <c r="Q93" s="81">
        <v>0</v>
      </c>
      <c r="R93" s="80">
        <v>0</v>
      </c>
      <c r="S93" s="80">
        <v>0</v>
      </c>
      <c r="T93" s="80">
        <v>0</v>
      </c>
      <c r="U93" s="80">
        <v>0</v>
      </c>
      <c r="V93" s="80">
        <v>0</v>
      </c>
    </row>
    <row r="94" spans="1:22" x14ac:dyDescent="0.25">
      <c r="A94">
        <f>COUNTIF('Value Matchup'!$D$356:$D$423,B94)</f>
        <v>0</v>
      </c>
      <c r="B94" s="56" t="s">
        <v>208</v>
      </c>
      <c r="C94" s="60"/>
      <c r="D94" s="60"/>
      <c r="E94" s="60"/>
      <c r="F94" s="60"/>
      <c r="G94" s="60"/>
      <c r="H94" s="60"/>
      <c r="M94" t="s">
        <v>785</v>
      </c>
      <c r="N94" s="79" t="s">
        <v>550</v>
      </c>
      <c r="O94" s="80">
        <v>0</v>
      </c>
      <c r="P94" s="80">
        <v>0</v>
      </c>
      <c r="Q94" s="81">
        <v>0</v>
      </c>
      <c r="R94" s="80">
        <v>0</v>
      </c>
      <c r="S94" s="80">
        <v>0</v>
      </c>
      <c r="T94" s="80">
        <v>0</v>
      </c>
      <c r="U94" s="80">
        <v>0</v>
      </c>
      <c r="V94" s="80">
        <v>0</v>
      </c>
    </row>
    <row r="95" spans="1:22" x14ac:dyDescent="0.25">
      <c r="A95">
        <f>COUNTIF('Value Matchup'!$D$356:$D$423,B95)</f>
        <v>0</v>
      </c>
      <c r="B95" t="s">
        <v>209</v>
      </c>
      <c r="C95" s="60"/>
      <c r="D95" s="60"/>
      <c r="E95" s="60"/>
      <c r="F95" s="60"/>
      <c r="G95" s="60"/>
      <c r="H95" s="60"/>
      <c r="M95" t="s">
        <v>786</v>
      </c>
      <c r="N95" s="79">
        <v>44515</v>
      </c>
      <c r="O95" s="80">
        <v>0</v>
      </c>
      <c r="P95" s="80">
        <v>0</v>
      </c>
      <c r="Q95" s="81">
        <v>0</v>
      </c>
      <c r="R95" s="80">
        <v>0</v>
      </c>
      <c r="S95" s="80">
        <v>0</v>
      </c>
      <c r="T95" s="80">
        <v>0</v>
      </c>
      <c r="U95" s="80">
        <v>0</v>
      </c>
      <c r="V95" s="80">
        <v>0</v>
      </c>
    </row>
    <row r="96" spans="1:22" x14ac:dyDescent="0.25">
      <c r="A96">
        <f>COUNTIF('Value Matchup'!$D$356:$D$423,B96)</f>
        <v>0</v>
      </c>
      <c r="B96" s="56" t="s">
        <v>210</v>
      </c>
      <c r="C96" s="60"/>
      <c r="D96" s="60"/>
      <c r="E96" s="60"/>
      <c r="F96" s="60"/>
      <c r="G96" s="60"/>
      <c r="H96" s="60"/>
      <c r="M96" t="s">
        <v>787</v>
      </c>
      <c r="N96" s="79" t="s">
        <v>551</v>
      </c>
      <c r="O96" s="80">
        <v>0</v>
      </c>
      <c r="P96" s="80">
        <v>0</v>
      </c>
      <c r="Q96" s="81">
        <v>0</v>
      </c>
      <c r="R96" s="80">
        <v>0</v>
      </c>
      <c r="S96" s="80">
        <v>0</v>
      </c>
      <c r="T96" s="80">
        <v>0</v>
      </c>
      <c r="U96" s="80">
        <v>0</v>
      </c>
      <c r="V96" s="80">
        <v>0</v>
      </c>
    </row>
    <row r="97" spans="1:22" x14ac:dyDescent="0.25">
      <c r="A97">
        <f>COUNTIF('Value Matchup'!$D$356:$D$423,B97)</f>
        <v>0</v>
      </c>
      <c r="B97" t="s">
        <v>211</v>
      </c>
      <c r="C97" s="60"/>
      <c r="D97" s="60"/>
      <c r="E97" s="60"/>
      <c r="F97" s="60"/>
      <c r="G97" s="60"/>
      <c r="H97" s="60"/>
      <c r="M97" t="s">
        <v>788</v>
      </c>
      <c r="N97" s="79">
        <v>44328</v>
      </c>
      <c r="O97" s="80">
        <v>0</v>
      </c>
      <c r="P97" s="80">
        <v>0</v>
      </c>
      <c r="Q97" s="81">
        <v>0</v>
      </c>
      <c r="R97" s="80">
        <v>0</v>
      </c>
      <c r="S97" s="80">
        <v>0</v>
      </c>
      <c r="T97" s="80">
        <v>0</v>
      </c>
      <c r="U97" s="80">
        <v>0</v>
      </c>
      <c r="V97" s="80">
        <v>0</v>
      </c>
    </row>
    <row r="98" spans="1:22" x14ac:dyDescent="0.25">
      <c r="A98">
        <f>COUNTIF('Value Matchup'!$D$356:$D$423,B98)</f>
        <v>0</v>
      </c>
      <c r="B98" s="56" t="s">
        <v>212</v>
      </c>
      <c r="C98" s="60"/>
      <c r="D98" s="60"/>
      <c r="E98" s="60"/>
      <c r="F98" s="60"/>
      <c r="G98" s="60"/>
      <c r="H98" s="60"/>
      <c r="K98">
        <v>11</v>
      </c>
      <c r="L98">
        <v>45</v>
      </c>
      <c r="M98" t="s">
        <v>789</v>
      </c>
      <c r="N98" s="79" t="s">
        <v>548</v>
      </c>
      <c r="O98" s="80">
        <v>1</v>
      </c>
      <c r="P98" s="80">
        <v>0.89</v>
      </c>
      <c r="Q98" s="81">
        <v>0.33</v>
      </c>
      <c r="R98" s="80">
        <v>0.13</v>
      </c>
      <c r="S98" s="80">
        <v>0.03</v>
      </c>
      <c r="T98" s="80">
        <v>0.01</v>
      </c>
      <c r="U98" s="80">
        <v>0</v>
      </c>
      <c r="V98" s="80">
        <v>0</v>
      </c>
    </row>
    <row r="99" spans="1:22" x14ac:dyDescent="0.25">
      <c r="A99">
        <f>COUNTIF('Value Matchup'!$D$356:$D$423,B99)</f>
        <v>0</v>
      </c>
      <c r="B99" t="s">
        <v>213</v>
      </c>
      <c r="C99" s="60"/>
      <c r="D99" s="60"/>
      <c r="E99" s="60"/>
      <c r="F99" s="60"/>
      <c r="G99" s="60"/>
      <c r="H99" s="60"/>
      <c r="M99" t="s">
        <v>790</v>
      </c>
      <c r="N99" s="79" t="s">
        <v>552</v>
      </c>
      <c r="O99" s="80">
        <v>0</v>
      </c>
      <c r="P99" s="80">
        <v>0</v>
      </c>
      <c r="Q99" s="81">
        <v>0</v>
      </c>
      <c r="R99" s="80">
        <v>0</v>
      </c>
      <c r="S99" s="80">
        <v>0</v>
      </c>
      <c r="T99" s="80">
        <v>0</v>
      </c>
      <c r="U99" s="80">
        <v>0</v>
      </c>
      <c r="V99" s="80">
        <v>0</v>
      </c>
    </row>
    <row r="100" spans="1:22" x14ac:dyDescent="0.25">
      <c r="A100">
        <f>COUNTIF('Value Matchup'!$D$356:$D$423,B100)</f>
        <v>1</v>
      </c>
      <c r="B100" s="56" t="s">
        <v>66</v>
      </c>
      <c r="C100" s="60">
        <f>Q98</f>
        <v>0.33</v>
      </c>
      <c r="D100" s="60">
        <f t="shared" ref="D100:H100" si="18">R98</f>
        <v>0.13</v>
      </c>
      <c r="E100" s="60">
        <f t="shared" si="18"/>
        <v>0.03</v>
      </c>
      <c r="F100" s="60">
        <f t="shared" si="18"/>
        <v>0.01</v>
      </c>
      <c r="G100" s="60">
        <f t="shared" si="18"/>
        <v>0</v>
      </c>
      <c r="H100" s="60">
        <f t="shared" si="18"/>
        <v>0</v>
      </c>
      <c r="M100" t="s">
        <v>791</v>
      </c>
      <c r="N100" s="79" t="s">
        <v>553</v>
      </c>
      <c r="O100" s="80">
        <v>0</v>
      </c>
      <c r="P100" s="80">
        <v>0</v>
      </c>
      <c r="Q100" s="81">
        <v>0</v>
      </c>
      <c r="R100" s="80">
        <v>0</v>
      </c>
      <c r="S100" s="80">
        <v>0</v>
      </c>
      <c r="T100" s="80">
        <v>0</v>
      </c>
      <c r="U100" s="80">
        <v>0</v>
      </c>
      <c r="V100" s="80">
        <v>0</v>
      </c>
    </row>
    <row r="101" spans="1:22" x14ac:dyDescent="0.25">
      <c r="A101">
        <f>COUNTIF('Value Matchup'!$D$356:$D$423,B101)</f>
        <v>0</v>
      </c>
      <c r="B101" t="s">
        <v>60</v>
      </c>
      <c r="C101" s="60"/>
      <c r="D101" s="60"/>
      <c r="E101" s="60"/>
      <c r="F101" s="60"/>
      <c r="G101" s="60"/>
      <c r="H101" s="60"/>
      <c r="M101" t="s">
        <v>792</v>
      </c>
      <c r="N101" s="79" t="s">
        <v>549</v>
      </c>
      <c r="O101" s="80">
        <v>0</v>
      </c>
      <c r="P101" s="80">
        <v>0</v>
      </c>
      <c r="Q101" s="81">
        <v>0</v>
      </c>
      <c r="R101" s="80">
        <v>0</v>
      </c>
      <c r="S101" s="80">
        <v>0</v>
      </c>
      <c r="T101" s="80">
        <v>0</v>
      </c>
      <c r="U101" s="80">
        <v>0</v>
      </c>
      <c r="V101" s="80">
        <v>0</v>
      </c>
    </row>
    <row r="102" spans="1:22" x14ac:dyDescent="0.25">
      <c r="A102">
        <f>COUNTIF('Value Matchup'!$D$356:$D$423,B102)</f>
        <v>0</v>
      </c>
      <c r="B102" s="56" t="s">
        <v>214</v>
      </c>
      <c r="C102" s="60"/>
      <c r="D102" s="60"/>
      <c r="E102" s="60"/>
      <c r="F102" s="60"/>
      <c r="G102" s="60"/>
      <c r="H102" s="60"/>
      <c r="K102">
        <v>10</v>
      </c>
      <c r="L102">
        <v>38</v>
      </c>
      <c r="M102" t="s">
        <v>793</v>
      </c>
      <c r="N102" s="79" t="s">
        <v>554</v>
      </c>
      <c r="O102" s="80">
        <v>1</v>
      </c>
      <c r="P102" s="80">
        <v>0.94</v>
      </c>
      <c r="Q102" s="81">
        <v>0.46</v>
      </c>
      <c r="R102" s="80">
        <v>0.16</v>
      </c>
      <c r="S102" s="80">
        <v>0.06</v>
      </c>
      <c r="T102" s="80">
        <v>0.02</v>
      </c>
      <c r="U102" s="80">
        <v>0.01</v>
      </c>
      <c r="V102" s="80">
        <v>0</v>
      </c>
    </row>
    <row r="103" spans="1:22" x14ac:dyDescent="0.25">
      <c r="A103">
        <f>COUNTIF('Value Matchup'!$D$356:$D$423,B103)</f>
        <v>0</v>
      </c>
      <c r="B103" t="s">
        <v>215</v>
      </c>
      <c r="C103" s="60"/>
      <c r="D103" s="60"/>
      <c r="E103" s="60"/>
      <c r="F103" s="60"/>
      <c r="G103" s="60"/>
      <c r="H103" s="60"/>
      <c r="K103">
        <v>1</v>
      </c>
      <c r="L103">
        <v>1</v>
      </c>
      <c r="M103" t="s">
        <v>794</v>
      </c>
      <c r="N103" s="79" t="s">
        <v>555</v>
      </c>
      <c r="O103" s="80">
        <v>1</v>
      </c>
      <c r="P103" s="80">
        <v>1</v>
      </c>
      <c r="Q103" s="81">
        <v>0.99</v>
      </c>
      <c r="R103" s="80">
        <v>0.85</v>
      </c>
      <c r="S103" s="80">
        <v>0.71</v>
      </c>
      <c r="T103" s="80">
        <v>0.56000000000000005</v>
      </c>
      <c r="U103" s="80">
        <v>0.42</v>
      </c>
      <c r="V103" s="80">
        <v>0.3</v>
      </c>
    </row>
    <row r="104" spans="1:22" x14ac:dyDescent="0.25">
      <c r="A104">
        <f>COUNTIF('Value Matchup'!$D$356:$D$423,B104)</f>
        <v>1</v>
      </c>
      <c r="B104" s="56" t="s">
        <v>216</v>
      </c>
      <c r="C104" s="60">
        <f>Q102</f>
        <v>0.46</v>
      </c>
      <c r="D104" s="60">
        <f t="shared" ref="D104:H104" si="19">R102</f>
        <v>0.16</v>
      </c>
      <c r="E104" s="60">
        <f t="shared" si="19"/>
        <v>0.06</v>
      </c>
      <c r="F104" s="60">
        <f t="shared" si="19"/>
        <v>0.02</v>
      </c>
      <c r="G104" s="60">
        <f t="shared" si="19"/>
        <v>0.01</v>
      </c>
      <c r="H104" s="60">
        <f t="shared" si="19"/>
        <v>0</v>
      </c>
      <c r="M104" t="s">
        <v>795</v>
      </c>
      <c r="N104" s="79">
        <v>44542</v>
      </c>
      <c r="O104" s="80">
        <v>0</v>
      </c>
      <c r="P104" s="80">
        <v>0</v>
      </c>
      <c r="Q104" s="81">
        <v>0</v>
      </c>
      <c r="R104" s="80">
        <v>0</v>
      </c>
      <c r="S104" s="80">
        <v>0</v>
      </c>
      <c r="T104" s="80">
        <v>0</v>
      </c>
      <c r="U104" s="80">
        <v>0</v>
      </c>
      <c r="V104" s="80">
        <v>0</v>
      </c>
    </row>
    <row r="105" spans="1:22" x14ac:dyDescent="0.25">
      <c r="A105">
        <f>COUNTIF('Value Matchup'!$D$356:$D$423,B105)</f>
        <v>1</v>
      </c>
      <c r="B105" t="s">
        <v>71</v>
      </c>
      <c r="C105" s="60">
        <f>Q103</f>
        <v>0.99</v>
      </c>
      <c r="D105" s="60">
        <f t="shared" ref="D105:H105" si="20">R103</f>
        <v>0.85</v>
      </c>
      <c r="E105" s="60">
        <f t="shared" si="20"/>
        <v>0.71</v>
      </c>
      <c r="F105" s="60">
        <f t="shared" si="20"/>
        <v>0.56000000000000005</v>
      </c>
      <c r="G105" s="60">
        <f t="shared" si="20"/>
        <v>0.42</v>
      </c>
      <c r="H105" s="60">
        <f t="shared" si="20"/>
        <v>0.3</v>
      </c>
      <c r="K105">
        <v>15</v>
      </c>
      <c r="L105">
        <v>62</v>
      </c>
      <c r="M105" t="s">
        <v>796</v>
      </c>
      <c r="N105" s="79" t="s">
        <v>556</v>
      </c>
      <c r="O105" s="80">
        <v>1</v>
      </c>
      <c r="P105" s="80">
        <v>0.96</v>
      </c>
      <c r="Q105" s="81">
        <v>0.09</v>
      </c>
      <c r="R105" s="80">
        <v>0.02</v>
      </c>
      <c r="S105" s="80">
        <v>0</v>
      </c>
      <c r="T105" s="80">
        <v>0</v>
      </c>
      <c r="U105" s="80">
        <v>0</v>
      </c>
      <c r="V105" s="80">
        <v>0</v>
      </c>
    </row>
    <row r="106" spans="1:22" x14ac:dyDescent="0.25">
      <c r="A106">
        <f>COUNTIF('Value Matchup'!$D$356:$D$423,B106)</f>
        <v>0</v>
      </c>
      <c r="B106" s="56" t="s">
        <v>217</v>
      </c>
      <c r="C106" s="60"/>
      <c r="D106" s="60"/>
      <c r="E106" s="60"/>
      <c r="F106" s="60"/>
      <c r="G106" s="60"/>
      <c r="H106" s="60"/>
      <c r="M106" t="s">
        <v>797</v>
      </c>
      <c r="N106" s="79">
        <v>44425</v>
      </c>
      <c r="O106" s="80">
        <v>0</v>
      </c>
      <c r="P106" s="80">
        <v>0</v>
      </c>
      <c r="Q106" s="81">
        <v>0</v>
      </c>
      <c r="R106" s="80">
        <v>0</v>
      </c>
      <c r="S106" s="80">
        <v>0</v>
      </c>
      <c r="T106" s="80">
        <v>0</v>
      </c>
      <c r="U106" s="80">
        <v>0</v>
      </c>
      <c r="V106" s="80">
        <v>0</v>
      </c>
    </row>
    <row r="107" spans="1:22" x14ac:dyDescent="0.25">
      <c r="A107">
        <f>COUNTIF('Value Matchup'!$D$356:$D$423,B107)</f>
        <v>1</v>
      </c>
      <c r="B107" t="s">
        <v>218</v>
      </c>
      <c r="C107" s="60">
        <f>Q105</f>
        <v>0.09</v>
      </c>
      <c r="D107" s="60">
        <f t="shared" ref="D107:H107" si="21">R105</f>
        <v>0.02</v>
      </c>
      <c r="E107" s="60">
        <f t="shared" si="21"/>
        <v>0</v>
      </c>
      <c r="F107" s="60">
        <f t="shared" si="21"/>
        <v>0</v>
      </c>
      <c r="G107" s="60">
        <f t="shared" si="21"/>
        <v>0</v>
      </c>
      <c r="H107" s="60">
        <f t="shared" si="21"/>
        <v>0</v>
      </c>
      <c r="M107" t="s">
        <v>798</v>
      </c>
      <c r="N107" s="79">
        <v>44514</v>
      </c>
      <c r="O107" s="80">
        <v>0</v>
      </c>
      <c r="P107" s="80">
        <v>0</v>
      </c>
      <c r="Q107" s="81">
        <v>0</v>
      </c>
      <c r="R107" s="80">
        <v>0</v>
      </c>
      <c r="S107" s="80">
        <v>0</v>
      </c>
      <c r="T107" s="80">
        <v>0</v>
      </c>
      <c r="U107" s="80">
        <v>0</v>
      </c>
      <c r="V107" s="80">
        <v>0</v>
      </c>
    </row>
    <row r="108" spans="1:22" x14ac:dyDescent="0.25">
      <c r="A108">
        <f>COUNTIF('Value Matchup'!$D$356:$D$423,B108)</f>
        <v>0</v>
      </c>
      <c r="B108" s="56" t="s">
        <v>219</v>
      </c>
      <c r="C108" s="60"/>
      <c r="D108" s="60"/>
      <c r="E108" s="60"/>
      <c r="F108" s="60"/>
      <c r="G108" s="60"/>
      <c r="H108" s="60"/>
      <c r="K108">
        <v>16</v>
      </c>
      <c r="L108">
        <v>67</v>
      </c>
      <c r="M108" t="s">
        <v>799</v>
      </c>
      <c r="N108" s="79" t="s">
        <v>515</v>
      </c>
      <c r="O108" s="80">
        <v>1</v>
      </c>
      <c r="P108" s="80">
        <v>0.92</v>
      </c>
      <c r="Q108" s="81">
        <v>0.02</v>
      </c>
      <c r="R108" s="80">
        <v>0</v>
      </c>
      <c r="S108" s="80">
        <v>0</v>
      </c>
      <c r="T108" s="80">
        <v>0</v>
      </c>
      <c r="U108" s="80">
        <v>0</v>
      </c>
      <c r="V108" s="80">
        <v>0</v>
      </c>
    </row>
    <row r="109" spans="1:22" x14ac:dyDescent="0.25">
      <c r="A109">
        <f>COUNTIF('Value Matchup'!$D$356:$D$423,B109)</f>
        <v>0</v>
      </c>
      <c r="B109" t="s">
        <v>27</v>
      </c>
      <c r="C109" s="60"/>
      <c r="D109" s="60"/>
      <c r="E109" s="60"/>
      <c r="F109" s="60"/>
      <c r="G109" s="60"/>
      <c r="H109" s="60"/>
      <c r="M109" t="s">
        <v>800</v>
      </c>
      <c r="N109" s="79">
        <v>44510</v>
      </c>
      <c r="O109" s="80">
        <v>0</v>
      </c>
      <c r="P109" s="80">
        <v>0</v>
      </c>
      <c r="Q109" s="81">
        <v>0</v>
      </c>
      <c r="R109" s="80">
        <v>0</v>
      </c>
      <c r="S109" s="80">
        <v>0</v>
      </c>
      <c r="T109" s="80">
        <v>0</v>
      </c>
      <c r="U109" s="80">
        <v>0</v>
      </c>
      <c r="V109" s="80">
        <v>0</v>
      </c>
    </row>
    <row r="110" spans="1:22" x14ac:dyDescent="0.25">
      <c r="A110">
        <f>COUNTIF('Value Matchup'!$D$356:$D$423,B110)</f>
        <v>1</v>
      </c>
      <c r="B110" s="56" t="s">
        <v>220</v>
      </c>
      <c r="C110" s="60">
        <f>Q108</f>
        <v>0.02</v>
      </c>
      <c r="D110" s="60">
        <f t="shared" ref="D110:H110" si="22">R108</f>
        <v>0</v>
      </c>
      <c r="E110" s="60">
        <f t="shared" si="22"/>
        <v>0</v>
      </c>
      <c r="F110" s="60">
        <f t="shared" si="22"/>
        <v>0</v>
      </c>
      <c r="G110" s="60">
        <f t="shared" si="22"/>
        <v>0</v>
      </c>
      <c r="H110" s="60">
        <f t="shared" si="22"/>
        <v>0</v>
      </c>
      <c r="M110" t="s">
        <v>801</v>
      </c>
      <c r="N110" s="79">
        <v>44454</v>
      </c>
      <c r="O110" s="80">
        <v>0</v>
      </c>
      <c r="P110" s="80">
        <v>0</v>
      </c>
      <c r="Q110" s="81">
        <v>0</v>
      </c>
      <c r="R110" s="80">
        <v>0</v>
      </c>
      <c r="S110" s="80">
        <v>0</v>
      </c>
      <c r="T110" s="80">
        <v>0</v>
      </c>
      <c r="U110" s="80">
        <v>0</v>
      </c>
      <c r="V110" s="80">
        <v>0</v>
      </c>
    </row>
    <row r="111" spans="1:22" x14ac:dyDescent="0.25">
      <c r="A111">
        <f>COUNTIF('Value Matchup'!$D$356:$D$423,B111)</f>
        <v>0</v>
      </c>
      <c r="B111" t="s">
        <v>43</v>
      </c>
      <c r="C111" s="60"/>
      <c r="D111" s="60"/>
      <c r="E111" s="60"/>
      <c r="F111" s="60"/>
      <c r="G111" s="60"/>
      <c r="H111" s="60"/>
      <c r="M111" t="s">
        <v>802</v>
      </c>
      <c r="N111" s="79" t="s">
        <v>532</v>
      </c>
      <c r="O111" s="80">
        <v>0</v>
      </c>
      <c r="P111" s="80">
        <v>0</v>
      </c>
      <c r="Q111" s="81">
        <v>0</v>
      </c>
      <c r="R111" s="80">
        <v>0</v>
      </c>
      <c r="S111" s="80">
        <v>0</v>
      </c>
      <c r="T111" s="80">
        <v>0</v>
      </c>
      <c r="U111" s="80">
        <v>0</v>
      </c>
      <c r="V111" s="80">
        <v>0</v>
      </c>
    </row>
    <row r="112" spans="1:22" x14ac:dyDescent="0.25">
      <c r="A112">
        <f>COUNTIF('Value Matchup'!$D$356:$D$423,B112)</f>
        <v>0</v>
      </c>
      <c r="B112" s="56" t="s">
        <v>221</v>
      </c>
      <c r="C112" s="60"/>
      <c r="D112" s="60"/>
      <c r="E112" s="60"/>
      <c r="F112" s="60"/>
      <c r="G112" s="60"/>
      <c r="H112" s="60"/>
      <c r="M112" t="s">
        <v>803</v>
      </c>
      <c r="N112" s="79">
        <v>44327</v>
      </c>
      <c r="O112" s="80">
        <v>0</v>
      </c>
      <c r="P112" s="80">
        <v>0</v>
      </c>
      <c r="Q112" s="81">
        <v>0</v>
      </c>
      <c r="R112" s="80">
        <v>0</v>
      </c>
      <c r="S112" s="80">
        <v>0</v>
      </c>
      <c r="T112" s="80">
        <v>0</v>
      </c>
      <c r="U112" s="80">
        <v>0</v>
      </c>
      <c r="V112" s="80">
        <v>0</v>
      </c>
    </row>
    <row r="113" spans="1:22" x14ac:dyDescent="0.25">
      <c r="A113">
        <f>COUNTIF('Value Matchup'!$D$356:$D$423,B113)</f>
        <v>0</v>
      </c>
      <c r="B113" t="s">
        <v>222</v>
      </c>
      <c r="C113" s="60"/>
      <c r="D113" s="60"/>
      <c r="E113" s="60"/>
      <c r="F113" s="60"/>
      <c r="G113" s="60"/>
      <c r="H113" s="60"/>
      <c r="M113" t="s">
        <v>804</v>
      </c>
      <c r="N113" s="79">
        <v>44366</v>
      </c>
      <c r="O113" s="80">
        <v>0</v>
      </c>
      <c r="P113" s="80">
        <v>0</v>
      </c>
      <c r="Q113" s="81">
        <v>0</v>
      </c>
      <c r="R113" s="80">
        <v>0</v>
      </c>
      <c r="S113" s="80">
        <v>0</v>
      </c>
      <c r="T113" s="80">
        <v>0</v>
      </c>
      <c r="U113" s="80">
        <v>0</v>
      </c>
      <c r="V113" s="80">
        <v>0</v>
      </c>
    </row>
    <row r="114" spans="1:22" x14ac:dyDescent="0.25">
      <c r="A114">
        <f>COUNTIF('Value Matchup'!$D$356:$D$423,B114)</f>
        <v>0</v>
      </c>
      <c r="B114" s="56" t="s">
        <v>223</v>
      </c>
      <c r="C114" s="60"/>
      <c r="D114" s="60"/>
      <c r="E114" s="60"/>
      <c r="F114" s="60"/>
      <c r="G114" s="60"/>
      <c r="H114" s="60"/>
      <c r="K114">
        <v>3</v>
      </c>
      <c r="L114">
        <v>9</v>
      </c>
      <c r="M114" t="s">
        <v>805</v>
      </c>
      <c r="N114" s="79" t="s">
        <v>557</v>
      </c>
      <c r="O114" s="80">
        <v>1</v>
      </c>
      <c r="P114" s="80">
        <v>1</v>
      </c>
      <c r="Q114" s="81">
        <v>0.93</v>
      </c>
      <c r="R114" s="80">
        <v>0.65</v>
      </c>
      <c r="S114" s="80">
        <v>0.38</v>
      </c>
      <c r="T114" s="80">
        <v>0.2</v>
      </c>
      <c r="U114" s="80">
        <v>0.1</v>
      </c>
      <c r="V114" s="80">
        <v>0.05</v>
      </c>
    </row>
    <row r="115" spans="1:22" x14ac:dyDescent="0.25">
      <c r="A115">
        <f>COUNTIF('Value Matchup'!$D$356:$D$423,B115)</f>
        <v>0</v>
      </c>
      <c r="B115" t="s">
        <v>224</v>
      </c>
      <c r="C115" s="60"/>
      <c r="D115" s="60"/>
      <c r="E115" s="60"/>
      <c r="F115" s="60"/>
      <c r="G115" s="60"/>
      <c r="H115" s="60"/>
      <c r="M115" t="s">
        <v>806</v>
      </c>
      <c r="N115" s="79">
        <v>44200</v>
      </c>
      <c r="O115" s="80">
        <v>0</v>
      </c>
      <c r="P115" s="80">
        <v>0</v>
      </c>
      <c r="Q115" s="81">
        <v>0</v>
      </c>
      <c r="R115" s="80">
        <v>0</v>
      </c>
      <c r="S115" s="80">
        <v>0</v>
      </c>
      <c r="T115" s="80">
        <v>0</v>
      </c>
      <c r="U115" s="80">
        <v>0</v>
      </c>
      <c r="V115" s="80">
        <v>0</v>
      </c>
    </row>
    <row r="116" spans="1:22" x14ac:dyDescent="0.25">
      <c r="A116">
        <f>COUNTIF('Value Matchup'!$D$356:$D$423,B116)</f>
        <v>1</v>
      </c>
      <c r="B116" s="56" t="s">
        <v>225</v>
      </c>
      <c r="C116" s="60">
        <f>Q114</f>
        <v>0.93</v>
      </c>
      <c r="D116" s="60">
        <f t="shared" ref="D116:H116" si="23">R114</f>
        <v>0.65</v>
      </c>
      <c r="E116" s="60">
        <f t="shared" si="23"/>
        <v>0.38</v>
      </c>
      <c r="F116" s="60">
        <f t="shared" si="23"/>
        <v>0.2</v>
      </c>
      <c r="G116" s="60">
        <f t="shared" si="23"/>
        <v>0.1</v>
      </c>
      <c r="H116" s="60">
        <f t="shared" si="23"/>
        <v>0.05</v>
      </c>
      <c r="M116" t="s">
        <v>807</v>
      </c>
      <c r="N116" s="79" t="s">
        <v>547</v>
      </c>
      <c r="O116" s="80">
        <v>0</v>
      </c>
      <c r="P116" s="80">
        <v>0</v>
      </c>
      <c r="Q116" s="81">
        <v>0</v>
      </c>
      <c r="R116" s="80">
        <v>0</v>
      </c>
      <c r="S116" s="80">
        <v>0</v>
      </c>
      <c r="T116" s="80">
        <v>0</v>
      </c>
      <c r="U116" s="80">
        <v>0</v>
      </c>
      <c r="V116" s="80">
        <v>0</v>
      </c>
    </row>
    <row r="117" spans="1:22" x14ac:dyDescent="0.25">
      <c r="A117">
        <f>COUNTIF('Value Matchup'!$D$356:$D$423,B117)</f>
        <v>0</v>
      </c>
      <c r="B117" t="s">
        <v>226</v>
      </c>
      <c r="C117" s="60"/>
      <c r="D117" s="60"/>
      <c r="E117" s="60"/>
      <c r="F117" s="60"/>
      <c r="G117" s="60"/>
      <c r="H117" s="60"/>
      <c r="M117" t="s">
        <v>808</v>
      </c>
      <c r="N117" s="79">
        <v>44217</v>
      </c>
      <c r="O117" s="80">
        <v>0</v>
      </c>
      <c r="P117" s="80">
        <v>0</v>
      </c>
      <c r="Q117" s="81">
        <v>0</v>
      </c>
      <c r="R117" s="80">
        <v>0</v>
      </c>
      <c r="S117" s="80">
        <v>0</v>
      </c>
      <c r="T117" s="80">
        <v>0</v>
      </c>
      <c r="U117" s="80">
        <v>0</v>
      </c>
      <c r="V117" s="80">
        <v>0</v>
      </c>
    </row>
    <row r="118" spans="1:22" x14ac:dyDescent="0.25">
      <c r="A118">
        <f>COUNTIF('Value Matchup'!$D$356:$D$423,B118)</f>
        <v>0</v>
      </c>
      <c r="B118" s="56" t="s">
        <v>227</v>
      </c>
      <c r="C118" s="60"/>
      <c r="D118" s="60"/>
      <c r="E118" s="60"/>
      <c r="F118" s="60"/>
      <c r="G118" s="60"/>
      <c r="H118" s="60"/>
      <c r="M118" t="s">
        <v>809</v>
      </c>
      <c r="N118" s="79">
        <v>44452</v>
      </c>
      <c r="O118" s="80">
        <v>0</v>
      </c>
      <c r="P118" s="80">
        <v>0</v>
      </c>
      <c r="Q118" s="81">
        <v>0</v>
      </c>
      <c r="R118" s="80">
        <v>0</v>
      </c>
      <c r="S118" s="80">
        <v>0</v>
      </c>
      <c r="T118" s="80">
        <v>0</v>
      </c>
      <c r="U118" s="80">
        <v>0</v>
      </c>
      <c r="V118" s="80">
        <v>0</v>
      </c>
    </row>
    <row r="119" spans="1:22" x14ac:dyDescent="0.25">
      <c r="A119">
        <f>COUNTIF('Value Matchup'!$D$356:$D$423,B119)</f>
        <v>0</v>
      </c>
      <c r="B119" t="s">
        <v>228</v>
      </c>
      <c r="C119" s="60"/>
      <c r="D119" s="60"/>
      <c r="E119" s="60"/>
      <c r="F119" s="60"/>
      <c r="G119" s="60"/>
      <c r="H119" s="60"/>
      <c r="K119">
        <v>1</v>
      </c>
      <c r="L119">
        <v>4</v>
      </c>
      <c r="M119" t="s">
        <v>810</v>
      </c>
      <c r="N119" s="79" t="s">
        <v>519</v>
      </c>
      <c r="O119" s="80">
        <v>1</v>
      </c>
      <c r="P119" s="80">
        <v>1</v>
      </c>
      <c r="Q119" s="81">
        <v>0.97</v>
      </c>
      <c r="R119" s="80">
        <v>0.74</v>
      </c>
      <c r="S119" s="80">
        <v>0.54</v>
      </c>
      <c r="T119" s="80">
        <v>0.36</v>
      </c>
      <c r="U119" s="80">
        <v>0.2</v>
      </c>
      <c r="V119" s="80">
        <v>0.12</v>
      </c>
    </row>
    <row r="120" spans="1:22" x14ac:dyDescent="0.25">
      <c r="A120">
        <f>COUNTIF('Value Matchup'!$D$356:$D$423,B120)</f>
        <v>0</v>
      </c>
      <c r="B120" s="56" t="s">
        <v>229</v>
      </c>
      <c r="C120" s="60"/>
      <c r="D120" s="60"/>
      <c r="E120" s="60"/>
      <c r="F120" s="60"/>
      <c r="G120" s="60"/>
      <c r="H120" s="60"/>
      <c r="M120" t="s">
        <v>811</v>
      </c>
      <c r="N120" s="79">
        <v>44395</v>
      </c>
      <c r="O120" s="80">
        <v>0</v>
      </c>
      <c r="P120" s="80">
        <v>0</v>
      </c>
      <c r="Q120" s="81">
        <v>0</v>
      </c>
      <c r="R120" s="80">
        <v>0</v>
      </c>
      <c r="S120" s="80">
        <v>0</v>
      </c>
      <c r="T120" s="80">
        <v>0</v>
      </c>
      <c r="U120" s="80">
        <v>0</v>
      </c>
      <c r="V120" s="80">
        <v>0</v>
      </c>
    </row>
    <row r="121" spans="1:22" x14ac:dyDescent="0.25">
      <c r="A121">
        <f>COUNTIF('Value Matchup'!$D$356:$D$423,B121)</f>
        <v>1</v>
      </c>
      <c r="B121" t="s">
        <v>230</v>
      </c>
      <c r="C121" s="60">
        <f>Q119</f>
        <v>0.97</v>
      </c>
      <c r="D121" s="60">
        <f t="shared" ref="D121:H121" si="24">R119</f>
        <v>0.74</v>
      </c>
      <c r="E121" s="60">
        <f t="shared" si="24"/>
        <v>0.54</v>
      </c>
      <c r="F121" s="60">
        <f t="shared" si="24"/>
        <v>0.36</v>
      </c>
      <c r="G121" s="60">
        <f t="shared" si="24"/>
        <v>0.2</v>
      </c>
      <c r="H121" s="60">
        <f t="shared" si="24"/>
        <v>0.12</v>
      </c>
      <c r="M121" t="s">
        <v>812</v>
      </c>
      <c r="N121" s="79">
        <v>44422</v>
      </c>
      <c r="O121" s="80">
        <v>0</v>
      </c>
      <c r="P121" s="80">
        <v>0</v>
      </c>
      <c r="Q121" s="81">
        <v>0</v>
      </c>
      <c r="R121" s="80">
        <v>0</v>
      </c>
      <c r="S121" s="80">
        <v>0</v>
      </c>
      <c r="T121" s="80">
        <v>0</v>
      </c>
      <c r="U121" s="80">
        <v>0</v>
      </c>
      <c r="V121" s="80">
        <v>0</v>
      </c>
    </row>
    <row r="122" spans="1:22" x14ac:dyDescent="0.25">
      <c r="A122">
        <f>COUNTIF('Value Matchup'!$D$356:$D$423,B122)</f>
        <v>0</v>
      </c>
      <c r="B122" s="56" t="s">
        <v>232</v>
      </c>
      <c r="C122" s="60"/>
      <c r="D122" s="60"/>
      <c r="E122" s="60"/>
      <c r="F122" s="60"/>
      <c r="G122" s="60"/>
      <c r="H122" s="60"/>
      <c r="M122" t="s">
        <v>813</v>
      </c>
      <c r="N122" s="79">
        <v>44545</v>
      </c>
      <c r="O122" s="80">
        <v>0</v>
      </c>
      <c r="P122" s="80">
        <v>0</v>
      </c>
      <c r="Q122" s="81">
        <v>0</v>
      </c>
      <c r="R122" s="80">
        <v>0</v>
      </c>
      <c r="S122" s="80">
        <v>0</v>
      </c>
      <c r="T122" s="80">
        <v>0</v>
      </c>
      <c r="U122" s="80">
        <v>0</v>
      </c>
      <c r="V122" s="80">
        <v>0</v>
      </c>
    </row>
    <row r="123" spans="1:22" x14ac:dyDescent="0.25">
      <c r="A123">
        <f>COUNTIF('Value Matchup'!$D$356:$D$423,B123)</f>
        <v>0</v>
      </c>
      <c r="B123" t="s">
        <v>233</v>
      </c>
      <c r="C123" s="60"/>
      <c r="D123" s="60"/>
      <c r="E123" s="60"/>
      <c r="F123" s="60"/>
      <c r="G123" s="60"/>
      <c r="H123" s="60"/>
      <c r="M123" t="s">
        <v>814</v>
      </c>
      <c r="N123" s="79" t="s">
        <v>558</v>
      </c>
      <c r="O123" s="80">
        <v>0</v>
      </c>
      <c r="P123" s="80">
        <v>0</v>
      </c>
      <c r="Q123" s="81">
        <v>0</v>
      </c>
      <c r="R123" s="80">
        <v>0</v>
      </c>
      <c r="S123" s="80">
        <v>0</v>
      </c>
      <c r="T123" s="80">
        <v>0</v>
      </c>
      <c r="U123" s="80">
        <v>0</v>
      </c>
      <c r="V123" s="80">
        <v>0</v>
      </c>
    </row>
    <row r="124" spans="1:22" x14ac:dyDescent="0.25">
      <c r="A124">
        <f>COUNTIF('Value Matchup'!$D$356:$D$423,B124)</f>
        <v>0</v>
      </c>
      <c r="B124" s="56" t="s">
        <v>234</v>
      </c>
      <c r="C124" s="60"/>
      <c r="D124" s="60"/>
      <c r="E124" s="60"/>
      <c r="F124" s="60"/>
      <c r="G124" s="60"/>
      <c r="H124" s="60"/>
      <c r="K124">
        <v>14</v>
      </c>
      <c r="L124">
        <v>55</v>
      </c>
      <c r="M124" t="s">
        <v>815</v>
      </c>
      <c r="N124" s="79">
        <v>44535</v>
      </c>
      <c r="O124" s="80">
        <v>1</v>
      </c>
      <c r="P124" s="80">
        <v>1</v>
      </c>
      <c r="Q124" s="81">
        <v>0.06</v>
      </c>
      <c r="R124" s="80">
        <v>0.01</v>
      </c>
      <c r="S124" s="80">
        <v>0</v>
      </c>
      <c r="T124" s="80">
        <v>0</v>
      </c>
      <c r="U124" s="80">
        <v>0</v>
      </c>
      <c r="V124" s="80">
        <v>0</v>
      </c>
    </row>
    <row r="125" spans="1:22" x14ac:dyDescent="0.25">
      <c r="A125">
        <f>COUNTIF('Value Matchup'!$D$356:$D$423,B125)</f>
        <v>0</v>
      </c>
      <c r="B125" t="s">
        <v>36</v>
      </c>
      <c r="C125" s="60"/>
      <c r="D125" s="60"/>
      <c r="E125" s="60"/>
      <c r="F125" s="60"/>
      <c r="G125" s="60"/>
      <c r="H125" s="60"/>
      <c r="K125">
        <v>2</v>
      </c>
      <c r="L125">
        <v>7</v>
      </c>
      <c r="M125" t="s">
        <v>816</v>
      </c>
      <c r="N125" s="79" t="s">
        <v>559</v>
      </c>
      <c r="O125" s="80">
        <v>1</v>
      </c>
      <c r="P125" s="80">
        <v>1</v>
      </c>
      <c r="Q125" s="81">
        <v>0.94</v>
      </c>
      <c r="R125" s="80">
        <v>0.7</v>
      </c>
      <c r="S125" s="80">
        <v>0.44</v>
      </c>
      <c r="T125" s="80">
        <v>0.23</v>
      </c>
      <c r="U125" s="80">
        <v>0.12</v>
      </c>
      <c r="V125" s="80">
        <v>0.05</v>
      </c>
    </row>
    <row r="126" spans="1:22" x14ac:dyDescent="0.25">
      <c r="A126">
        <f>COUNTIF('Value Matchup'!$D$356:$D$423,B126)</f>
        <v>0</v>
      </c>
      <c r="B126" s="56" t="s">
        <v>235</v>
      </c>
      <c r="C126" s="60"/>
      <c r="D126" s="60"/>
      <c r="E126" s="60"/>
      <c r="F126" s="60"/>
      <c r="G126" s="60"/>
      <c r="H126" s="60"/>
      <c r="M126" t="s">
        <v>817</v>
      </c>
      <c r="N126" s="79">
        <v>44249</v>
      </c>
      <c r="O126" s="80">
        <v>0</v>
      </c>
      <c r="P126" s="80">
        <v>0</v>
      </c>
      <c r="Q126" s="81">
        <v>0</v>
      </c>
      <c r="R126" s="80">
        <v>0</v>
      </c>
      <c r="S126" s="80">
        <v>0</v>
      </c>
      <c r="T126" s="80">
        <v>0</v>
      </c>
      <c r="U126" s="80">
        <v>0</v>
      </c>
      <c r="V126" s="80">
        <v>0</v>
      </c>
    </row>
    <row r="127" spans="1:22" x14ac:dyDescent="0.25">
      <c r="A127">
        <f>COUNTIF('Value Matchup'!$D$356:$D$423,B127)</f>
        <v>1</v>
      </c>
      <c r="B127" t="s">
        <v>236</v>
      </c>
      <c r="C127" s="60">
        <f>Q124</f>
        <v>0.06</v>
      </c>
      <c r="D127" s="60">
        <f t="shared" ref="D127:H127" si="25">R124</f>
        <v>0.01</v>
      </c>
      <c r="E127" s="60">
        <f t="shared" si="25"/>
        <v>0</v>
      </c>
      <c r="F127" s="60">
        <f t="shared" si="25"/>
        <v>0</v>
      </c>
      <c r="G127" s="60">
        <f t="shared" si="25"/>
        <v>0</v>
      </c>
      <c r="H127" s="60">
        <f t="shared" si="25"/>
        <v>0</v>
      </c>
      <c r="M127" t="s">
        <v>818</v>
      </c>
      <c r="N127" s="79">
        <v>44418</v>
      </c>
      <c r="O127" s="80">
        <v>0</v>
      </c>
      <c r="P127" s="80">
        <v>0</v>
      </c>
      <c r="Q127" s="81">
        <v>0</v>
      </c>
      <c r="R127" s="80">
        <v>0</v>
      </c>
      <c r="S127" s="80">
        <v>0</v>
      </c>
      <c r="T127" s="80">
        <v>0</v>
      </c>
      <c r="U127" s="80">
        <v>0</v>
      </c>
      <c r="V127" s="80">
        <v>0</v>
      </c>
    </row>
    <row r="128" spans="1:22" x14ac:dyDescent="0.25">
      <c r="A128">
        <f>COUNTIF('Value Matchup'!$D$356:$D$423,B128)</f>
        <v>1</v>
      </c>
      <c r="B128" s="56" t="s">
        <v>69</v>
      </c>
      <c r="C128" s="60">
        <f>Q125</f>
        <v>0.94</v>
      </c>
      <c r="D128" s="60">
        <f t="shared" ref="D128:H128" si="26">R125</f>
        <v>0.7</v>
      </c>
      <c r="E128" s="60">
        <f t="shared" si="26"/>
        <v>0.44</v>
      </c>
      <c r="F128" s="60">
        <f t="shared" si="26"/>
        <v>0.23</v>
      </c>
      <c r="G128" s="60">
        <f t="shared" si="26"/>
        <v>0.12</v>
      </c>
      <c r="H128" s="60">
        <f t="shared" si="26"/>
        <v>0.05</v>
      </c>
      <c r="M128" t="s">
        <v>819</v>
      </c>
      <c r="N128" s="79">
        <v>44536</v>
      </c>
      <c r="O128" s="80">
        <v>0</v>
      </c>
      <c r="P128" s="80">
        <v>0</v>
      </c>
      <c r="Q128" s="81">
        <v>0</v>
      </c>
      <c r="R128" s="80">
        <v>0</v>
      </c>
      <c r="S128" s="80">
        <v>0</v>
      </c>
      <c r="T128" s="80">
        <v>0</v>
      </c>
      <c r="U128" s="80">
        <v>0</v>
      </c>
      <c r="V128" s="80">
        <v>0</v>
      </c>
    </row>
    <row r="129" spans="1:22" x14ac:dyDescent="0.25">
      <c r="A129">
        <f>COUNTIF('Value Matchup'!$D$356:$D$423,B129)</f>
        <v>0</v>
      </c>
      <c r="B129" t="s">
        <v>237</v>
      </c>
      <c r="C129" s="60"/>
      <c r="D129" s="60"/>
      <c r="E129" s="60"/>
      <c r="F129" s="60"/>
      <c r="G129" s="60"/>
      <c r="H129" s="60"/>
      <c r="M129" t="s">
        <v>820</v>
      </c>
      <c r="N129" s="79">
        <v>44513</v>
      </c>
      <c r="O129" s="80">
        <v>0</v>
      </c>
      <c r="P129" s="80">
        <v>0</v>
      </c>
      <c r="Q129" s="81">
        <v>0</v>
      </c>
      <c r="R129" s="80">
        <v>0</v>
      </c>
      <c r="S129" s="80">
        <v>0</v>
      </c>
      <c r="T129" s="80">
        <v>0</v>
      </c>
      <c r="U129" s="80">
        <v>0</v>
      </c>
      <c r="V129" s="80">
        <v>0</v>
      </c>
    </row>
    <row r="130" spans="1:22" x14ac:dyDescent="0.25">
      <c r="A130">
        <f>COUNTIF('Value Matchup'!$D$356:$D$423,B130)</f>
        <v>0</v>
      </c>
      <c r="B130" s="56" t="s">
        <v>238</v>
      </c>
      <c r="C130" s="60"/>
      <c r="D130" s="60"/>
      <c r="E130" s="60"/>
      <c r="F130" s="60"/>
      <c r="G130" s="60"/>
      <c r="H130" s="60"/>
      <c r="M130" t="s">
        <v>821</v>
      </c>
      <c r="N130" s="79" t="s">
        <v>560</v>
      </c>
      <c r="O130" s="80">
        <v>0</v>
      </c>
      <c r="P130" s="80">
        <v>0</v>
      </c>
      <c r="Q130" s="81">
        <v>0</v>
      </c>
      <c r="R130" s="80">
        <v>0</v>
      </c>
      <c r="S130" s="80">
        <v>0</v>
      </c>
      <c r="T130" s="80">
        <v>0</v>
      </c>
      <c r="U130" s="80">
        <v>0</v>
      </c>
      <c r="V130" s="80">
        <v>0</v>
      </c>
    </row>
    <row r="131" spans="1:22" x14ac:dyDescent="0.25">
      <c r="A131">
        <f>COUNTIF('Value Matchup'!$D$356:$D$423,B131)</f>
        <v>0</v>
      </c>
      <c r="B131" t="s">
        <v>239</v>
      </c>
      <c r="C131" s="60"/>
      <c r="D131" s="60"/>
      <c r="E131" s="60"/>
      <c r="F131" s="60"/>
      <c r="G131" s="60"/>
      <c r="H131" s="60"/>
      <c r="M131" t="s">
        <v>822</v>
      </c>
      <c r="N131" s="79" t="s">
        <v>524</v>
      </c>
      <c r="O131" s="80">
        <v>0</v>
      </c>
      <c r="P131" s="80">
        <v>0</v>
      </c>
      <c r="Q131" s="81">
        <v>0</v>
      </c>
      <c r="R131" s="80">
        <v>0</v>
      </c>
      <c r="S131" s="80">
        <v>0</v>
      </c>
      <c r="T131" s="80">
        <v>0</v>
      </c>
      <c r="U131" s="80">
        <v>0</v>
      </c>
      <c r="V131" s="80">
        <v>0</v>
      </c>
    </row>
    <row r="132" spans="1:22" x14ac:dyDescent="0.25">
      <c r="A132">
        <f>COUNTIF('Value Matchup'!$D$356:$D$423,B132)</f>
        <v>0</v>
      </c>
      <c r="B132" s="56" t="s">
        <v>240</v>
      </c>
      <c r="C132" s="60"/>
      <c r="D132" s="60"/>
      <c r="E132" s="60"/>
      <c r="F132" s="60"/>
      <c r="G132" s="60"/>
      <c r="H132" s="60"/>
      <c r="M132" t="s">
        <v>823</v>
      </c>
      <c r="N132" s="79">
        <v>44513</v>
      </c>
      <c r="O132" s="80">
        <v>0</v>
      </c>
      <c r="P132" s="80">
        <v>0</v>
      </c>
      <c r="Q132" s="81">
        <v>0</v>
      </c>
      <c r="R132" s="80">
        <v>0</v>
      </c>
      <c r="S132" s="80">
        <v>0</v>
      </c>
      <c r="T132" s="80">
        <v>0</v>
      </c>
      <c r="U132" s="80">
        <v>0</v>
      </c>
      <c r="V132" s="80">
        <v>0</v>
      </c>
    </row>
    <row r="133" spans="1:22" x14ac:dyDescent="0.25">
      <c r="A133">
        <f>COUNTIF('Value Matchup'!$D$356:$D$423,B133)</f>
        <v>0</v>
      </c>
      <c r="B133" t="s">
        <v>241</v>
      </c>
      <c r="C133" s="60"/>
      <c r="D133" s="60"/>
      <c r="E133" s="60"/>
      <c r="F133" s="60"/>
      <c r="G133" s="60"/>
      <c r="H133" s="60"/>
      <c r="K133">
        <v>4</v>
      </c>
      <c r="L133">
        <v>13</v>
      </c>
      <c r="M133" t="s">
        <v>824</v>
      </c>
      <c r="N133" s="79" t="s">
        <v>542</v>
      </c>
      <c r="O133" s="80">
        <v>1</v>
      </c>
      <c r="P133" s="80">
        <v>1</v>
      </c>
      <c r="Q133" s="81">
        <v>0.86</v>
      </c>
      <c r="R133" s="80">
        <v>0.53</v>
      </c>
      <c r="S133" s="80">
        <v>0.25</v>
      </c>
      <c r="T133" s="80">
        <v>0.11</v>
      </c>
      <c r="U133" s="80">
        <v>0.05</v>
      </c>
      <c r="V133" s="80">
        <v>0.02</v>
      </c>
    </row>
    <row r="134" spans="1:22" x14ac:dyDescent="0.25">
      <c r="A134">
        <f>COUNTIF('Value Matchup'!$D$356:$D$423,B134)</f>
        <v>0</v>
      </c>
      <c r="B134" s="56" t="s">
        <v>242</v>
      </c>
      <c r="C134" s="60"/>
      <c r="D134" s="60"/>
      <c r="E134" s="60"/>
      <c r="F134" s="60"/>
      <c r="G134" s="60"/>
      <c r="H134" s="60"/>
      <c r="M134" t="s">
        <v>825</v>
      </c>
      <c r="N134" s="79">
        <v>44459</v>
      </c>
      <c r="O134" s="80">
        <v>0</v>
      </c>
      <c r="P134" s="80">
        <v>0</v>
      </c>
      <c r="Q134" s="81">
        <v>0</v>
      </c>
      <c r="R134" s="80">
        <v>0</v>
      </c>
      <c r="S134" s="80">
        <v>0</v>
      </c>
      <c r="T134" s="80">
        <v>0</v>
      </c>
      <c r="U134" s="80">
        <v>0</v>
      </c>
      <c r="V134" s="80">
        <v>0</v>
      </c>
    </row>
    <row r="135" spans="1:22" x14ac:dyDescent="0.25">
      <c r="A135">
        <f>COUNTIF('Value Matchup'!$D$356:$D$423,B135)</f>
        <v>1</v>
      </c>
      <c r="B135" t="s">
        <v>37</v>
      </c>
      <c r="C135" s="60">
        <f>Q133</f>
        <v>0.86</v>
      </c>
      <c r="D135" s="60">
        <f t="shared" ref="D135:H135" si="27">R133</f>
        <v>0.53</v>
      </c>
      <c r="E135" s="60">
        <f t="shared" si="27"/>
        <v>0.25</v>
      </c>
      <c r="F135" s="60">
        <f t="shared" si="27"/>
        <v>0.11</v>
      </c>
      <c r="G135" s="60">
        <f t="shared" si="27"/>
        <v>0.05</v>
      </c>
      <c r="H135" s="60">
        <f t="shared" si="27"/>
        <v>0.02</v>
      </c>
      <c r="M135" t="s">
        <v>826</v>
      </c>
      <c r="N135" s="79">
        <v>44335</v>
      </c>
      <c r="O135" s="80">
        <v>0</v>
      </c>
      <c r="P135" s="80">
        <v>0</v>
      </c>
      <c r="Q135" s="81">
        <v>0</v>
      </c>
      <c r="R135" s="80">
        <v>0</v>
      </c>
      <c r="S135" s="80">
        <v>0</v>
      </c>
      <c r="T135" s="80">
        <v>0</v>
      </c>
      <c r="U135" s="80">
        <v>0</v>
      </c>
      <c r="V135" s="80">
        <v>0</v>
      </c>
    </row>
    <row r="136" spans="1:22" x14ac:dyDescent="0.25">
      <c r="A136">
        <f>COUNTIF('Value Matchup'!$D$356:$D$423,B136)</f>
        <v>0</v>
      </c>
      <c r="B136" s="56" t="s">
        <v>243</v>
      </c>
      <c r="C136" s="60"/>
      <c r="D136" s="60"/>
      <c r="E136" s="60"/>
      <c r="F136" s="60"/>
      <c r="G136" s="60"/>
      <c r="H136" s="60"/>
      <c r="M136" t="s">
        <v>827</v>
      </c>
      <c r="N136" s="79" t="s">
        <v>515</v>
      </c>
      <c r="O136" s="80">
        <v>0</v>
      </c>
      <c r="P136" s="80">
        <v>0</v>
      </c>
      <c r="Q136" s="81">
        <v>0</v>
      </c>
      <c r="R136" s="80">
        <v>0</v>
      </c>
      <c r="S136" s="80">
        <v>0</v>
      </c>
      <c r="T136" s="80">
        <v>0</v>
      </c>
      <c r="U136" s="80">
        <v>0</v>
      </c>
      <c r="V136" s="80">
        <v>0</v>
      </c>
    </row>
    <row r="137" spans="1:22" x14ac:dyDescent="0.25">
      <c r="A137">
        <f>COUNTIF('Value Matchup'!$D$356:$D$423,B137)</f>
        <v>0</v>
      </c>
      <c r="B137" t="s">
        <v>244</v>
      </c>
      <c r="C137" s="60"/>
      <c r="D137" s="60"/>
      <c r="E137" s="60"/>
      <c r="F137" s="60"/>
      <c r="G137" s="60"/>
      <c r="H137" s="60"/>
      <c r="M137" t="s">
        <v>828</v>
      </c>
      <c r="N137" s="79">
        <v>44455</v>
      </c>
      <c r="O137" s="80">
        <v>0</v>
      </c>
      <c r="P137" s="80">
        <v>0</v>
      </c>
      <c r="Q137" s="81">
        <v>0</v>
      </c>
      <c r="R137" s="80">
        <v>0</v>
      </c>
      <c r="S137" s="80">
        <v>0</v>
      </c>
      <c r="T137" s="80">
        <v>0</v>
      </c>
      <c r="U137" s="80">
        <v>0</v>
      </c>
      <c r="V137" s="80">
        <v>0</v>
      </c>
    </row>
    <row r="138" spans="1:22" x14ac:dyDescent="0.25">
      <c r="A138">
        <f>COUNTIF('Value Matchup'!$D$356:$D$423,B138)</f>
        <v>0</v>
      </c>
      <c r="B138" s="56" t="s">
        <v>245</v>
      </c>
      <c r="C138" s="60"/>
      <c r="D138" s="60"/>
      <c r="E138" s="60"/>
      <c r="F138" s="60"/>
      <c r="G138" s="60"/>
      <c r="H138" s="60"/>
      <c r="M138" t="s">
        <v>829</v>
      </c>
      <c r="N138" s="79">
        <v>44455</v>
      </c>
      <c r="O138" s="80">
        <v>0</v>
      </c>
      <c r="P138" s="80">
        <v>0</v>
      </c>
      <c r="Q138" s="81">
        <v>0</v>
      </c>
      <c r="R138" s="80">
        <v>0</v>
      </c>
      <c r="S138" s="80">
        <v>0</v>
      </c>
      <c r="T138" s="80">
        <v>0</v>
      </c>
      <c r="U138" s="80">
        <v>0</v>
      </c>
      <c r="V138" s="80">
        <v>0</v>
      </c>
    </row>
    <row r="139" spans="1:22" x14ac:dyDescent="0.25">
      <c r="A139">
        <f>COUNTIF('Value Matchup'!$D$356:$D$423,B139)</f>
        <v>0</v>
      </c>
      <c r="B139" t="s">
        <v>26</v>
      </c>
      <c r="C139" s="60"/>
      <c r="D139" s="60"/>
      <c r="E139" s="60"/>
      <c r="F139" s="60"/>
      <c r="G139" s="60"/>
      <c r="H139" s="60"/>
      <c r="M139" t="s">
        <v>830</v>
      </c>
      <c r="N139" s="79">
        <v>44445</v>
      </c>
      <c r="O139" s="80">
        <v>0</v>
      </c>
      <c r="P139" s="80">
        <v>0</v>
      </c>
      <c r="Q139" s="81">
        <v>0</v>
      </c>
      <c r="R139" s="80">
        <v>0</v>
      </c>
      <c r="S139" s="80">
        <v>0</v>
      </c>
      <c r="T139" s="80">
        <v>0</v>
      </c>
      <c r="U139" s="80">
        <v>0</v>
      </c>
      <c r="V139" s="80">
        <v>0</v>
      </c>
    </row>
    <row r="140" spans="1:22" x14ac:dyDescent="0.25">
      <c r="A140">
        <f>COUNTIF('Value Matchup'!$D$356:$D$423,B140)</f>
        <v>0</v>
      </c>
      <c r="B140" s="56" t="s">
        <v>246</v>
      </c>
      <c r="C140" s="60"/>
      <c r="D140" s="60"/>
      <c r="E140" s="60"/>
      <c r="F140" s="60"/>
      <c r="G140" s="60"/>
      <c r="H140" s="60"/>
      <c r="M140" t="s">
        <v>831</v>
      </c>
      <c r="N140" s="79">
        <v>44487</v>
      </c>
      <c r="O140" s="80">
        <v>0</v>
      </c>
      <c r="P140" s="80">
        <v>0</v>
      </c>
      <c r="Q140" s="81">
        <v>0</v>
      </c>
      <c r="R140" s="80">
        <v>0</v>
      </c>
      <c r="S140" s="80">
        <v>0</v>
      </c>
      <c r="T140" s="80">
        <v>0</v>
      </c>
      <c r="U140" s="80">
        <v>0</v>
      </c>
      <c r="V140" s="80">
        <v>0</v>
      </c>
    </row>
    <row r="141" spans="1:22" x14ac:dyDescent="0.25">
      <c r="A141">
        <f>COUNTIF('Value Matchup'!$D$356:$D$423,B141)</f>
        <v>0</v>
      </c>
      <c r="B141" t="s">
        <v>51</v>
      </c>
      <c r="C141" s="60"/>
      <c r="D141" s="60"/>
      <c r="E141" s="60"/>
      <c r="F141" s="60"/>
      <c r="G141" s="60"/>
      <c r="H141" s="60"/>
      <c r="M141" t="s">
        <v>832</v>
      </c>
      <c r="N141" s="79">
        <v>44297</v>
      </c>
      <c r="O141" s="80">
        <v>0</v>
      </c>
      <c r="P141" s="80">
        <v>0</v>
      </c>
      <c r="Q141" s="81">
        <v>0</v>
      </c>
      <c r="R141" s="80">
        <v>0</v>
      </c>
      <c r="S141" s="80">
        <v>0</v>
      </c>
      <c r="T141" s="80">
        <v>0</v>
      </c>
      <c r="U141" s="80">
        <v>0</v>
      </c>
      <c r="V141" s="80">
        <v>0</v>
      </c>
    </row>
    <row r="142" spans="1:22" x14ac:dyDescent="0.25">
      <c r="A142">
        <f>COUNTIF('Value Matchup'!$D$356:$D$423,B142)</f>
        <v>0</v>
      </c>
      <c r="B142" s="56" t="s">
        <v>247</v>
      </c>
      <c r="C142" s="60"/>
      <c r="D142" s="60"/>
      <c r="E142" s="60"/>
      <c r="F142" s="60"/>
      <c r="G142" s="60"/>
      <c r="H142" s="60"/>
      <c r="K142">
        <v>15</v>
      </c>
      <c r="L142">
        <v>59</v>
      </c>
      <c r="M142" t="s">
        <v>833</v>
      </c>
      <c r="N142" s="79" t="s">
        <v>561</v>
      </c>
      <c r="O142" s="80">
        <v>1</v>
      </c>
      <c r="P142" s="80">
        <v>0.99</v>
      </c>
      <c r="Q142" s="81">
        <v>0.11</v>
      </c>
      <c r="R142" s="80">
        <v>0.02</v>
      </c>
      <c r="S142" s="80">
        <v>0</v>
      </c>
      <c r="T142" s="80">
        <v>0</v>
      </c>
      <c r="U142" s="80">
        <v>0</v>
      </c>
      <c r="V142" s="80">
        <v>0</v>
      </c>
    </row>
    <row r="143" spans="1:22" x14ac:dyDescent="0.25">
      <c r="A143">
        <f>COUNTIF('Value Matchup'!$D$356:$D$423,B143)</f>
        <v>0</v>
      </c>
      <c r="B143" t="s">
        <v>248</v>
      </c>
      <c r="C143" s="60"/>
      <c r="D143" s="60"/>
      <c r="E143" s="60"/>
      <c r="F143" s="60"/>
      <c r="G143" s="60"/>
      <c r="H143" s="60"/>
      <c r="M143" t="s">
        <v>834</v>
      </c>
      <c r="N143" s="79" t="s">
        <v>562</v>
      </c>
      <c r="O143" s="80">
        <v>0</v>
      </c>
      <c r="P143" s="80">
        <v>0</v>
      </c>
      <c r="Q143" s="81">
        <v>0</v>
      </c>
      <c r="R143" s="80">
        <v>0</v>
      </c>
      <c r="S143" s="80">
        <v>0</v>
      </c>
      <c r="T143" s="80">
        <v>0</v>
      </c>
      <c r="U143" s="80">
        <v>0</v>
      </c>
      <c r="V143" s="80">
        <v>0</v>
      </c>
    </row>
    <row r="144" spans="1:22" x14ac:dyDescent="0.25">
      <c r="A144">
        <f>COUNTIF('Value Matchup'!$D$356:$D$423,B144)</f>
        <v>1</v>
      </c>
      <c r="B144" s="56" t="s">
        <v>249</v>
      </c>
      <c r="C144" s="60">
        <f>Q142</f>
        <v>0.11</v>
      </c>
      <c r="D144" s="60">
        <f t="shared" ref="D144:H144" si="28">R142</f>
        <v>0.02</v>
      </c>
      <c r="E144" s="60">
        <f t="shared" si="28"/>
        <v>0</v>
      </c>
      <c r="F144" s="60">
        <f t="shared" si="28"/>
        <v>0</v>
      </c>
      <c r="G144" s="60">
        <f t="shared" si="28"/>
        <v>0</v>
      </c>
      <c r="H144" s="60">
        <f t="shared" si="28"/>
        <v>0</v>
      </c>
      <c r="M144" t="s">
        <v>835</v>
      </c>
      <c r="N144" s="79">
        <v>44515</v>
      </c>
      <c r="O144" s="80">
        <v>0</v>
      </c>
      <c r="P144" s="80">
        <v>0</v>
      </c>
      <c r="Q144" s="81">
        <v>0</v>
      </c>
      <c r="R144" s="80">
        <v>0</v>
      </c>
      <c r="S144" s="80">
        <v>0</v>
      </c>
      <c r="T144" s="80">
        <v>0</v>
      </c>
      <c r="U144" s="80">
        <v>0</v>
      </c>
      <c r="V144" s="80">
        <v>0</v>
      </c>
    </row>
    <row r="145" spans="1:22" x14ac:dyDescent="0.25">
      <c r="A145">
        <f>COUNTIF('Value Matchup'!$D$356:$D$423,B145)</f>
        <v>0</v>
      </c>
      <c r="B145" t="s">
        <v>250</v>
      </c>
      <c r="C145" s="60"/>
      <c r="D145" s="60"/>
      <c r="E145" s="60"/>
      <c r="F145" s="60"/>
      <c r="G145" s="60"/>
      <c r="H145" s="60"/>
      <c r="M145" t="s">
        <v>836</v>
      </c>
      <c r="N145" s="79">
        <v>44448</v>
      </c>
      <c r="O145" s="80">
        <v>0</v>
      </c>
      <c r="P145" s="80">
        <v>0</v>
      </c>
      <c r="Q145" s="81">
        <v>0</v>
      </c>
      <c r="R145" s="80">
        <v>0</v>
      </c>
      <c r="S145" s="80">
        <v>0</v>
      </c>
      <c r="T145" s="80">
        <v>0</v>
      </c>
      <c r="U145" s="80">
        <v>0</v>
      </c>
      <c r="V145" s="80">
        <v>0</v>
      </c>
    </row>
    <row r="146" spans="1:22" x14ac:dyDescent="0.25">
      <c r="A146">
        <f>COUNTIF('Value Matchup'!$D$356:$D$423,B146)</f>
        <v>0</v>
      </c>
      <c r="B146" s="56" t="s">
        <v>472</v>
      </c>
      <c r="C146" s="60"/>
      <c r="D146" s="60"/>
      <c r="E146" s="60"/>
      <c r="F146" s="60"/>
      <c r="G146" s="60"/>
      <c r="H146" s="60"/>
      <c r="M146" t="s">
        <v>837</v>
      </c>
      <c r="N146" s="79">
        <v>44359</v>
      </c>
      <c r="O146" s="80">
        <v>0</v>
      </c>
      <c r="P146" s="80">
        <v>0</v>
      </c>
      <c r="Q146" s="81">
        <v>0</v>
      </c>
      <c r="R146" s="80">
        <v>0</v>
      </c>
      <c r="S146" s="80">
        <v>0</v>
      </c>
      <c r="T146" s="80">
        <v>0</v>
      </c>
      <c r="U146" s="80">
        <v>0</v>
      </c>
      <c r="V146" s="80">
        <v>0</v>
      </c>
    </row>
    <row r="147" spans="1:22" x14ac:dyDescent="0.25">
      <c r="A147">
        <f>COUNTIF('Value Matchup'!$D$356:$D$423,B147)</f>
        <v>0</v>
      </c>
      <c r="B147" t="s">
        <v>251</v>
      </c>
      <c r="C147" s="60"/>
      <c r="D147" s="60"/>
      <c r="E147" s="60"/>
      <c r="F147" s="60"/>
      <c r="G147" s="60"/>
      <c r="H147" s="60"/>
      <c r="M147" t="s">
        <v>838</v>
      </c>
      <c r="N147" s="79">
        <v>44546</v>
      </c>
      <c r="O147" s="80">
        <v>0</v>
      </c>
      <c r="P147" s="80">
        <v>0</v>
      </c>
      <c r="Q147" s="81">
        <v>0</v>
      </c>
      <c r="R147" s="80">
        <v>0</v>
      </c>
      <c r="S147" s="80">
        <v>0</v>
      </c>
      <c r="T147" s="80">
        <v>0</v>
      </c>
      <c r="U147" s="80">
        <v>0</v>
      </c>
      <c r="V147" s="80">
        <v>0</v>
      </c>
    </row>
    <row r="148" spans="1:22" x14ac:dyDescent="0.25">
      <c r="A148">
        <f>COUNTIF('Value Matchup'!$D$356:$D$423,B148)</f>
        <v>0</v>
      </c>
      <c r="B148" s="56" t="s">
        <v>252</v>
      </c>
      <c r="C148" s="60"/>
      <c r="D148" s="60"/>
      <c r="E148" s="60"/>
      <c r="F148" s="60"/>
      <c r="G148" s="60"/>
      <c r="H148" s="60"/>
      <c r="K148">
        <v>5</v>
      </c>
      <c r="L148">
        <v>20</v>
      </c>
      <c r="M148" t="s">
        <v>839</v>
      </c>
      <c r="N148" s="79" t="s">
        <v>527</v>
      </c>
      <c r="O148" s="80">
        <v>1</v>
      </c>
      <c r="P148" s="80">
        <v>1</v>
      </c>
      <c r="Q148" s="81">
        <v>0.66</v>
      </c>
      <c r="R148" s="80">
        <v>0.32</v>
      </c>
      <c r="S148" s="80">
        <v>0.12</v>
      </c>
      <c r="T148" s="80">
        <v>0.05</v>
      </c>
      <c r="U148" s="80">
        <v>0.02</v>
      </c>
      <c r="V148" s="80">
        <v>0.01</v>
      </c>
    </row>
    <row r="149" spans="1:22" x14ac:dyDescent="0.25">
      <c r="A149">
        <f>COUNTIF('Value Matchup'!$D$356:$D$423,B149)</f>
        <v>0</v>
      </c>
      <c r="B149" t="s">
        <v>253</v>
      </c>
      <c r="C149" s="60"/>
      <c r="D149" s="60"/>
      <c r="E149" s="60"/>
      <c r="F149" s="60"/>
      <c r="G149" s="60"/>
      <c r="H149" s="60"/>
      <c r="M149" t="s">
        <v>840</v>
      </c>
      <c r="N149" s="79" t="s">
        <v>505</v>
      </c>
      <c r="O149" s="80">
        <v>0</v>
      </c>
      <c r="P149" s="80">
        <v>0</v>
      </c>
      <c r="Q149" s="81">
        <v>0</v>
      </c>
      <c r="R149" s="80">
        <v>0</v>
      </c>
      <c r="S149" s="80">
        <v>0</v>
      </c>
      <c r="T149" s="80">
        <v>0</v>
      </c>
      <c r="U149" s="80">
        <v>0</v>
      </c>
      <c r="V149" s="80">
        <v>0</v>
      </c>
    </row>
    <row r="150" spans="1:22" x14ac:dyDescent="0.25">
      <c r="A150">
        <f>COUNTIF('Value Matchup'!$D$356:$D$423,B150)</f>
        <v>0</v>
      </c>
      <c r="B150" s="56" t="s">
        <v>489</v>
      </c>
      <c r="C150" s="60"/>
      <c r="D150" s="60"/>
      <c r="E150" s="60"/>
      <c r="F150" s="60"/>
      <c r="G150" s="60"/>
      <c r="H150" s="60"/>
      <c r="K150">
        <v>10</v>
      </c>
      <c r="L150">
        <v>40</v>
      </c>
      <c r="M150" t="s">
        <v>841</v>
      </c>
      <c r="N150" s="79" t="s">
        <v>524</v>
      </c>
      <c r="O150" s="80">
        <v>0.97</v>
      </c>
      <c r="P150" s="80">
        <v>0.89</v>
      </c>
      <c r="Q150" s="81">
        <v>0.38</v>
      </c>
      <c r="R150" s="80">
        <v>0.11</v>
      </c>
      <c r="S150" s="80">
        <v>0.04</v>
      </c>
      <c r="T150" s="80">
        <v>0.01</v>
      </c>
      <c r="U150" s="80">
        <v>0</v>
      </c>
      <c r="V150" s="80">
        <v>0</v>
      </c>
    </row>
    <row r="151" spans="1:22" x14ac:dyDescent="0.25">
      <c r="A151">
        <f>COUNTIF('Value Matchup'!$D$356:$D$423,B151)</f>
        <v>0</v>
      </c>
      <c r="B151" t="s">
        <v>255</v>
      </c>
      <c r="C151" s="60"/>
      <c r="D151" s="60"/>
      <c r="E151" s="60"/>
      <c r="F151" s="60"/>
      <c r="G151" s="60"/>
      <c r="H151" s="60"/>
      <c r="K151">
        <v>9</v>
      </c>
      <c r="L151">
        <v>35</v>
      </c>
      <c r="M151" t="s">
        <v>842</v>
      </c>
      <c r="N151" s="79" t="s">
        <v>564</v>
      </c>
      <c r="O151" s="80">
        <v>1</v>
      </c>
      <c r="P151" s="80">
        <v>0.99</v>
      </c>
      <c r="Q151" s="81">
        <v>0.51</v>
      </c>
      <c r="R151" s="80">
        <v>0.18</v>
      </c>
      <c r="S151" s="80">
        <v>0.08</v>
      </c>
      <c r="T151" s="80">
        <v>0.03</v>
      </c>
      <c r="U151" s="80">
        <v>0.01</v>
      </c>
      <c r="V151" s="80">
        <v>0</v>
      </c>
    </row>
    <row r="152" spans="1:22" x14ac:dyDescent="0.25">
      <c r="A152">
        <f>COUNTIF('Value Matchup'!$D$356:$D$423,B152)</f>
        <v>0</v>
      </c>
      <c r="B152" s="56" t="s">
        <v>256</v>
      </c>
      <c r="C152" s="60"/>
      <c r="D152" s="60"/>
      <c r="E152" s="60"/>
      <c r="F152" s="60"/>
      <c r="G152" s="60"/>
      <c r="H152" s="60"/>
      <c r="M152" t="s">
        <v>843</v>
      </c>
      <c r="N152" s="79" t="s">
        <v>551</v>
      </c>
      <c r="O152" s="80">
        <v>0</v>
      </c>
      <c r="P152" s="80">
        <v>0</v>
      </c>
      <c r="Q152" s="81">
        <v>0</v>
      </c>
      <c r="R152" s="80">
        <v>0</v>
      </c>
      <c r="S152" s="80">
        <v>0</v>
      </c>
      <c r="T152" s="80">
        <v>0</v>
      </c>
      <c r="U152" s="80">
        <v>0</v>
      </c>
      <c r="V152" s="80">
        <v>0</v>
      </c>
    </row>
    <row r="153" spans="1:22" x14ac:dyDescent="0.25">
      <c r="A153">
        <f>COUNTIF('Value Matchup'!$D$356:$D$423,B153)</f>
        <v>0</v>
      </c>
      <c r="B153" t="s">
        <v>54</v>
      </c>
      <c r="C153" s="60">
        <f>Q150</f>
        <v>0.38</v>
      </c>
      <c r="D153" s="60">
        <f t="shared" ref="D153:H153" si="29">R150</f>
        <v>0.11</v>
      </c>
      <c r="E153" s="60">
        <f t="shared" si="29"/>
        <v>0.04</v>
      </c>
      <c r="F153" s="60">
        <f t="shared" si="29"/>
        <v>0.01</v>
      </c>
      <c r="G153" s="60">
        <f t="shared" si="29"/>
        <v>0</v>
      </c>
      <c r="H153" s="60">
        <f t="shared" si="29"/>
        <v>0</v>
      </c>
      <c r="M153" t="s">
        <v>844</v>
      </c>
      <c r="N153" s="79">
        <v>44357</v>
      </c>
      <c r="O153" s="80">
        <v>0.1</v>
      </c>
      <c r="P153" s="80">
        <v>0.09</v>
      </c>
      <c r="Q153" s="81">
        <v>0</v>
      </c>
      <c r="R153" s="80">
        <v>0</v>
      </c>
      <c r="S153" s="80">
        <v>0</v>
      </c>
      <c r="T153" s="80">
        <v>0</v>
      </c>
      <c r="U153" s="80">
        <v>0</v>
      </c>
      <c r="V153" s="80">
        <v>0</v>
      </c>
    </row>
    <row r="154" spans="1:22" x14ac:dyDescent="0.25">
      <c r="A154">
        <f>COUNTIF('Value Matchup'!$D$356:$D$423,B154)</f>
        <v>1</v>
      </c>
      <c r="B154" s="56" t="s">
        <v>257</v>
      </c>
      <c r="C154" s="60">
        <f>Q151</f>
        <v>0.51</v>
      </c>
      <c r="D154" s="60">
        <f t="shared" ref="D154:H154" si="30">R151</f>
        <v>0.18</v>
      </c>
      <c r="E154" s="60">
        <f t="shared" si="30"/>
        <v>0.08</v>
      </c>
      <c r="F154" s="60">
        <f t="shared" si="30"/>
        <v>0.03</v>
      </c>
      <c r="G154" s="60">
        <f t="shared" si="30"/>
        <v>0.01</v>
      </c>
      <c r="H154" s="60">
        <f t="shared" si="30"/>
        <v>0</v>
      </c>
      <c r="M154" t="s">
        <v>845</v>
      </c>
      <c r="N154" s="79">
        <v>44234</v>
      </c>
      <c r="O154" s="80">
        <v>0</v>
      </c>
      <c r="P154" s="80">
        <v>0</v>
      </c>
      <c r="Q154" s="81">
        <v>0</v>
      </c>
      <c r="R154" s="80">
        <v>0</v>
      </c>
      <c r="S154" s="80">
        <v>0</v>
      </c>
      <c r="T154" s="80">
        <v>0</v>
      </c>
      <c r="U154" s="80">
        <v>0</v>
      </c>
      <c r="V154" s="80">
        <v>0</v>
      </c>
    </row>
    <row r="155" spans="1:22" x14ac:dyDescent="0.25">
      <c r="A155">
        <f>COUNTIF('Value Matchup'!$D$356:$D$423,B155)</f>
        <v>0</v>
      </c>
      <c r="B155" t="s">
        <v>258</v>
      </c>
      <c r="C155" s="60"/>
      <c r="D155" s="60"/>
      <c r="E155" s="60"/>
      <c r="F155" s="60"/>
      <c r="G155" s="60"/>
      <c r="H155" s="60"/>
      <c r="M155" t="s">
        <v>846</v>
      </c>
      <c r="N155" s="79">
        <v>44390</v>
      </c>
      <c r="O155" s="80">
        <v>0</v>
      </c>
      <c r="P155" s="80">
        <v>0</v>
      </c>
      <c r="Q155" s="81">
        <v>0</v>
      </c>
      <c r="R155" s="80">
        <v>0</v>
      </c>
      <c r="S155" s="80">
        <v>0</v>
      </c>
      <c r="T155" s="80">
        <v>0</v>
      </c>
      <c r="U155" s="80">
        <v>0</v>
      </c>
      <c r="V155" s="80">
        <v>0</v>
      </c>
    </row>
    <row r="156" spans="1:22" x14ac:dyDescent="0.25">
      <c r="A156">
        <f>COUNTIF('Value Matchup'!$D$356:$D$423,B156)</f>
        <v>0</v>
      </c>
      <c r="B156" s="56" t="s">
        <v>259</v>
      </c>
      <c r="C156" s="60"/>
      <c r="D156" s="60"/>
      <c r="E156" s="60"/>
      <c r="F156" s="60"/>
      <c r="G156" s="60"/>
      <c r="H156" s="60"/>
      <c r="M156" t="s">
        <v>847</v>
      </c>
      <c r="N156" s="79">
        <v>44539</v>
      </c>
      <c r="O156" s="80">
        <v>0</v>
      </c>
      <c r="P156" s="80">
        <v>0</v>
      </c>
      <c r="Q156" s="81">
        <v>0</v>
      </c>
      <c r="R156" s="80">
        <v>0</v>
      </c>
      <c r="S156" s="80">
        <v>0</v>
      </c>
      <c r="T156" s="80">
        <v>0</v>
      </c>
      <c r="U156" s="80">
        <v>0</v>
      </c>
      <c r="V156" s="80">
        <v>0</v>
      </c>
    </row>
    <row r="157" spans="1:22" x14ac:dyDescent="0.25">
      <c r="A157">
        <f>COUNTIF('Value Matchup'!$D$356:$D$423,B157)</f>
        <v>1</v>
      </c>
      <c r="B157" t="s">
        <v>52</v>
      </c>
      <c r="C157" s="60">
        <f>Q148</f>
        <v>0.66</v>
      </c>
      <c r="D157" s="60">
        <f t="shared" ref="D157:H157" si="31">R148</f>
        <v>0.32</v>
      </c>
      <c r="E157" s="60">
        <f t="shared" si="31"/>
        <v>0.12</v>
      </c>
      <c r="F157" s="60">
        <f t="shared" si="31"/>
        <v>0.05</v>
      </c>
      <c r="G157" s="60">
        <f t="shared" si="31"/>
        <v>0.02</v>
      </c>
      <c r="H157" s="60">
        <f t="shared" si="31"/>
        <v>0.01</v>
      </c>
      <c r="M157" t="s">
        <v>848</v>
      </c>
      <c r="N157" s="79" t="s">
        <v>520</v>
      </c>
      <c r="O157" s="80">
        <v>0</v>
      </c>
      <c r="P157" s="80">
        <v>0</v>
      </c>
      <c r="Q157" s="81">
        <v>0</v>
      </c>
      <c r="R157" s="80">
        <v>0</v>
      </c>
      <c r="S157" s="80">
        <v>0</v>
      </c>
      <c r="T157" s="80">
        <v>0</v>
      </c>
      <c r="U157" s="80">
        <v>0</v>
      </c>
      <c r="V157" s="80">
        <v>0</v>
      </c>
    </row>
    <row r="158" spans="1:22" x14ac:dyDescent="0.25">
      <c r="A158">
        <f>COUNTIF('Value Matchup'!$D$356:$D$423,B158)</f>
        <v>0</v>
      </c>
      <c r="B158" s="56" t="s">
        <v>260</v>
      </c>
      <c r="C158" s="60"/>
      <c r="D158" s="60"/>
      <c r="E158" s="60"/>
      <c r="F158" s="60"/>
      <c r="G158" s="60"/>
      <c r="H158" s="60"/>
      <c r="M158" t="s">
        <v>849</v>
      </c>
      <c r="N158" s="79" t="s">
        <v>541</v>
      </c>
      <c r="O158" s="80">
        <v>0</v>
      </c>
      <c r="P158" s="80">
        <v>0</v>
      </c>
      <c r="Q158" s="81">
        <v>0</v>
      </c>
      <c r="R158" s="80">
        <v>0</v>
      </c>
      <c r="S158" s="80">
        <v>0</v>
      </c>
      <c r="T158" s="80">
        <v>0</v>
      </c>
      <c r="U158" s="80">
        <v>0</v>
      </c>
      <c r="V158" s="80">
        <v>0</v>
      </c>
    </row>
    <row r="159" spans="1:22" x14ac:dyDescent="0.25">
      <c r="A159">
        <f>COUNTIF('Value Matchup'!$D$356:$D$423,B159)</f>
        <v>0</v>
      </c>
      <c r="B159" t="s">
        <v>73</v>
      </c>
      <c r="C159" s="60"/>
      <c r="D159" s="60"/>
      <c r="E159" s="60"/>
      <c r="F159" s="60"/>
      <c r="G159" s="60"/>
      <c r="H159" s="60"/>
      <c r="K159">
        <v>9</v>
      </c>
      <c r="L159">
        <v>34</v>
      </c>
      <c r="M159" t="s">
        <v>850</v>
      </c>
      <c r="N159" s="79" t="s">
        <v>565</v>
      </c>
      <c r="O159" s="80">
        <v>0.96</v>
      </c>
      <c r="P159" s="80">
        <v>0.94</v>
      </c>
      <c r="Q159" s="81">
        <v>0.45</v>
      </c>
      <c r="R159" s="80">
        <v>0.13</v>
      </c>
      <c r="S159" s="80">
        <v>0.05</v>
      </c>
      <c r="T159" s="80">
        <v>0.01</v>
      </c>
      <c r="U159" s="80">
        <v>0</v>
      </c>
      <c r="V159" s="80">
        <v>0</v>
      </c>
    </row>
    <row r="160" spans="1:22" x14ac:dyDescent="0.25">
      <c r="A160">
        <f>COUNTIF('Value Matchup'!$D$356:$D$423,B160)</f>
        <v>0</v>
      </c>
      <c r="B160" s="56" t="s">
        <v>261</v>
      </c>
      <c r="C160" s="60"/>
      <c r="D160" s="60"/>
      <c r="E160" s="60"/>
      <c r="F160" s="60"/>
      <c r="G160" s="60"/>
      <c r="H160" s="60"/>
      <c r="M160" t="s">
        <v>851</v>
      </c>
      <c r="N160" s="79">
        <v>44512</v>
      </c>
      <c r="O160" s="80">
        <v>0</v>
      </c>
      <c r="P160" s="80">
        <v>0</v>
      </c>
      <c r="Q160" s="81">
        <v>0</v>
      </c>
      <c r="R160" s="80">
        <v>0</v>
      </c>
      <c r="S160" s="80">
        <v>0</v>
      </c>
      <c r="T160" s="80">
        <v>0</v>
      </c>
      <c r="U160" s="80">
        <v>0</v>
      </c>
      <c r="V160" s="80">
        <v>0</v>
      </c>
    </row>
    <row r="161" spans="1:22" x14ac:dyDescent="0.25">
      <c r="A161">
        <f>COUNTIF('Value Matchup'!$D$356:$D$423,B161)</f>
        <v>0</v>
      </c>
      <c r="B161" t="s">
        <v>262</v>
      </c>
      <c r="C161" s="60"/>
      <c r="D161" s="60"/>
      <c r="E161" s="60"/>
      <c r="F161" s="60"/>
      <c r="G161" s="60"/>
      <c r="H161" s="60"/>
      <c r="M161" t="s">
        <v>852</v>
      </c>
      <c r="N161" s="79">
        <v>44415</v>
      </c>
      <c r="O161" s="80">
        <v>0</v>
      </c>
      <c r="P161" s="80">
        <v>0</v>
      </c>
      <c r="Q161" s="81">
        <v>0</v>
      </c>
      <c r="R161" s="80">
        <v>0</v>
      </c>
      <c r="S161" s="80">
        <v>0</v>
      </c>
      <c r="T161" s="80">
        <v>0</v>
      </c>
      <c r="U161" s="80">
        <v>0</v>
      </c>
      <c r="V161" s="80">
        <v>0</v>
      </c>
    </row>
    <row r="162" spans="1:22" x14ac:dyDescent="0.25">
      <c r="A162">
        <f>COUNTIF('Value Matchup'!$D$356:$D$423,B162)</f>
        <v>0</v>
      </c>
      <c r="B162" s="56" t="s">
        <v>263</v>
      </c>
      <c r="C162" s="60"/>
      <c r="D162" s="60"/>
      <c r="E162" s="60"/>
      <c r="F162" s="60"/>
      <c r="G162" s="60"/>
      <c r="H162" s="60"/>
      <c r="M162" t="s">
        <v>853</v>
      </c>
      <c r="N162" s="79">
        <v>44483</v>
      </c>
      <c r="O162" s="80">
        <v>0</v>
      </c>
      <c r="P162" s="80">
        <v>0</v>
      </c>
      <c r="Q162" s="81">
        <v>0</v>
      </c>
      <c r="R162" s="80">
        <v>0</v>
      </c>
      <c r="S162" s="80">
        <v>0</v>
      </c>
      <c r="T162" s="80">
        <v>0</v>
      </c>
      <c r="U162" s="80">
        <v>0</v>
      </c>
      <c r="V162" s="80">
        <v>0</v>
      </c>
    </row>
    <row r="163" spans="1:22" x14ac:dyDescent="0.25">
      <c r="A163">
        <f>COUNTIF('Value Matchup'!$D$356:$D$423,B163)</f>
        <v>1</v>
      </c>
      <c r="B163" t="s">
        <v>31</v>
      </c>
      <c r="C163" s="60">
        <f>Q159</f>
        <v>0.45</v>
      </c>
      <c r="D163" s="60">
        <f t="shared" ref="D163:H163" si="32">R159</f>
        <v>0.13</v>
      </c>
      <c r="E163" s="60">
        <f t="shared" si="32"/>
        <v>0.05</v>
      </c>
      <c r="F163" s="60">
        <f t="shared" si="32"/>
        <v>0.01</v>
      </c>
      <c r="G163" s="60">
        <f t="shared" si="32"/>
        <v>0</v>
      </c>
      <c r="H163" s="60">
        <f t="shared" si="32"/>
        <v>0</v>
      </c>
      <c r="M163" t="s">
        <v>854</v>
      </c>
      <c r="N163" s="79" t="s">
        <v>530</v>
      </c>
      <c r="O163" s="80">
        <v>0</v>
      </c>
      <c r="P163" s="80">
        <v>0</v>
      </c>
      <c r="Q163" s="81">
        <v>0</v>
      </c>
      <c r="R163" s="80">
        <v>0</v>
      </c>
      <c r="S163" s="80">
        <v>0</v>
      </c>
      <c r="T163" s="80">
        <v>0</v>
      </c>
      <c r="U163" s="80">
        <v>0</v>
      </c>
      <c r="V163" s="80">
        <v>0</v>
      </c>
    </row>
    <row r="164" spans="1:22" x14ac:dyDescent="0.25">
      <c r="A164">
        <f>COUNTIF('Value Matchup'!$D$356:$D$423,B164)</f>
        <v>0</v>
      </c>
      <c r="B164" s="56" t="s">
        <v>264</v>
      </c>
      <c r="C164" s="60"/>
      <c r="D164" s="60"/>
      <c r="E164" s="60"/>
      <c r="F164" s="60"/>
      <c r="G164" s="60"/>
      <c r="H164" s="60"/>
      <c r="M164" t="s">
        <v>855</v>
      </c>
      <c r="N164" s="79" t="s">
        <v>501</v>
      </c>
      <c r="O164" s="80">
        <v>0</v>
      </c>
      <c r="P164" s="80">
        <v>0</v>
      </c>
      <c r="Q164" s="81">
        <v>0</v>
      </c>
      <c r="R164" s="80">
        <v>0</v>
      </c>
      <c r="S164" s="80">
        <v>0</v>
      </c>
      <c r="T164" s="80">
        <v>0</v>
      </c>
      <c r="U164" s="80">
        <v>0</v>
      </c>
      <c r="V164" s="80">
        <v>0</v>
      </c>
    </row>
    <row r="165" spans="1:22" x14ac:dyDescent="0.25">
      <c r="A165">
        <f>COUNTIF('Value Matchup'!$D$356:$D$423,B165)</f>
        <v>0</v>
      </c>
      <c r="B165" t="s">
        <v>265</v>
      </c>
      <c r="C165" s="60"/>
      <c r="D165" s="60"/>
      <c r="E165" s="60"/>
      <c r="F165" s="60"/>
      <c r="G165" s="60"/>
      <c r="H165" s="60"/>
      <c r="M165" t="s">
        <v>856</v>
      </c>
      <c r="N165" s="79">
        <v>44448</v>
      </c>
      <c r="O165" s="80">
        <v>0</v>
      </c>
      <c r="P165" s="80">
        <v>0</v>
      </c>
      <c r="Q165" s="81">
        <v>0</v>
      </c>
      <c r="R165" s="80">
        <v>0</v>
      </c>
      <c r="S165" s="80">
        <v>0</v>
      </c>
      <c r="T165" s="80">
        <v>0</v>
      </c>
      <c r="U165" s="80">
        <v>0</v>
      </c>
      <c r="V165" s="80">
        <v>0</v>
      </c>
    </row>
    <row r="166" spans="1:22" x14ac:dyDescent="0.25">
      <c r="A166">
        <f>COUNTIF('Value Matchup'!$D$356:$D$423,B166)</f>
        <v>0</v>
      </c>
      <c r="B166" s="56" t="s">
        <v>266</v>
      </c>
      <c r="C166" s="60"/>
      <c r="D166" s="60"/>
      <c r="E166" s="60"/>
      <c r="F166" s="60"/>
      <c r="G166" s="60"/>
      <c r="H166" s="60"/>
      <c r="M166" t="s">
        <v>857</v>
      </c>
      <c r="N166" s="79">
        <v>44486</v>
      </c>
      <c r="O166" s="80">
        <v>0</v>
      </c>
      <c r="P166" s="80">
        <v>0</v>
      </c>
      <c r="Q166" s="81">
        <v>0</v>
      </c>
      <c r="R166" s="80">
        <v>0</v>
      </c>
      <c r="S166" s="80">
        <v>0</v>
      </c>
      <c r="T166" s="80">
        <v>0</v>
      </c>
      <c r="U166" s="80">
        <v>0</v>
      </c>
      <c r="V166" s="80">
        <v>0</v>
      </c>
    </row>
    <row r="167" spans="1:22" x14ac:dyDescent="0.25">
      <c r="A167">
        <f>COUNTIF('Value Matchup'!$D$356:$D$423,B167)</f>
        <v>0</v>
      </c>
      <c r="B167" t="s">
        <v>267</v>
      </c>
      <c r="C167" s="60"/>
      <c r="D167" s="60"/>
      <c r="E167" s="60"/>
      <c r="F167" s="60"/>
      <c r="G167" s="60"/>
      <c r="H167" s="60"/>
      <c r="M167" t="s">
        <v>858</v>
      </c>
      <c r="N167" s="79">
        <v>44541</v>
      </c>
      <c r="O167" s="80">
        <v>0</v>
      </c>
      <c r="P167" s="80">
        <v>0</v>
      </c>
      <c r="Q167" s="81">
        <v>0</v>
      </c>
      <c r="R167" s="80">
        <v>0</v>
      </c>
      <c r="S167" s="80">
        <v>0</v>
      </c>
      <c r="T167" s="80">
        <v>0</v>
      </c>
      <c r="U167" s="80">
        <v>0</v>
      </c>
      <c r="V167" s="80">
        <v>0</v>
      </c>
    </row>
    <row r="168" spans="1:22" x14ac:dyDescent="0.25">
      <c r="A168">
        <f>COUNTIF('Value Matchup'!$D$356:$D$423,B168)</f>
        <v>0</v>
      </c>
      <c r="B168" s="56" t="s">
        <v>268</v>
      </c>
      <c r="C168" s="60"/>
      <c r="D168" s="60"/>
      <c r="E168" s="60"/>
      <c r="F168" s="60"/>
      <c r="G168" s="60"/>
      <c r="H168" s="60"/>
      <c r="K168">
        <v>11</v>
      </c>
      <c r="L168">
        <v>41</v>
      </c>
      <c r="M168" t="s">
        <v>859</v>
      </c>
      <c r="N168" s="79" t="s">
        <v>562</v>
      </c>
      <c r="O168" s="80">
        <v>0.97</v>
      </c>
      <c r="P168" s="80">
        <v>0.86</v>
      </c>
      <c r="Q168" s="81">
        <v>0.31</v>
      </c>
      <c r="R168" s="80">
        <v>0.08</v>
      </c>
      <c r="S168" s="80">
        <v>0.03</v>
      </c>
      <c r="T168" s="80">
        <v>0.01</v>
      </c>
      <c r="U168" s="80">
        <v>0</v>
      </c>
      <c r="V168" s="80">
        <v>0</v>
      </c>
    </row>
    <row r="169" spans="1:22" x14ac:dyDescent="0.25">
      <c r="A169">
        <f>COUNTIF('Value Matchup'!$D$356:$D$423,B169)</f>
        <v>0</v>
      </c>
      <c r="B169" t="s">
        <v>269</v>
      </c>
      <c r="C169" s="60"/>
      <c r="D169" s="60"/>
      <c r="E169" s="60"/>
      <c r="F169" s="60"/>
      <c r="G169" s="60"/>
      <c r="H169" s="60"/>
      <c r="K169">
        <v>1</v>
      </c>
      <c r="L169">
        <v>3</v>
      </c>
      <c r="M169" t="s">
        <v>860</v>
      </c>
      <c r="N169" s="79" t="s">
        <v>567</v>
      </c>
      <c r="O169" s="80">
        <v>1</v>
      </c>
      <c r="P169" s="80">
        <v>1</v>
      </c>
      <c r="Q169" s="81">
        <v>0.96</v>
      </c>
      <c r="R169" s="80">
        <v>0.7</v>
      </c>
      <c r="S169" s="80">
        <v>0.46</v>
      </c>
      <c r="T169" s="80">
        <v>0.27</v>
      </c>
      <c r="U169" s="80">
        <v>0.13</v>
      </c>
      <c r="V169" s="80">
        <v>0.06</v>
      </c>
    </row>
    <row r="170" spans="1:22" x14ac:dyDescent="0.25">
      <c r="A170">
        <f>COUNTIF('Value Matchup'!$D$356:$D$423,B170)</f>
        <v>0</v>
      </c>
      <c r="B170" s="56" t="s">
        <v>270</v>
      </c>
      <c r="C170" s="60"/>
      <c r="D170" s="60"/>
      <c r="E170" s="60"/>
      <c r="F170" s="60"/>
      <c r="G170" s="60"/>
      <c r="H170" s="60"/>
      <c r="M170" t="s">
        <v>861</v>
      </c>
      <c r="N170" s="79">
        <v>44334</v>
      </c>
      <c r="O170" s="80">
        <v>0</v>
      </c>
      <c r="P170" s="80">
        <v>0</v>
      </c>
      <c r="Q170" s="81">
        <v>0</v>
      </c>
      <c r="R170" s="80">
        <v>0</v>
      </c>
      <c r="S170" s="80">
        <v>0</v>
      </c>
      <c r="T170" s="80">
        <v>0</v>
      </c>
      <c r="U170" s="80">
        <v>0</v>
      </c>
      <c r="V170" s="80">
        <v>0</v>
      </c>
    </row>
    <row r="171" spans="1:22" x14ac:dyDescent="0.25">
      <c r="A171">
        <f>COUNTIF('Value Matchup'!$D$356:$D$423,B171)</f>
        <v>1</v>
      </c>
      <c r="B171" t="s">
        <v>82</v>
      </c>
      <c r="C171" s="60">
        <f>Q169</f>
        <v>0.96</v>
      </c>
      <c r="D171" s="60">
        <f t="shared" ref="D171:H171" si="33">R169</f>
        <v>0.7</v>
      </c>
      <c r="E171" s="60">
        <f t="shared" si="33"/>
        <v>0.46</v>
      </c>
      <c r="F171" s="60">
        <f t="shared" si="33"/>
        <v>0.27</v>
      </c>
      <c r="G171" s="60">
        <f t="shared" si="33"/>
        <v>0.13</v>
      </c>
      <c r="H171" s="60">
        <f t="shared" si="33"/>
        <v>0.06</v>
      </c>
      <c r="M171" t="s">
        <v>862</v>
      </c>
      <c r="N171" s="79">
        <v>44481</v>
      </c>
      <c r="O171" s="80">
        <v>0</v>
      </c>
      <c r="P171" s="80">
        <v>0</v>
      </c>
      <c r="Q171" s="81">
        <v>0</v>
      </c>
      <c r="R171" s="80">
        <v>0</v>
      </c>
      <c r="S171" s="80">
        <v>0</v>
      </c>
      <c r="T171" s="80">
        <v>0</v>
      </c>
      <c r="U171" s="80">
        <v>0</v>
      </c>
      <c r="V171" s="80">
        <v>0</v>
      </c>
    </row>
    <row r="172" spans="1:22" x14ac:dyDescent="0.25">
      <c r="A172">
        <f>COUNTIF('Value Matchup'!$D$356:$D$423,B172)</f>
        <v>1</v>
      </c>
      <c r="B172" s="56" t="s">
        <v>271</v>
      </c>
      <c r="C172" s="60">
        <f>Q168</f>
        <v>0.31</v>
      </c>
      <c r="D172" s="60">
        <f t="shared" ref="D172:H172" si="34">R168</f>
        <v>0.08</v>
      </c>
      <c r="E172" s="60">
        <f t="shared" si="34"/>
        <v>0.03</v>
      </c>
      <c r="F172" s="60">
        <f t="shared" si="34"/>
        <v>0.01</v>
      </c>
      <c r="G172" s="60">
        <f t="shared" si="34"/>
        <v>0</v>
      </c>
      <c r="H172" s="60">
        <f t="shared" si="34"/>
        <v>0</v>
      </c>
      <c r="M172" t="s">
        <v>863</v>
      </c>
      <c r="N172" s="79" t="s">
        <v>568</v>
      </c>
      <c r="O172" s="80">
        <v>0</v>
      </c>
      <c r="P172" s="80">
        <v>0</v>
      </c>
      <c r="Q172" s="81">
        <v>0</v>
      </c>
      <c r="R172" s="80">
        <v>0</v>
      </c>
      <c r="S172" s="80">
        <v>0</v>
      </c>
      <c r="T172" s="80">
        <v>0</v>
      </c>
      <c r="U172" s="80">
        <v>0</v>
      </c>
      <c r="V172" s="80">
        <v>0</v>
      </c>
    </row>
    <row r="173" spans="1:22" x14ac:dyDescent="0.25">
      <c r="A173">
        <f>COUNTIF('Value Matchup'!$D$356:$D$423,B173)</f>
        <v>0</v>
      </c>
      <c r="B173" t="s">
        <v>272</v>
      </c>
      <c r="C173" s="60"/>
      <c r="D173" s="60"/>
      <c r="E173" s="60"/>
      <c r="F173" s="60"/>
      <c r="G173" s="60"/>
      <c r="H173" s="60"/>
      <c r="M173" t="s">
        <v>864</v>
      </c>
      <c r="N173" s="79" t="s">
        <v>569</v>
      </c>
      <c r="O173" s="80">
        <v>0.35</v>
      </c>
      <c r="P173" s="80">
        <v>0.28000000000000003</v>
      </c>
      <c r="Q173" s="81">
        <v>0.11</v>
      </c>
      <c r="R173" s="80">
        <v>0.03</v>
      </c>
      <c r="S173" s="80">
        <v>0.01</v>
      </c>
      <c r="T173" s="80">
        <v>0</v>
      </c>
      <c r="U173" s="80">
        <v>0</v>
      </c>
      <c r="V173" s="80">
        <v>0</v>
      </c>
    </row>
    <row r="174" spans="1:22" x14ac:dyDescent="0.25">
      <c r="A174">
        <f>COUNTIF('Value Matchup'!$D$356:$D$423,B174)</f>
        <v>0</v>
      </c>
      <c r="B174" s="56" t="s">
        <v>273</v>
      </c>
      <c r="C174" s="60"/>
      <c r="D174" s="60"/>
      <c r="E174" s="60"/>
      <c r="F174" s="60"/>
      <c r="G174" s="60"/>
      <c r="H174" s="60"/>
      <c r="M174" t="s">
        <v>865</v>
      </c>
      <c r="N174" s="79" t="s">
        <v>570</v>
      </c>
      <c r="O174" s="80">
        <v>0</v>
      </c>
      <c r="P174" s="80">
        <v>0</v>
      </c>
      <c r="Q174" s="81">
        <v>0</v>
      </c>
      <c r="R174" s="80">
        <v>0</v>
      </c>
      <c r="S174" s="80">
        <v>0</v>
      </c>
      <c r="T174" s="80">
        <v>0</v>
      </c>
      <c r="U174" s="80">
        <v>0</v>
      </c>
      <c r="V174" s="80">
        <v>0</v>
      </c>
    </row>
    <row r="175" spans="1:22" x14ac:dyDescent="0.25">
      <c r="A175">
        <f>COUNTIF('Value Matchup'!$D$356:$D$423,B175)</f>
        <v>0</v>
      </c>
      <c r="B175" t="s">
        <v>274</v>
      </c>
      <c r="C175" s="60"/>
      <c r="D175" s="60"/>
      <c r="E175" s="60"/>
      <c r="F175" s="60"/>
      <c r="G175" s="60"/>
      <c r="H175" s="60"/>
      <c r="M175" t="s">
        <v>866</v>
      </c>
      <c r="N175" s="79">
        <v>44249</v>
      </c>
      <c r="O175" s="80">
        <v>0</v>
      </c>
      <c r="P175" s="80">
        <v>0</v>
      </c>
      <c r="Q175" s="81">
        <v>0</v>
      </c>
      <c r="R175" s="80">
        <v>0</v>
      </c>
      <c r="S175" s="80">
        <v>0</v>
      </c>
      <c r="T175" s="80">
        <v>0</v>
      </c>
      <c r="U175" s="80">
        <v>0</v>
      </c>
      <c r="V175" s="80">
        <v>0</v>
      </c>
    </row>
    <row r="176" spans="1:22" x14ac:dyDescent="0.25">
      <c r="A176">
        <f>COUNTIF('Value Matchup'!$D$356:$D$423,B176)</f>
        <v>0</v>
      </c>
      <c r="B176" s="56" t="s">
        <v>45</v>
      </c>
      <c r="C176" s="60"/>
      <c r="D176" s="60"/>
      <c r="E176" s="60"/>
      <c r="F176" s="60"/>
      <c r="G176" s="60"/>
      <c r="H176" s="60"/>
      <c r="M176" t="s">
        <v>867</v>
      </c>
      <c r="N176" s="79" t="s">
        <v>571</v>
      </c>
      <c r="O176" s="80">
        <v>0</v>
      </c>
      <c r="P176" s="80">
        <v>0</v>
      </c>
      <c r="Q176" s="81">
        <v>0</v>
      </c>
      <c r="R176" s="80">
        <v>0</v>
      </c>
      <c r="S176" s="80">
        <v>0</v>
      </c>
      <c r="T176" s="80">
        <v>0</v>
      </c>
      <c r="U176" s="80">
        <v>0</v>
      </c>
      <c r="V176" s="80">
        <v>0</v>
      </c>
    </row>
    <row r="177" spans="1:22" x14ac:dyDescent="0.25">
      <c r="A177">
        <f>COUNTIF('Value Matchup'!$D$356:$D$423,B177)</f>
        <v>0</v>
      </c>
      <c r="B177" t="s">
        <v>275</v>
      </c>
      <c r="C177" s="60"/>
      <c r="D177" s="60"/>
      <c r="E177" s="60"/>
      <c r="F177" s="60"/>
      <c r="G177" s="60"/>
      <c r="H177" s="60"/>
      <c r="K177">
        <v>5</v>
      </c>
      <c r="L177">
        <v>19</v>
      </c>
      <c r="M177" t="s">
        <v>868</v>
      </c>
      <c r="N177" s="79" t="s">
        <v>550</v>
      </c>
      <c r="O177" s="80">
        <v>1</v>
      </c>
      <c r="P177" s="80">
        <v>1</v>
      </c>
      <c r="Q177" s="81">
        <v>0.54</v>
      </c>
      <c r="R177" s="80">
        <v>0.19</v>
      </c>
      <c r="S177" s="80">
        <v>0.05</v>
      </c>
      <c r="T177" s="80">
        <v>0.01</v>
      </c>
      <c r="U177" s="80">
        <v>0</v>
      </c>
      <c r="V177" s="80">
        <v>0</v>
      </c>
    </row>
    <row r="178" spans="1:22" x14ac:dyDescent="0.25">
      <c r="A178">
        <f>COUNTIF('Value Matchup'!$D$356:$D$423,B178)</f>
        <v>0</v>
      </c>
      <c r="B178" s="56" t="s">
        <v>276</v>
      </c>
      <c r="C178" s="60"/>
      <c r="D178" s="60"/>
      <c r="E178" s="60"/>
      <c r="F178" s="60"/>
      <c r="G178" s="60"/>
      <c r="H178" s="60"/>
      <c r="M178" t="s">
        <v>869</v>
      </c>
      <c r="N178" s="79">
        <v>44538</v>
      </c>
      <c r="O178" s="80">
        <v>0</v>
      </c>
      <c r="P178" s="80">
        <v>0</v>
      </c>
      <c r="Q178" s="81">
        <v>0</v>
      </c>
      <c r="R178" s="80">
        <v>0</v>
      </c>
      <c r="S178" s="80">
        <v>0</v>
      </c>
      <c r="T178" s="80">
        <v>0</v>
      </c>
      <c r="U178" s="80">
        <v>0</v>
      </c>
      <c r="V178" s="80">
        <v>0</v>
      </c>
    </row>
    <row r="179" spans="1:22" x14ac:dyDescent="0.25">
      <c r="A179">
        <f>COUNTIF('Value Matchup'!$D$356:$D$423,B179)</f>
        <v>1</v>
      </c>
      <c r="B179" t="s">
        <v>277</v>
      </c>
      <c r="C179" s="60">
        <f>Q177</f>
        <v>0.54</v>
      </c>
      <c r="D179" s="60">
        <f t="shared" ref="D179:H179" si="35">R177</f>
        <v>0.19</v>
      </c>
      <c r="E179" s="60">
        <f t="shared" si="35"/>
        <v>0.05</v>
      </c>
      <c r="F179" s="60">
        <f t="shared" si="35"/>
        <v>0.01</v>
      </c>
      <c r="G179" s="60">
        <f t="shared" si="35"/>
        <v>0</v>
      </c>
      <c r="H179" s="60">
        <f t="shared" si="35"/>
        <v>0</v>
      </c>
      <c r="M179" t="s">
        <v>870</v>
      </c>
      <c r="N179" s="79" t="s">
        <v>572</v>
      </c>
      <c r="O179" s="80">
        <v>0</v>
      </c>
      <c r="P179" s="80">
        <v>0</v>
      </c>
      <c r="Q179" s="81">
        <v>0</v>
      </c>
      <c r="R179" s="80">
        <v>0</v>
      </c>
      <c r="S179" s="80">
        <v>0</v>
      </c>
      <c r="T179" s="80">
        <v>0</v>
      </c>
      <c r="U179" s="80">
        <v>0</v>
      </c>
      <c r="V179" s="80">
        <v>0</v>
      </c>
    </row>
    <row r="180" spans="1:22" x14ac:dyDescent="0.25">
      <c r="A180">
        <f>COUNTIF('Value Matchup'!$D$356:$D$423,B180)</f>
        <v>0</v>
      </c>
      <c r="B180" s="56" t="s">
        <v>278</v>
      </c>
      <c r="C180" s="60"/>
      <c r="D180" s="60"/>
      <c r="E180" s="60"/>
      <c r="F180" s="60"/>
      <c r="G180" s="60"/>
      <c r="H180" s="60"/>
      <c r="M180" t="s">
        <v>871</v>
      </c>
      <c r="N180" s="79" t="s">
        <v>532</v>
      </c>
      <c r="O180" s="80">
        <v>0</v>
      </c>
      <c r="P180" s="80">
        <v>0</v>
      </c>
      <c r="Q180" s="81">
        <v>0</v>
      </c>
      <c r="R180" s="80">
        <v>0</v>
      </c>
      <c r="S180" s="80">
        <v>0</v>
      </c>
      <c r="T180" s="80">
        <v>0</v>
      </c>
      <c r="U180" s="80">
        <v>0</v>
      </c>
      <c r="V180" s="80">
        <v>0</v>
      </c>
    </row>
    <row r="181" spans="1:22" x14ac:dyDescent="0.25">
      <c r="A181">
        <f>COUNTIF('Value Matchup'!$D$356:$D$423,B181)</f>
        <v>0</v>
      </c>
      <c r="B181" t="s">
        <v>279</v>
      </c>
      <c r="C181" s="60"/>
      <c r="D181" s="60"/>
      <c r="E181" s="60"/>
      <c r="F181" s="60"/>
      <c r="G181" s="60"/>
      <c r="H181" s="60"/>
      <c r="K181">
        <v>15</v>
      </c>
      <c r="L181">
        <v>60</v>
      </c>
      <c r="M181" t="s">
        <v>872</v>
      </c>
      <c r="N181" s="79" t="s">
        <v>573</v>
      </c>
      <c r="O181" s="80">
        <v>1</v>
      </c>
      <c r="P181" s="80">
        <v>0.99</v>
      </c>
      <c r="Q181" s="81">
        <v>0.05</v>
      </c>
      <c r="R181" s="80">
        <v>0.01</v>
      </c>
      <c r="S181" s="80">
        <v>0</v>
      </c>
      <c r="T181" s="80">
        <v>0</v>
      </c>
      <c r="U181" s="80">
        <v>0</v>
      </c>
      <c r="V181" s="80">
        <v>0</v>
      </c>
    </row>
    <row r="182" spans="1:22" x14ac:dyDescent="0.25">
      <c r="A182">
        <f>COUNTIF('Value Matchup'!$D$356:$D$423,B182)</f>
        <v>0</v>
      </c>
      <c r="B182" s="56" t="s">
        <v>280</v>
      </c>
      <c r="C182" s="60"/>
      <c r="D182" s="60"/>
      <c r="E182" s="60"/>
      <c r="F182" s="60"/>
      <c r="G182" s="60"/>
      <c r="H182" s="60"/>
      <c r="M182" t="s">
        <v>873</v>
      </c>
      <c r="N182" s="79" t="s">
        <v>574</v>
      </c>
      <c r="O182" s="80">
        <v>0</v>
      </c>
      <c r="P182" s="80">
        <v>0</v>
      </c>
      <c r="Q182" s="81">
        <v>0</v>
      </c>
      <c r="R182" s="80">
        <v>0</v>
      </c>
      <c r="S182" s="80">
        <v>0</v>
      </c>
      <c r="T182" s="80">
        <v>0</v>
      </c>
      <c r="U182" s="80">
        <v>0</v>
      </c>
      <c r="V182" s="80">
        <v>0</v>
      </c>
    </row>
    <row r="183" spans="1:22" x14ac:dyDescent="0.25">
      <c r="A183">
        <f>COUNTIF('Value Matchup'!$D$356:$D$423,B183)</f>
        <v>0</v>
      </c>
      <c r="B183" t="s">
        <v>281</v>
      </c>
      <c r="C183" s="60"/>
      <c r="D183" s="60"/>
      <c r="E183" s="60"/>
      <c r="F183" s="60"/>
      <c r="G183" s="60"/>
      <c r="H183" s="60"/>
      <c r="K183">
        <v>16</v>
      </c>
      <c r="L183">
        <v>68</v>
      </c>
      <c r="M183" t="s">
        <v>874</v>
      </c>
      <c r="N183" s="79">
        <v>44540</v>
      </c>
      <c r="O183" s="80">
        <v>1</v>
      </c>
      <c r="P183" s="80">
        <v>0.89</v>
      </c>
      <c r="Q183" s="81">
        <v>0.01</v>
      </c>
      <c r="R183" s="80">
        <v>0</v>
      </c>
      <c r="S183" s="80">
        <v>0</v>
      </c>
      <c r="T183" s="80">
        <v>0</v>
      </c>
      <c r="U183" s="80">
        <v>0</v>
      </c>
      <c r="V183" s="80">
        <v>0</v>
      </c>
    </row>
    <row r="184" spans="1:22" x14ac:dyDescent="0.25">
      <c r="A184">
        <f>COUNTIF('Value Matchup'!$D$356:$D$423,B184)</f>
        <v>1</v>
      </c>
      <c r="B184" s="56" t="s">
        <v>282</v>
      </c>
      <c r="C184" s="60">
        <f>Q181</f>
        <v>0.05</v>
      </c>
      <c r="D184" s="60">
        <f t="shared" ref="D184:H184" si="36">R181</f>
        <v>0.01</v>
      </c>
      <c r="E184" s="60">
        <f t="shared" si="36"/>
        <v>0</v>
      </c>
      <c r="F184" s="60">
        <f t="shared" si="36"/>
        <v>0</v>
      </c>
      <c r="G184" s="60">
        <f t="shared" si="36"/>
        <v>0</v>
      </c>
      <c r="H184" s="60">
        <f t="shared" si="36"/>
        <v>0</v>
      </c>
      <c r="M184" t="s">
        <v>875</v>
      </c>
      <c r="N184" s="79" t="s">
        <v>553</v>
      </c>
      <c r="O184" s="80">
        <v>0</v>
      </c>
      <c r="P184" s="80">
        <v>0</v>
      </c>
      <c r="Q184" s="81">
        <v>0</v>
      </c>
      <c r="R184" s="80">
        <v>0</v>
      </c>
      <c r="S184" s="80">
        <v>0</v>
      </c>
      <c r="T184" s="80">
        <v>0</v>
      </c>
      <c r="U184" s="80">
        <v>0</v>
      </c>
      <c r="V184" s="80">
        <v>0</v>
      </c>
    </row>
    <row r="185" spans="1:22" x14ac:dyDescent="0.25">
      <c r="A185">
        <f>COUNTIF('Value Matchup'!$D$356:$D$423,B185)</f>
        <v>0</v>
      </c>
      <c r="B185" t="s">
        <v>283</v>
      </c>
      <c r="C185" s="60"/>
      <c r="D185" s="60"/>
      <c r="E185" s="60"/>
      <c r="F185" s="60"/>
      <c r="G185" s="60"/>
      <c r="H185" s="60"/>
      <c r="M185" t="s">
        <v>876</v>
      </c>
      <c r="N185" s="79" t="s">
        <v>576</v>
      </c>
      <c r="O185" s="80">
        <v>0</v>
      </c>
      <c r="P185" s="80">
        <v>0</v>
      </c>
      <c r="Q185" s="81">
        <v>0</v>
      </c>
      <c r="R185" s="80">
        <v>0</v>
      </c>
      <c r="S185" s="80">
        <v>0</v>
      </c>
      <c r="T185" s="80">
        <v>0</v>
      </c>
      <c r="U185" s="80">
        <v>0</v>
      </c>
      <c r="V185" s="80">
        <v>0</v>
      </c>
    </row>
    <row r="186" spans="1:22" x14ac:dyDescent="0.25">
      <c r="A186">
        <f>COUNTIF('Value Matchup'!$D$356:$D$423,B186)</f>
        <v>1</v>
      </c>
      <c r="B186" s="56" t="s">
        <v>284</v>
      </c>
      <c r="C186" s="60">
        <f>Q183</f>
        <v>0.01</v>
      </c>
      <c r="D186" s="60">
        <f t="shared" ref="D186:H186" si="37">R183</f>
        <v>0</v>
      </c>
      <c r="E186" s="60">
        <f t="shared" si="37"/>
        <v>0</v>
      </c>
      <c r="F186" s="60">
        <f t="shared" si="37"/>
        <v>0</v>
      </c>
      <c r="G186" s="60">
        <f t="shared" si="37"/>
        <v>0</v>
      </c>
      <c r="H186" s="60">
        <f t="shared" si="37"/>
        <v>0</v>
      </c>
      <c r="M186" t="s">
        <v>877</v>
      </c>
      <c r="N186" s="79" t="s">
        <v>532</v>
      </c>
      <c r="O186" s="80">
        <v>0</v>
      </c>
      <c r="P186" s="80">
        <v>0</v>
      </c>
      <c r="Q186" s="81">
        <v>0</v>
      </c>
      <c r="R186" s="80">
        <v>0</v>
      </c>
      <c r="S186" s="80">
        <v>0</v>
      </c>
      <c r="T186" s="80">
        <v>0</v>
      </c>
      <c r="U186" s="80">
        <v>0</v>
      </c>
      <c r="V186" s="80">
        <v>0</v>
      </c>
    </row>
    <row r="187" spans="1:22" x14ac:dyDescent="0.25">
      <c r="A187">
        <f>COUNTIF('Value Matchup'!$D$356:$D$423,B187)</f>
        <v>0</v>
      </c>
      <c r="B187" t="s">
        <v>285</v>
      </c>
      <c r="C187" s="60"/>
      <c r="D187" s="60"/>
      <c r="E187" s="60"/>
      <c r="F187" s="60"/>
      <c r="G187" s="60"/>
      <c r="H187" s="60"/>
      <c r="M187" t="s">
        <v>878</v>
      </c>
      <c r="N187" s="79">
        <v>44397</v>
      </c>
      <c r="O187" s="80">
        <v>0</v>
      </c>
      <c r="P187" s="80">
        <v>0</v>
      </c>
      <c r="Q187" s="81">
        <v>0</v>
      </c>
      <c r="R187" s="80">
        <v>0</v>
      </c>
      <c r="S187" s="80">
        <v>0</v>
      </c>
      <c r="T187" s="80">
        <v>0</v>
      </c>
      <c r="U187" s="80">
        <v>0</v>
      </c>
      <c r="V187" s="80">
        <v>0</v>
      </c>
    </row>
    <row r="188" spans="1:22" x14ac:dyDescent="0.25">
      <c r="A188">
        <f>COUNTIF('Value Matchup'!$D$356:$D$423,B188)</f>
        <v>0</v>
      </c>
      <c r="B188" s="56" t="s">
        <v>286</v>
      </c>
      <c r="C188" s="60"/>
      <c r="D188" s="60"/>
      <c r="E188" s="60"/>
      <c r="F188" s="60"/>
      <c r="G188" s="60"/>
      <c r="H188" s="60"/>
      <c r="M188" t="s">
        <v>879</v>
      </c>
      <c r="N188" s="79">
        <v>44336</v>
      </c>
      <c r="O188" s="80">
        <v>0</v>
      </c>
      <c r="P188" s="80">
        <v>0</v>
      </c>
      <c r="Q188" s="81">
        <v>0</v>
      </c>
      <c r="R188" s="80">
        <v>0</v>
      </c>
      <c r="S188" s="80">
        <v>0</v>
      </c>
      <c r="T188" s="80">
        <v>0</v>
      </c>
      <c r="U188" s="80">
        <v>0</v>
      </c>
      <c r="V188" s="80">
        <v>0</v>
      </c>
    </row>
    <row r="189" spans="1:22" x14ac:dyDescent="0.25">
      <c r="A189">
        <f>COUNTIF('Value Matchup'!$D$356:$D$423,B189)</f>
        <v>0</v>
      </c>
      <c r="B189" t="s">
        <v>287</v>
      </c>
      <c r="C189" s="60"/>
      <c r="D189" s="60"/>
      <c r="E189" s="60"/>
      <c r="F189" s="60"/>
      <c r="G189" s="60"/>
      <c r="H189" s="60"/>
      <c r="M189" t="s">
        <v>880</v>
      </c>
      <c r="N189" s="79" t="s">
        <v>577</v>
      </c>
      <c r="O189" s="80">
        <v>0</v>
      </c>
      <c r="P189" s="80">
        <v>0</v>
      </c>
      <c r="Q189" s="81">
        <v>0</v>
      </c>
      <c r="R189" s="80">
        <v>0</v>
      </c>
      <c r="S189" s="80">
        <v>0</v>
      </c>
      <c r="T189" s="80">
        <v>0</v>
      </c>
      <c r="U189" s="80">
        <v>0</v>
      </c>
      <c r="V189" s="80">
        <v>0</v>
      </c>
    </row>
    <row r="190" spans="1:22" x14ac:dyDescent="0.25">
      <c r="A190">
        <f>COUNTIF('Value Matchup'!$D$356:$D$423,B190)</f>
        <v>0</v>
      </c>
      <c r="B190" s="56" t="s">
        <v>288</v>
      </c>
      <c r="C190" s="60"/>
      <c r="D190" s="60"/>
      <c r="E190" s="60"/>
      <c r="F190" s="60"/>
      <c r="G190" s="60"/>
      <c r="H190" s="60"/>
      <c r="M190" t="s">
        <v>881</v>
      </c>
      <c r="N190" s="79">
        <v>44478</v>
      </c>
      <c r="O190" s="80">
        <v>0</v>
      </c>
      <c r="P190" s="80">
        <v>0</v>
      </c>
      <c r="Q190" s="81">
        <v>0</v>
      </c>
      <c r="R190" s="80">
        <v>0</v>
      </c>
      <c r="S190" s="80">
        <v>0</v>
      </c>
      <c r="T190" s="80">
        <v>0</v>
      </c>
      <c r="U190" s="80">
        <v>0</v>
      </c>
      <c r="V190" s="80">
        <v>0</v>
      </c>
    </row>
    <row r="191" spans="1:22" x14ac:dyDescent="0.25">
      <c r="A191">
        <f>COUNTIF('Value Matchup'!$D$356:$D$423,B191)</f>
        <v>0</v>
      </c>
      <c r="B191" t="s">
        <v>289</v>
      </c>
      <c r="C191" s="60"/>
      <c r="D191" s="60"/>
      <c r="E191" s="60"/>
      <c r="F191" s="60"/>
      <c r="G191" s="60"/>
      <c r="H191" s="60"/>
      <c r="M191" t="s">
        <v>882</v>
      </c>
      <c r="N191" s="79">
        <v>44363</v>
      </c>
      <c r="O191" s="80">
        <v>0</v>
      </c>
      <c r="P191" s="80">
        <v>0</v>
      </c>
      <c r="Q191" s="81">
        <v>0</v>
      </c>
      <c r="R191" s="80">
        <v>0</v>
      </c>
      <c r="S191" s="80">
        <v>0</v>
      </c>
      <c r="T191" s="80">
        <v>0</v>
      </c>
      <c r="U191" s="80">
        <v>0</v>
      </c>
      <c r="V191" s="80">
        <v>0</v>
      </c>
    </row>
    <row r="192" spans="1:22" x14ac:dyDescent="0.25">
      <c r="A192">
        <f>COUNTIF('Value Matchup'!$D$356:$D$423,B192)</f>
        <v>0</v>
      </c>
      <c r="B192" s="56" t="s">
        <v>290</v>
      </c>
      <c r="C192" s="60"/>
      <c r="D192" s="60"/>
      <c r="E192" s="60"/>
      <c r="F192" s="60"/>
      <c r="G192" s="60"/>
      <c r="H192" s="60"/>
      <c r="M192" t="s">
        <v>883</v>
      </c>
      <c r="N192" s="79">
        <v>44538</v>
      </c>
      <c r="O192" s="80">
        <v>0</v>
      </c>
      <c r="P192" s="80">
        <v>0</v>
      </c>
      <c r="Q192" s="81">
        <v>0</v>
      </c>
      <c r="R192" s="80">
        <v>0</v>
      </c>
      <c r="S192" s="80">
        <v>0</v>
      </c>
      <c r="T192" s="80">
        <v>0</v>
      </c>
      <c r="U192" s="80">
        <v>0</v>
      </c>
      <c r="V192" s="80">
        <v>0</v>
      </c>
    </row>
    <row r="193" spans="1:22" x14ac:dyDescent="0.25">
      <c r="A193">
        <f>COUNTIF('Value Matchup'!$D$356:$D$423,B193)</f>
        <v>0</v>
      </c>
      <c r="B193" t="s">
        <v>291</v>
      </c>
      <c r="C193" s="60"/>
      <c r="D193" s="60"/>
      <c r="E193" s="60"/>
      <c r="F193" s="60"/>
      <c r="G193" s="60"/>
      <c r="H193" s="60"/>
      <c r="M193" t="s">
        <v>884</v>
      </c>
      <c r="N193" s="79">
        <v>44484</v>
      </c>
      <c r="O193" s="80">
        <v>0</v>
      </c>
      <c r="P193" s="80">
        <v>0</v>
      </c>
      <c r="Q193" s="81">
        <v>0</v>
      </c>
      <c r="R193" s="80">
        <v>0</v>
      </c>
      <c r="S193" s="80">
        <v>0</v>
      </c>
      <c r="T193" s="80">
        <v>0</v>
      </c>
      <c r="U193" s="80">
        <v>0</v>
      </c>
      <c r="V193" s="80">
        <v>0</v>
      </c>
    </row>
    <row r="194" spans="1:22" x14ac:dyDescent="0.25">
      <c r="A194">
        <f>COUNTIF('Value Matchup'!$D$356:$D$423,B194)</f>
        <v>0</v>
      </c>
      <c r="B194" s="56" t="s">
        <v>292</v>
      </c>
      <c r="C194" s="60"/>
      <c r="D194" s="60"/>
      <c r="E194" s="60"/>
      <c r="F194" s="60"/>
      <c r="G194" s="60"/>
      <c r="H194" s="60"/>
      <c r="M194" t="s">
        <v>885</v>
      </c>
      <c r="N194" s="79">
        <v>44450</v>
      </c>
      <c r="O194" s="80">
        <v>0</v>
      </c>
      <c r="P194" s="80">
        <v>0</v>
      </c>
      <c r="Q194" s="81">
        <v>0</v>
      </c>
      <c r="R194" s="80">
        <v>0</v>
      </c>
      <c r="S194" s="80">
        <v>0</v>
      </c>
      <c r="T194" s="80">
        <v>0</v>
      </c>
      <c r="U194" s="80">
        <v>0</v>
      </c>
      <c r="V194" s="80">
        <v>0</v>
      </c>
    </row>
    <row r="195" spans="1:22" x14ac:dyDescent="0.25">
      <c r="A195">
        <f>COUNTIF('Value Matchup'!$D$356:$D$423,B195)</f>
        <v>0</v>
      </c>
      <c r="B195" t="s">
        <v>293</v>
      </c>
      <c r="C195" s="60"/>
      <c r="D195" s="60"/>
      <c r="E195" s="60"/>
      <c r="F195" s="60"/>
      <c r="G195" s="60"/>
      <c r="H195" s="60"/>
      <c r="M195" t="s">
        <v>886</v>
      </c>
      <c r="N195" s="79" t="s">
        <v>578</v>
      </c>
      <c r="O195" s="80">
        <v>0</v>
      </c>
      <c r="P195" s="80">
        <v>0</v>
      </c>
      <c r="Q195" s="81">
        <v>0</v>
      </c>
      <c r="R195" s="80">
        <v>0</v>
      </c>
      <c r="S195" s="80">
        <v>0</v>
      </c>
      <c r="T195" s="80">
        <v>0</v>
      </c>
      <c r="U195" s="80">
        <v>0</v>
      </c>
      <c r="V195" s="80">
        <v>0</v>
      </c>
    </row>
    <row r="196" spans="1:22" x14ac:dyDescent="0.25">
      <c r="A196">
        <f>COUNTIF('Value Matchup'!$D$356:$D$423,B196)</f>
        <v>0</v>
      </c>
      <c r="B196" s="56" t="s">
        <v>294</v>
      </c>
      <c r="C196" s="60"/>
      <c r="D196" s="60"/>
      <c r="E196" s="60"/>
      <c r="F196" s="60"/>
      <c r="G196" s="60"/>
      <c r="H196" s="60"/>
      <c r="M196" t="s">
        <v>887</v>
      </c>
      <c r="N196" s="79">
        <v>44389</v>
      </c>
      <c r="O196" s="80">
        <v>0</v>
      </c>
      <c r="P196" s="80">
        <v>0</v>
      </c>
      <c r="Q196" s="81">
        <v>0</v>
      </c>
      <c r="R196" s="80">
        <v>0</v>
      </c>
      <c r="S196" s="80">
        <v>0</v>
      </c>
      <c r="T196" s="80">
        <v>0</v>
      </c>
      <c r="U196" s="80">
        <v>0</v>
      </c>
      <c r="V196" s="80">
        <v>0</v>
      </c>
    </row>
    <row r="197" spans="1:22" x14ac:dyDescent="0.25">
      <c r="A197">
        <f>COUNTIF('Value Matchup'!$D$356:$D$423,B197)</f>
        <v>0</v>
      </c>
      <c r="B197" t="s">
        <v>295</v>
      </c>
      <c r="C197" s="60"/>
      <c r="D197" s="60"/>
      <c r="E197" s="60"/>
      <c r="F197" s="60"/>
      <c r="G197" s="60"/>
      <c r="H197" s="60"/>
      <c r="K197">
        <v>16</v>
      </c>
      <c r="L197">
        <v>65</v>
      </c>
      <c r="M197" t="s">
        <v>888</v>
      </c>
      <c r="N197" s="79" t="s">
        <v>536</v>
      </c>
      <c r="O197" s="80">
        <v>1</v>
      </c>
      <c r="P197" s="80">
        <v>0.48</v>
      </c>
      <c r="Q197" s="81">
        <v>0</v>
      </c>
      <c r="R197" s="80">
        <v>0</v>
      </c>
      <c r="S197" s="80">
        <v>0</v>
      </c>
      <c r="T197" s="80">
        <v>0</v>
      </c>
      <c r="U197" s="80">
        <v>0</v>
      </c>
      <c r="V197" s="80">
        <v>0</v>
      </c>
    </row>
    <row r="198" spans="1:22" x14ac:dyDescent="0.25">
      <c r="A198">
        <f>COUNTIF('Value Matchup'!$D$356:$D$423,B198)</f>
        <v>0</v>
      </c>
      <c r="B198" s="56" t="s">
        <v>296</v>
      </c>
      <c r="C198" s="60"/>
      <c r="D198" s="60"/>
      <c r="E198" s="60"/>
      <c r="F198" s="60"/>
      <c r="G198" s="60"/>
      <c r="H198" s="60"/>
      <c r="M198" t="s">
        <v>889</v>
      </c>
      <c r="N198" s="79" t="s">
        <v>547</v>
      </c>
      <c r="O198" s="80">
        <v>0</v>
      </c>
      <c r="P198" s="80">
        <v>0</v>
      </c>
      <c r="Q198" s="81">
        <v>0</v>
      </c>
      <c r="R198" s="80">
        <v>0</v>
      </c>
      <c r="S198" s="80">
        <v>0</v>
      </c>
      <c r="T198" s="80">
        <v>0</v>
      </c>
      <c r="U198" s="80">
        <v>0</v>
      </c>
      <c r="V198" s="80">
        <v>0</v>
      </c>
    </row>
    <row r="199" spans="1:22" x14ac:dyDescent="0.25">
      <c r="A199">
        <f>COUNTIF('Value Matchup'!$D$356:$D$423,B199)</f>
        <v>1</v>
      </c>
      <c r="B199" t="s">
        <v>297</v>
      </c>
      <c r="C199" s="60">
        <f>Q197</f>
        <v>0</v>
      </c>
      <c r="D199" s="60">
        <f t="shared" ref="D199:H199" si="38">R197</f>
        <v>0</v>
      </c>
      <c r="E199" s="60">
        <f t="shared" si="38"/>
        <v>0</v>
      </c>
      <c r="F199" s="60">
        <f t="shared" si="38"/>
        <v>0</v>
      </c>
      <c r="G199" s="60">
        <f t="shared" si="38"/>
        <v>0</v>
      </c>
      <c r="H199" s="60">
        <f t="shared" si="38"/>
        <v>0</v>
      </c>
      <c r="M199" t="s">
        <v>890</v>
      </c>
      <c r="N199" s="79">
        <v>44510</v>
      </c>
      <c r="O199" s="80">
        <v>0</v>
      </c>
      <c r="P199" s="80">
        <v>0</v>
      </c>
      <c r="Q199" s="81">
        <v>0</v>
      </c>
      <c r="R199" s="80">
        <v>0</v>
      </c>
      <c r="S199" s="80">
        <v>0</v>
      </c>
      <c r="T199" s="80">
        <v>0</v>
      </c>
      <c r="U199" s="80">
        <v>0</v>
      </c>
      <c r="V199" s="80">
        <v>0</v>
      </c>
    </row>
    <row r="200" spans="1:22" x14ac:dyDescent="0.25">
      <c r="A200">
        <f>COUNTIF('Value Matchup'!$D$356:$D$423,B200)</f>
        <v>0</v>
      </c>
      <c r="B200" s="56" t="s">
        <v>490</v>
      </c>
      <c r="C200" s="60"/>
      <c r="D200" s="60"/>
      <c r="E200" s="60"/>
      <c r="F200" s="60"/>
      <c r="G200" s="60"/>
      <c r="H200" s="60"/>
      <c r="M200" t="s">
        <v>891</v>
      </c>
      <c r="N200" s="79">
        <v>44325</v>
      </c>
      <c r="O200" s="80">
        <v>0</v>
      </c>
      <c r="P200" s="80">
        <v>0</v>
      </c>
      <c r="Q200" s="81">
        <v>0</v>
      </c>
      <c r="R200" s="80">
        <v>0</v>
      </c>
      <c r="S200" s="80">
        <v>0</v>
      </c>
      <c r="T200" s="80">
        <v>0</v>
      </c>
      <c r="U200" s="80">
        <v>0</v>
      </c>
      <c r="V200" s="80">
        <v>0</v>
      </c>
    </row>
    <row r="201" spans="1:22" x14ac:dyDescent="0.25">
      <c r="A201">
        <f>COUNTIF('Value Matchup'!$D$356:$D$423,B201)</f>
        <v>1</v>
      </c>
      <c r="B201" t="s">
        <v>298</v>
      </c>
      <c r="C201" s="60">
        <f>Q201</f>
        <v>0.5</v>
      </c>
      <c r="D201" s="60">
        <f t="shared" ref="D201:H201" si="39">R201</f>
        <v>0.19</v>
      </c>
      <c r="E201" s="60">
        <f t="shared" si="39"/>
        <v>0.09</v>
      </c>
      <c r="F201" s="60">
        <f t="shared" si="39"/>
        <v>0.03</v>
      </c>
      <c r="G201" s="60">
        <f t="shared" si="39"/>
        <v>0.01</v>
      </c>
      <c r="H201" s="60">
        <f t="shared" si="39"/>
        <v>0</v>
      </c>
      <c r="K201">
        <v>10</v>
      </c>
      <c r="L201">
        <v>39</v>
      </c>
      <c r="M201" t="s">
        <v>892</v>
      </c>
      <c r="N201" s="79" t="s">
        <v>502</v>
      </c>
      <c r="O201" s="80">
        <v>1</v>
      </c>
      <c r="P201" s="80">
        <v>0.95</v>
      </c>
      <c r="Q201" s="81">
        <v>0.5</v>
      </c>
      <c r="R201" s="80">
        <v>0.19</v>
      </c>
      <c r="S201" s="80">
        <v>0.09</v>
      </c>
      <c r="T201" s="80">
        <v>0.03</v>
      </c>
      <c r="U201" s="80">
        <v>0.01</v>
      </c>
      <c r="V201" s="80">
        <v>0</v>
      </c>
    </row>
    <row r="202" spans="1:22" x14ac:dyDescent="0.25">
      <c r="A202">
        <f>COUNTIF('Value Matchup'!$D$356:$D$423,B202)</f>
        <v>0</v>
      </c>
      <c r="B202" s="56" t="s">
        <v>299</v>
      </c>
      <c r="C202" s="60"/>
      <c r="D202" s="60"/>
      <c r="E202" s="60"/>
      <c r="F202" s="60"/>
      <c r="G202" s="60"/>
      <c r="H202" s="60"/>
      <c r="M202" t="s">
        <v>893</v>
      </c>
      <c r="N202" s="79">
        <v>44456</v>
      </c>
      <c r="O202" s="80">
        <v>0</v>
      </c>
      <c r="P202" s="80">
        <v>0</v>
      </c>
      <c r="Q202" s="81">
        <v>0</v>
      </c>
      <c r="R202" s="80">
        <v>0</v>
      </c>
      <c r="S202" s="80">
        <v>0</v>
      </c>
      <c r="T202" s="80">
        <v>0</v>
      </c>
      <c r="U202" s="80">
        <v>0</v>
      </c>
      <c r="V202" s="80">
        <v>0</v>
      </c>
    </row>
    <row r="203" spans="1:22" x14ac:dyDescent="0.25">
      <c r="A203">
        <f>COUNTIF('Value Matchup'!$D$356:$D$423,B203)</f>
        <v>0</v>
      </c>
      <c r="B203" t="s">
        <v>300</v>
      </c>
      <c r="C203" s="60"/>
      <c r="D203" s="60"/>
      <c r="E203" s="60"/>
      <c r="F203" s="60"/>
      <c r="G203" s="60"/>
      <c r="H203" s="60"/>
      <c r="M203" t="s">
        <v>894</v>
      </c>
      <c r="N203" s="79" t="s">
        <v>562</v>
      </c>
      <c r="O203" s="80">
        <v>0</v>
      </c>
      <c r="P203" s="80">
        <v>0</v>
      </c>
      <c r="Q203" s="81">
        <v>0</v>
      </c>
      <c r="R203" s="80">
        <v>0</v>
      </c>
      <c r="S203" s="80">
        <v>0</v>
      </c>
      <c r="T203" s="80">
        <v>0</v>
      </c>
      <c r="U203" s="80">
        <v>0</v>
      </c>
      <c r="V203" s="80">
        <v>0</v>
      </c>
    </row>
    <row r="204" spans="1:22" x14ac:dyDescent="0.25">
      <c r="A204">
        <f>COUNTIF('Value Matchup'!$D$356:$D$423,B204)</f>
        <v>0</v>
      </c>
      <c r="B204" s="56" t="s">
        <v>301</v>
      </c>
      <c r="C204" s="60"/>
      <c r="D204" s="60"/>
      <c r="E204" s="60"/>
      <c r="F204" s="60"/>
      <c r="G204" s="60"/>
      <c r="H204" s="60"/>
      <c r="M204" t="s">
        <v>895</v>
      </c>
      <c r="N204" s="79">
        <v>44423</v>
      </c>
      <c r="O204" s="80">
        <v>0</v>
      </c>
      <c r="P204" s="80">
        <v>0</v>
      </c>
      <c r="Q204" s="81">
        <v>0</v>
      </c>
      <c r="R204" s="80">
        <v>0</v>
      </c>
      <c r="S204" s="80">
        <v>0</v>
      </c>
      <c r="T204" s="80">
        <v>0</v>
      </c>
      <c r="U204" s="80">
        <v>0</v>
      </c>
      <c r="V204" s="80">
        <v>0</v>
      </c>
    </row>
    <row r="205" spans="1:22" x14ac:dyDescent="0.25">
      <c r="A205">
        <f>COUNTIF('Value Matchup'!$D$356:$D$423,B205)</f>
        <v>0</v>
      </c>
      <c r="B205" t="s">
        <v>302</v>
      </c>
      <c r="C205" s="60"/>
      <c r="D205" s="60"/>
      <c r="E205" s="60"/>
      <c r="F205" s="60"/>
      <c r="G205" s="60"/>
      <c r="H205" s="60"/>
      <c r="K205">
        <v>13</v>
      </c>
      <c r="L205">
        <v>53</v>
      </c>
      <c r="M205" t="s">
        <v>896</v>
      </c>
      <c r="N205" s="79" t="s">
        <v>518</v>
      </c>
      <c r="O205" s="80">
        <v>1</v>
      </c>
      <c r="P205" s="80">
        <v>0.98</v>
      </c>
      <c r="Q205" s="81">
        <v>0.23</v>
      </c>
      <c r="R205" s="80">
        <v>7.0000000000000007E-2</v>
      </c>
      <c r="S205" s="80">
        <v>0.01</v>
      </c>
      <c r="T205" s="80">
        <v>0</v>
      </c>
      <c r="U205" s="80">
        <v>0</v>
      </c>
      <c r="V205" s="80">
        <v>0</v>
      </c>
    </row>
    <row r="206" spans="1:22" x14ac:dyDescent="0.25">
      <c r="A206">
        <f>COUNTIF('Value Matchup'!$D$356:$D$423,B206)</f>
        <v>0</v>
      </c>
      <c r="B206" s="56" t="s">
        <v>303</v>
      </c>
      <c r="C206" s="60"/>
      <c r="D206" s="60"/>
      <c r="E206" s="60"/>
      <c r="F206" s="60"/>
      <c r="G206" s="60"/>
      <c r="H206" s="60"/>
      <c r="M206" t="s">
        <v>897</v>
      </c>
      <c r="N206" s="79">
        <v>44478</v>
      </c>
      <c r="O206" s="80">
        <v>0</v>
      </c>
      <c r="P206" s="80">
        <v>0</v>
      </c>
      <c r="Q206" s="81">
        <v>0</v>
      </c>
      <c r="R206" s="80">
        <v>0</v>
      </c>
      <c r="S206" s="80">
        <v>0</v>
      </c>
      <c r="T206" s="80">
        <v>0</v>
      </c>
      <c r="U206" s="80">
        <v>0</v>
      </c>
      <c r="V206" s="80">
        <v>0</v>
      </c>
    </row>
    <row r="207" spans="1:22" x14ac:dyDescent="0.25">
      <c r="A207">
        <f>COUNTIF('Value Matchup'!$D$356:$D$423,B207)</f>
        <v>0</v>
      </c>
      <c r="B207" t="s">
        <v>304</v>
      </c>
      <c r="C207" s="60"/>
      <c r="D207" s="60"/>
      <c r="E207" s="60"/>
      <c r="F207" s="60"/>
      <c r="G207" s="60"/>
      <c r="H207" s="60"/>
      <c r="M207" t="s">
        <v>898</v>
      </c>
      <c r="N207" s="79">
        <v>44363</v>
      </c>
      <c r="O207" s="80">
        <v>0</v>
      </c>
      <c r="P207" s="80">
        <v>0</v>
      </c>
      <c r="Q207" s="81">
        <v>0</v>
      </c>
      <c r="R207" s="80">
        <v>0</v>
      </c>
      <c r="S207" s="80">
        <v>0</v>
      </c>
      <c r="T207" s="80">
        <v>0</v>
      </c>
      <c r="U207" s="80">
        <v>0</v>
      </c>
      <c r="V207" s="80">
        <v>0</v>
      </c>
    </row>
    <row r="208" spans="1:22" x14ac:dyDescent="0.25">
      <c r="A208">
        <f>COUNTIF('Value Matchup'!$D$356:$D$423,B208)</f>
        <v>1</v>
      </c>
      <c r="B208" s="56" t="s">
        <v>305</v>
      </c>
      <c r="C208" s="60">
        <f>Q205</f>
        <v>0.23</v>
      </c>
      <c r="D208" s="60">
        <f t="shared" ref="D208:H208" si="40">R205</f>
        <v>7.0000000000000007E-2</v>
      </c>
      <c r="E208" s="60">
        <f t="shared" si="40"/>
        <v>0.01</v>
      </c>
      <c r="F208" s="60">
        <f t="shared" si="40"/>
        <v>0</v>
      </c>
      <c r="G208" s="60">
        <f t="shared" si="40"/>
        <v>0</v>
      </c>
      <c r="H208" s="60">
        <f t="shared" si="40"/>
        <v>0</v>
      </c>
      <c r="M208" t="s">
        <v>899</v>
      </c>
      <c r="N208" s="79">
        <v>44511</v>
      </c>
      <c r="O208" s="80">
        <v>0</v>
      </c>
      <c r="P208" s="80">
        <v>0</v>
      </c>
      <c r="Q208" s="81">
        <v>0</v>
      </c>
      <c r="R208" s="80">
        <v>0</v>
      </c>
      <c r="S208" s="80">
        <v>0</v>
      </c>
      <c r="T208" s="80">
        <v>0</v>
      </c>
      <c r="U208" s="80">
        <v>0</v>
      </c>
      <c r="V208" s="80">
        <v>0</v>
      </c>
    </row>
    <row r="209" spans="1:22" x14ac:dyDescent="0.25">
      <c r="A209">
        <f>COUNTIF('Value Matchup'!$D$356:$D$423,B209)</f>
        <v>0</v>
      </c>
      <c r="B209" t="s">
        <v>306</v>
      </c>
      <c r="C209" s="60"/>
      <c r="D209" s="60"/>
      <c r="E209" s="60"/>
      <c r="F209" s="60"/>
      <c r="G209" s="60"/>
      <c r="H209" s="60"/>
      <c r="M209" t="s">
        <v>900</v>
      </c>
      <c r="N209" s="79">
        <v>44271</v>
      </c>
      <c r="O209" s="80">
        <v>0</v>
      </c>
      <c r="P209" s="80">
        <v>0</v>
      </c>
      <c r="Q209" s="81">
        <v>0</v>
      </c>
      <c r="R209" s="80">
        <v>0</v>
      </c>
      <c r="S209" s="80">
        <v>0</v>
      </c>
      <c r="T209" s="80">
        <v>0</v>
      </c>
      <c r="U209" s="80">
        <v>0</v>
      </c>
      <c r="V209" s="80">
        <v>0</v>
      </c>
    </row>
    <row r="210" spans="1:22" x14ac:dyDescent="0.25">
      <c r="A210">
        <f>COUNTIF('Value Matchup'!$D$356:$D$423,B210)</f>
        <v>0</v>
      </c>
      <c r="B210" s="56" t="s">
        <v>307</v>
      </c>
      <c r="C210" s="60"/>
      <c r="D210" s="60"/>
      <c r="E210" s="60"/>
      <c r="F210" s="60"/>
      <c r="G210" s="60"/>
      <c r="H210" s="60"/>
      <c r="M210" t="s">
        <v>901</v>
      </c>
      <c r="N210" s="79">
        <v>44484</v>
      </c>
      <c r="O210" s="80">
        <v>0</v>
      </c>
      <c r="P210" s="80">
        <v>0</v>
      </c>
      <c r="Q210" s="81">
        <v>0</v>
      </c>
      <c r="R210" s="80">
        <v>0</v>
      </c>
      <c r="S210" s="80">
        <v>0</v>
      </c>
      <c r="T210" s="80">
        <v>0</v>
      </c>
      <c r="U210" s="80">
        <v>0</v>
      </c>
      <c r="V210" s="80">
        <v>0</v>
      </c>
    </row>
    <row r="211" spans="1:22" x14ac:dyDescent="0.25">
      <c r="A211">
        <f>COUNTIF('Value Matchup'!$D$356:$D$423,B211)</f>
        <v>0</v>
      </c>
      <c r="B211" t="s">
        <v>308</v>
      </c>
      <c r="C211" s="60"/>
      <c r="D211" s="60"/>
      <c r="E211" s="60"/>
      <c r="F211" s="60"/>
      <c r="G211" s="60"/>
      <c r="H211" s="60"/>
      <c r="M211" t="s">
        <v>902</v>
      </c>
      <c r="N211" s="79" t="s">
        <v>528</v>
      </c>
      <c r="O211" s="80">
        <v>0</v>
      </c>
      <c r="P211" s="80">
        <v>0</v>
      </c>
      <c r="Q211" s="81">
        <v>0</v>
      </c>
      <c r="R211" s="80">
        <v>0</v>
      </c>
      <c r="S211" s="80">
        <v>0</v>
      </c>
      <c r="T211" s="80">
        <v>0</v>
      </c>
      <c r="U211" s="80">
        <v>0</v>
      </c>
      <c r="V211" s="80">
        <v>0</v>
      </c>
    </row>
    <row r="212" spans="1:22" x14ac:dyDescent="0.25">
      <c r="A212">
        <f>COUNTIF('Value Matchup'!$D$356:$D$423,B212)</f>
        <v>0</v>
      </c>
      <c r="B212" s="56" t="s">
        <v>309</v>
      </c>
      <c r="C212" s="60"/>
      <c r="D212" s="60"/>
      <c r="E212" s="60"/>
      <c r="F212" s="60"/>
      <c r="G212" s="60"/>
      <c r="H212" s="60"/>
      <c r="M212" t="s">
        <v>903</v>
      </c>
      <c r="N212" s="79">
        <v>44518</v>
      </c>
      <c r="O212" s="80">
        <v>0</v>
      </c>
      <c r="P212" s="80">
        <v>0</v>
      </c>
      <c r="Q212" s="81">
        <v>0</v>
      </c>
      <c r="R212" s="80">
        <v>0</v>
      </c>
      <c r="S212" s="80">
        <v>0</v>
      </c>
      <c r="T212" s="80">
        <v>0</v>
      </c>
      <c r="U212" s="80">
        <v>0</v>
      </c>
      <c r="V212" s="80">
        <v>0</v>
      </c>
    </row>
    <row r="213" spans="1:22" x14ac:dyDescent="0.25">
      <c r="A213">
        <f>COUNTIF('Value Matchup'!$D$356:$D$423,B213)</f>
        <v>0</v>
      </c>
      <c r="B213" t="s">
        <v>310</v>
      </c>
      <c r="C213" s="60"/>
      <c r="D213" s="60"/>
      <c r="E213" s="60"/>
      <c r="F213" s="60"/>
      <c r="G213" s="60"/>
      <c r="H213" s="60"/>
      <c r="M213" t="s">
        <v>904</v>
      </c>
      <c r="N213" s="79">
        <v>44454</v>
      </c>
      <c r="O213" s="80">
        <v>0</v>
      </c>
      <c r="P213" s="80">
        <v>0</v>
      </c>
      <c r="Q213" s="81">
        <v>0</v>
      </c>
      <c r="R213" s="80">
        <v>0</v>
      </c>
      <c r="S213" s="80">
        <v>0</v>
      </c>
      <c r="T213" s="80">
        <v>0</v>
      </c>
      <c r="U213" s="80">
        <v>0</v>
      </c>
      <c r="V213" s="80">
        <v>0</v>
      </c>
    </row>
    <row r="214" spans="1:22" x14ac:dyDescent="0.25">
      <c r="A214">
        <f>COUNTIF('Value Matchup'!$D$356:$D$423,B214)</f>
        <v>0</v>
      </c>
      <c r="B214" s="56" t="s">
        <v>311</v>
      </c>
      <c r="C214" s="60"/>
      <c r="D214" s="60"/>
      <c r="E214" s="60"/>
      <c r="F214" s="60"/>
      <c r="G214" s="60"/>
      <c r="H214" s="60"/>
      <c r="M214" t="s">
        <v>905</v>
      </c>
      <c r="N214" s="79">
        <v>44515</v>
      </c>
      <c r="O214" s="80">
        <v>0</v>
      </c>
      <c r="P214" s="80">
        <v>0</v>
      </c>
      <c r="Q214" s="81">
        <v>0</v>
      </c>
      <c r="R214" s="80">
        <v>0</v>
      </c>
      <c r="S214" s="80">
        <v>0</v>
      </c>
      <c r="T214" s="80">
        <v>0</v>
      </c>
      <c r="U214" s="80">
        <v>0</v>
      </c>
      <c r="V214" s="80">
        <v>0</v>
      </c>
    </row>
    <row r="215" spans="1:22" x14ac:dyDescent="0.25">
      <c r="A215">
        <f>COUNTIF('Value Matchup'!$D$356:$D$423,B215)</f>
        <v>0</v>
      </c>
      <c r="B215" t="s">
        <v>97</v>
      </c>
      <c r="C215" s="60"/>
      <c r="D215" s="60"/>
      <c r="E215" s="60"/>
      <c r="F215" s="60"/>
      <c r="G215" s="60"/>
      <c r="H215" s="60"/>
      <c r="M215" t="s">
        <v>906</v>
      </c>
      <c r="N215" s="79">
        <v>44548</v>
      </c>
      <c r="O215" s="80">
        <v>0</v>
      </c>
      <c r="P215" s="80">
        <v>0</v>
      </c>
      <c r="Q215" s="81">
        <v>0</v>
      </c>
      <c r="R215" s="80">
        <v>0</v>
      </c>
      <c r="S215" s="80">
        <v>0</v>
      </c>
      <c r="T215" s="80">
        <v>0</v>
      </c>
      <c r="U215" s="80">
        <v>0</v>
      </c>
      <c r="V215" s="80">
        <v>0</v>
      </c>
    </row>
    <row r="216" spans="1:22" x14ac:dyDescent="0.25">
      <c r="A216">
        <f>COUNTIF('Value Matchup'!$D$356:$D$423,B216)</f>
        <v>0</v>
      </c>
      <c r="B216" s="56" t="s">
        <v>312</v>
      </c>
      <c r="C216" s="60"/>
      <c r="D216" s="60"/>
      <c r="E216" s="60"/>
      <c r="F216" s="60"/>
      <c r="G216" s="60"/>
      <c r="H216" s="60"/>
      <c r="K216">
        <v>13</v>
      </c>
      <c r="L216">
        <v>51</v>
      </c>
      <c r="M216" t="s">
        <v>907</v>
      </c>
      <c r="N216" s="79" t="s">
        <v>536</v>
      </c>
      <c r="O216" s="80">
        <v>1</v>
      </c>
      <c r="P216" s="80">
        <v>0.97</v>
      </c>
      <c r="Q216" s="81">
        <v>0.16</v>
      </c>
      <c r="R216" s="80">
        <v>0.04</v>
      </c>
      <c r="S216" s="80">
        <v>0</v>
      </c>
      <c r="T216" s="80">
        <v>0</v>
      </c>
      <c r="U216" s="80">
        <v>0</v>
      </c>
      <c r="V216" s="80">
        <v>0</v>
      </c>
    </row>
    <row r="217" spans="1:22" x14ac:dyDescent="0.25">
      <c r="A217">
        <f>COUNTIF('Value Matchup'!$D$356:$D$423,B217)</f>
        <v>0</v>
      </c>
      <c r="B217" t="s">
        <v>35</v>
      </c>
      <c r="C217" s="60"/>
      <c r="D217" s="60"/>
      <c r="E217" s="60"/>
      <c r="F217" s="60"/>
      <c r="G217" s="60"/>
      <c r="H217" s="60"/>
      <c r="K217">
        <v>2</v>
      </c>
      <c r="L217">
        <v>6</v>
      </c>
      <c r="M217" t="s">
        <v>908</v>
      </c>
      <c r="N217" s="79" t="s">
        <v>559</v>
      </c>
      <c r="O217" s="80">
        <v>1</v>
      </c>
      <c r="P217" s="80">
        <v>1</v>
      </c>
      <c r="Q217" s="81">
        <v>0.91</v>
      </c>
      <c r="R217" s="80">
        <v>0.56999999999999995</v>
      </c>
      <c r="S217" s="80">
        <v>0.31</v>
      </c>
      <c r="T217" s="80">
        <v>0.16</v>
      </c>
      <c r="U217" s="80">
        <v>0.08</v>
      </c>
      <c r="V217" s="80">
        <v>0.03</v>
      </c>
    </row>
    <row r="218" spans="1:22" x14ac:dyDescent="0.25">
      <c r="A218">
        <f>COUNTIF('Value Matchup'!$D$356:$D$423,B218)</f>
        <v>0</v>
      </c>
      <c r="B218" s="56" t="s">
        <v>313</v>
      </c>
      <c r="C218" s="60"/>
      <c r="D218" s="60"/>
      <c r="E218" s="60"/>
      <c r="F218" s="60"/>
      <c r="G218" s="60"/>
      <c r="H218" s="60"/>
      <c r="K218">
        <v>7</v>
      </c>
      <c r="L218">
        <v>25</v>
      </c>
      <c r="M218" t="s">
        <v>909</v>
      </c>
      <c r="N218" s="79" t="s">
        <v>558</v>
      </c>
      <c r="O218" s="80">
        <v>1</v>
      </c>
      <c r="P218" s="80">
        <v>1</v>
      </c>
      <c r="Q218" s="81">
        <v>0.57999999999999996</v>
      </c>
      <c r="R218" s="80">
        <v>0.22</v>
      </c>
      <c r="S218" s="80">
        <v>0.08</v>
      </c>
      <c r="T218" s="80">
        <v>0.03</v>
      </c>
      <c r="U218" s="80">
        <v>0.01</v>
      </c>
      <c r="V218" s="80">
        <v>0</v>
      </c>
    </row>
    <row r="219" spans="1:22" x14ac:dyDescent="0.25">
      <c r="A219">
        <f>COUNTIF('Value Matchup'!$D$356:$D$423,B219)</f>
        <v>1</v>
      </c>
      <c r="B219" t="s">
        <v>314</v>
      </c>
      <c r="C219" s="60">
        <f>Q216</f>
        <v>0.16</v>
      </c>
      <c r="D219" s="60">
        <f t="shared" ref="D219:H219" si="41">R216</f>
        <v>0.04</v>
      </c>
      <c r="E219" s="60">
        <f t="shared" si="41"/>
        <v>0</v>
      </c>
      <c r="F219" s="60">
        <f t="shared" si="41"/>
        <v>0</v>
      </c>
      <c r="G219" s="60">
        <f t="shared" si="41"/>
        <v>0</v>
      </c>
      <c r="H219" s="60">
        <f t="shared" si="41"/>
        <v>0</v>
      </c>
      <c r="K219">
        <v>4</v>
      </c>
      <c r="L219">
        <v>14</v>
      </c>
      <c r="M219" t="s">
        <v>910</v>
      </c>
      <c r="N219" s="79" t="s">
        <v>542</v>
      </c>
      <c r="O219" s="80">
        <v>1</v>
      </c>
      <c r="P219" s="80">
        <v>1</v>
      </c>
      <c r="Q219" s="81">
        <v>0.8</v>
      </c>
      <c r="R219" s="80">
        <v>0.4</v>
      </c>
      <c r="S219" s="80">
        <v>0.18</v>
      </c>
      <c r="T219" s="80">
        <v>7.0000000000000007E-2</v>
      </c>
      <c r="U219" s="80">
        <v>0.03</v>
      </c>
      <c r="V219" s="80">
        <v>0.01</v>
      </c>
    </row>
    <row r="220" spans="1:22" x14ac:dyDescent="0.25">
      <c r="A220">
        <f>COUNTIF('Value Matchup'!$D$356:$D$423,B220)</f>
        <v>1</v>
      </c>
      <c r="B220" s="56" t="s">
        <v>315</v>
      </c>
      <c r="C220" s="60">
        <f>Q217</f>
        <v>0.91</v>
      </c>
      <c r="D220" s="60">
        <f t="shared" ref="D220:H220" si="42">R217</f>
        <v>0.56999999999999995</v>
      </c>
      <c r="E220" s="60">
        <f t="shared" si="42"/>
        <v>0.31</v>
      </c>
      <c r="F220" s="60">
        <f t="shared" si="42"/>
        <v>0.16</v>
      </c>
      <c r="G220" s="60">
        <f t="shared" si="42"/>
        <v>0.08</v>
      </c>
      <c r="H220" s="60">
        <f t="shared" si="42"/>
        <v>0.03</v>
      </c>
      <c r="M220" t="s">
        <v>911</v>
      </c>
      <c r="N220" s="79" t="s">
        <v>515</v>
      </c>
      <c r="O220" s="80">
        <v>0</v>
      </c>
      <c r="P220" s="80">
        <v>0</v>
      </c>
      <c r="Q220" s="81">
        <v>0</v>
      </c>
      <c r="R220" s="80">
        <v>0</v>
      </c>
      <c r="S220" s="80">
        <v>0</v>
      </c>
      <c r="T220" s="80">
        <v>0</v>
      </c>
      <c r="U220" s="80">
        <v>0</v>
      </c>
      <c r="V220" s="80">
        <v>0</v>
      </c>
    </row>
    <row r="221" spans="1:22" x14ac:dyDescent="0.25">
      <c r="A221">
        <f>COUNTIF('Value Matchup'!$D$356:$D$423,B221)</f>
        <v>1</v>
      </c>
      <c r="B221" t="s">
        <v>58</v>
      </c>
      <c r="C221" s="60">
        <f>Q218</f>
        <v>0.57999999999999996</v>
      </c>
      <c r="D221" s="60">
        <f t="shared" ref="D221:H221" si="43">R218</f>
        <v>0.22</v>
      </c>
      <c r="E221" s="60">
        <f t="shared" si="43"/>
        <v>0.08</v>
      </c>
      <c r="F221" s="60">
        <f t="shared" si="43"/>
        <v>0.03</v>
      </c>
      <c r="G221" s="60">
        <f t="shared" si="43"/>
        <v>0.01</v>
      </c>
      <c r="H221" s="60">
        <f t="shared" si="43"/>
        <v>0</v>
      </c>
      <c r="K221">
        <v>16</v>
      </c>
      <c r="L221">
        <v>64</v>
      </c>
      <c r="M221" t="s">
        <v>912</v>
      </c>
      <c r="N221" s="79" t="s">
        <v>577</v>
      </c>
      <c r="O221" s="80">
        <v>1</v>
      </c>
      <c r="P221" s="80">
        <v>0.63</v>
      </c>
      <c r="Q221" s="81">
        <v>0.01</v>
      </c>
      <c r="R221" s="80">
        <v>0</v>
      </c>
      <c r="S221" s="80">
        <v>0</v>
      </c>
      <c r="T221" s="80">
        <v>0</v>
      </c>
      <c r="U221" s="80">
        <v>0</v>
      </c>
      <c r="V221" s="80">
        <v>0</v>
      </c>
    </row>
    <row r="222" spans="1:22" x14ac:dyDescent="0.25">
      <c r="A222">
        <f>COUNTIF('Value Matchup'!$D$356:$D$423,B222)</f>
        <v>1</v>
      </c>
      <c r="B222" s="56" t="s">
        <v>316</v>
      </c>
      <c r="C222" s="60">
        <f>Q219</f>
        <v>0.8</v>
      </c>
      <c r="D222" s="60">
        <f t="shared" ref="D222:H222" si="44">R219</f>
        <v>0.4</v>
      </c>
      <c r="E222" s="60">
        <f t="shared" si="44"/>
        <v>0.18</v>
      </c>
      <c r="F222" s="60">
        <f t="shared" si="44"/>
        <v>7.0000000000000007E-2</v>
      </c>
      <c r="G222" s="60">
        <f t="shared" si="44"/>
        <v>0.03</v>
      </c>
      <c r="H222" s="60">
        <f t="shared" si="44"/>
        <v>0.01</v>
      </c>
      <c r="K222">
        <v>8</v>
      </c>
      <c r="L222">
        <v>29</v>
      </c>
      <c r="M222" t="s">
        <v>913</v>
      </c>
      <c r="N222" s="79" t="s">
        <v>531</v>
      </c>
      <c r="O222" s="80">
        <v>0.99</v>
      </c>
      <c r="P222" s="80">
        <v>0.98</v>
      </c>
      <c r="Q222" s="81">
        <v>0.52</v>
      </c>
      <c r="R222" s="80">
        <v>0.18</v>
      </c>
      <c r="S222" s="80">
        <v>0.08</v>
      </c>
      <c r="T222" s="80">
        <v>0.03</v>
      </c>
      <c r="U222" s="80">
        <v>0.01</v>
      </c>
      <c r="V222" s="80">
        <v>0</v>
      </c>
    </row>
    <row r="223" spans="1:22" x14ac:dyDescent="0.25">
      <c r="A223">
        <f>COUNTIF('Value Matchup'!$D$356:$D$423,B223)</f>
        <v>0</v>
      </c>
      <c r="B223" t="s">
        <v>317</v>
      </c>
      <c r="C223" s="60"/>
      <c r="D223" s="60"/>
      <c r="E223" s="60"/>
      <c r="F223" s="60"/>
      <c r="G223" s="60"/>
      <c r="H223" s="60"/>
      <c r="K223">
        <v>12</v>
      </c>
      <c r="L223">
        <v>47</v>
      </c>
      <c r="M223" t="s">
        <v>914</v>
      </c>
      <c r="N223" s="79" t="s">
        <v>579</v>
      </c>
      <c r="O223" s="80">
        <v>1</v>
      </c>
      <c r="P223" s="80">
        <v>0.91</v>
      </c>
      <c r="Q223" s="81">
        <v>0.25</v>
      </c>
      <c r="R223" s="80">
        <v>0.08</v>
      </c>
      <c r="S223" s="80">
        <v>0.01</v>
      </c>
      <c r="T223" s="80">
        <v>0</v>
      </c>
      <c r="U223" s="80">
        <v>0</v>
      </c>
      <c r="V223" s="80">
        <v>0</v>
      </c>
    </row>
    <row r="224" spans="1:22" x14ac:dyDescent="0.25">
      <c r="A224">
        <f>COUNTIF('Value Matchup'!$D$356:$D$423,B224)</f>
        <v>1</v>
      </c>
      <c r="B224" s="56" t="s">
        <v>318</v>
      </c>
      <c r="C224" s="60">
        <f>Q221</f>
        <v>0.01</v>
      </c>
      <c r="D224" s="60">
        <f t="shared" ref="D224:H224" si="45">R221</f>
        <v>0</v>
      </c>
      <c r="E224" s="60">
        <f t="shared" si="45"/>
        <v>0</v>
      </c>
      <c r="F224" s="60">
        <f t="shared" si="45"/>
        <v>0</v>
      </c>
      <c r="G224" s="60">
        <f t="shared" si="45"/>
        <v>0</v>
      </c>
      <c r="H224" s="60">
        <f t="shared" si="45"/>
        <v>0</v>
      </c>
      <c r="M224" t="s">
        <v>915</v>
      </c>
      <c r="N224" s="79">
        <v>44448</v>
      </c>
      <c r="O224" s="80">
        <v>0</v>
      </c>
      <c r="P224" s="80">
        <v>0</v>
      </c>
      <c r="Q224" s="81">
        <v>0</v>
      </c>
      <c r="R224" s="80">
        <v>0</v>
      </c>
      <c r="S224" s="80">
        <v>0</v>
      </c>
      <c r="T224" s="80">
        <v>0</v>
      </c>
      <c r="U224" s="80">
        <v>0</v>
      </c>
      <c r="V224" s="80">
        <v>0</v>
      </c>
    </row>
    <row r="225" spans="1:22" x14ac:dyDescent="0.25">
      <c r="A225">
        <f>COUNTIF('Value Matchup'!$D$356:$D$423,B225)</f>
        <v>1</v>
      </c>
      <c r="B225" t="s">
        <v>40</v>
      </c>
      <c r="C225" s="60">
        <f>Q222</f>
        <v>0.52</v>
      </c>
      <c r="D225" s="60">
        <f t="shared" ref="D225:H225" si="46">R222</f>
        <v>0.18</v>
      </c>
      <c r="E225" s="60">
        <f t="shared" si="46"/>
        <v>0.08</v>
      </c>
      <c r="F225" s="60">
        <f t="shared" si="46"/>
        <v>0.03</v>
      </c>
      <c r="G225" s="60">
        <f t="shared" si="46"/>
        <v>0.01</v>
      </c>
      <c r="H225" s="60">
        <f t="shared" si="46"/>
        <v>0</v>
      </c>
      <c r="M225" t="s">
        <v>916</v>
      </c>
      <c r="N225" s="79">
        <v>44514</v>
      </c>
      <c r="O225" s="80">
        <v>0</v>
      </c>
      <c r="P225" s="80">
        <v>0</v>
      </c>
      <c r="Q225" s="81">
        <v>0</v>
      </c>
      <c r="R225" s="80">
        <v>0</v>
      </c>
      <c r="S225" s="80">
        <v>0</v>
      </c>
      <c r="T225" s="80">
        <v>0</v>
      </c>
      <c r="U225" s="80">
        <v>0</v>
      </c>
      <c r="V225" s="80">
        <v>0</v>
      </c>
    </row>
    <row r="226" spans="1:22" x14ac:dyDescent="0.25">
      <c r="A226">
        <f>COUNTIF('Value Matchup'!$D$356:$D$423,B226)</f>
        <v>1</v>
      </c>
      <c r="B226" s="56" t="s">
        <v>319</v>
      </c>
      <c r="C226" s="60">
        <f>Q223</f>
        <v>0.25</v>
      </c>
      <c r="D226" s="60">
        <f t="shared" ref="D226:H226" si="47">R223</f>
        <v>0.08</v>
      </c>
      <c r="E226" s="60">
        <f t="shared" si="47"/>
        <v>0.01</v>
      </c>
      <c r="F226" s="60">
        <f t="shared" si="47"/>
        <v>0</v>
      </c>
      <c r="G226" s="60">
        <f t="shared" si="47"/>
        <v>0</v>
      </c>
      <c r="H226" s="60">
        <f t="shared" si="47"/>
        <v>0</v>
      </c>
      <c r="M226" t="s">
        <v>917</v>
      </c>
      <c r="N226" s="79">
        <v>44542</v>
      </c>
      <c r="O226" s="80">
        <v>0</v>
      </c>
      <c r="P226" s="80">
        <v>0</v>
      </c>
      <c r="Q226" s="81">
        <v>0</v>
      </c>
      <c r="R226" s="80">
        <v>0</v>
      </c>
      <c r="S226" s="80">
        <v>0</v>
      </c>
      <c r="T226" s="80">
        <v>0</v>
      </c>
      <c r="U226" s="80">
        <v>0</v>
      </c>
      <c r="V226" s="80">
        <v>0</v>
      </c>
    </row>
    <row r="227" spans="1:22" x14ac:dyDescent="0.25">
      <c r="A227">
        <f>COUNTIF('Value Matchup'!$D$356:$D$423,B227)</f>
        <v>0</v>
      </c>
      <c r="B227" t="s">
        <v>320</v>
      </c>
      <c r="C227" s="60"/>
      <c r="D227" s="60"/>
      <c r="E227" s="60"/>
      <c r="F227" s="60"/>
      <c r="G227" s="60"/>
      <c r="H227" s="60"/>
      <c r="M227" t="s">
        <v>918</v>
      </c>
      <c r="N227" s="79">
        <v>44481</v>
      </c>
      <c r="O227" s="80">
        <v>0</v>
      </c>
      <c r="P227" s="80">
        <v>0</v>
      </c>
      <c r="Q227" s="81">
        <v>0</v>
      </c>
      <c r="R227" s="80">
        <v>0</v>
      </c>
      <c r="S227" s="80">
        <v>0</v>
      </c>
      <c r="T227" s="80">
        <v>0</v>
      </c>
      <c r="U227" s="80">
        <v>0</v>
      </c>
      <c r="V227" s="80">
        <v>0</v>
      </c>
    </row>
    <row r="228" spans="1:22" x14ac:dyDescent="0.25">
      <c r="A228">
        <f>COUNTIF('Value Matchup'!$D$356:$D$423,B228)</f>
        <v>0</v>
      </c>
      <c r="B228" s="56" t="s">
        <v>321</v>
      </c>
      <c r="C228" s="60"/>
      <c r="D228" s="60"/>
      <c r="E228" s="60"/>
      <c r="F228" s="60"/>
      <c r="G228" s="60"/>
      <c r="H228" s="60"/>
      <c r="M228" t="s">
        <v>919</v>
      </c>
      <c r="N228" s="79">
        <v>44362</v>
      </c>
      <c r="O228" s="80">
        <v>0</v>
      </c>
      <c r="P228" s="80">
        <v>0</v>
      </c>
      <c r="Q228" s="81">
        <v>0</v>
      </c>
      <c r="R228" s="80">
        <v>0</v>
      </c>
      <c r="S228" s="80">
        <v>0</v>
      </c>
      <c r="T228" s="80">
        <v>0</v>
      </c>
      <c r="U228" s="80">
        <v>0</v>
      </c>
      <c r="V228" s="80">
        <v>0</v>
      </c>
    </row>
    <row r="229" spans="1:22" x14ac:dyDescent="0.25">
      <c r="A229">
        <f>COUNTIF('Value Matchup'!$D$356:$D$423,B229)</f>
        <v>0</v>
      </c>
      <c r="B229" t="s">
        <v>322</v>
      </c>
      <c r="C229" s="60"/>
      <c r="D229" s="60"/>
      <c r="E229" s="60"/>
      <c r="F229" s="60"/>
      <c r="G229" s="60"/>
      <c r="H229" s="60"/>
      <c r="M229" t="s">
        <v>920</v>
      </c>
      <c r="N229" s="79">
        <v>44452</v>
      </c>
      <c r="O229" s="80">
        <v>0</v>
      </c>
      <c r="P229" s="80">
        <v>0</v>
      </c>
      <c r="Q229" s="81">
        <v>0</v>
      </c>
      <c r="R229" s="80">
        <v>0</v>
      </c>
      <c r="S229" s="80">
        <v>0</v>
      </c>
      <c r="T229" s="80">
        <v>0</v>
      </c>
      <c r="U229" s="80">
        <v>0</v>
      </c>
      <c r="V229" s="80">
        <v>0</v>
      </c>
    </row>
    <row r="230" spans="1:22" x14ac:dyDescent="0.25">
      <c r="A230">
        <f>COUNTIF('Value Matchup'!$D$356:$D$423,B230)</f>
        <v>0</v>
      </c>
      <c r="B230" s="56" t="s">
        <v>323</v>
      </c>
      <c r="C230" s="60"/>
      <c r="D230" s="60"/>
      <c r="E230" s="60"/>
      <c r="F230" s="60"/>
      <c r="G230" s="60"/>
      <c r="H230" s="60"/>
      <c r="M230" t="s">
        <v>921</v>
      </c>
      <c r="N230" s="79" t="s">
        <v>580</v>
      </c>
      <c r="O230" s="80">
        <v>0</v>
      </c>
      <c r="P230" s="80">
        <v>0</v>
      </c>
      <c r="Q230" s="81">
        <v>0</v>
      </c>
      <c r="R230" s="80">
        <v>0</v>
      </c>
      <c r="S230" s="80">
        <v>0</v>
      </c>
      <c r="T230" s="80">
        <v>0</v>
      </c>
      <c r="U230" s="80">
        <v>0</v>
      </c>
      <c r="V230" s="80">
        <v>0</v>
      </c>
    </row>
    <row r="231" spans="1:22" x14ac:dyDescent="0.25">
      <c r="A231">
        <f>COUNTIF('Value Matchup'!$D$356:$D$423,B231)</f>
        <v>0</v>
      </c>
      <c r="B231" t="s">
        <v>83</v>
      </c>
      <c r="C231" s="60"/>
      <c r="D231" s="60"/>
      <c r="E231" s="60"/>
      <c r="F231" s="60"/>
      <c r="G231" s="60"/>
      <c r="H231" s="60"/>
      <c r="M231" t="s">
        <v>922</v>
      </c>
      <c r="N231" s="79">
        <v>44392</v>
      </c>
      <c r="O231" s="80">
        <v>0</v>
      </c>
      <c r="P231" s="80">
        <v>0</v>
      </c>
      <c r="Q231" s="81">
        <v>0</v>
      </c>
      <c r="R231" s="80">
        <v>0</v>
      </c>
      <c r="S231" s="80">
        <v>0</v>
      </c>
      <c r="T231" s="80">
        <v>0</v>
      </c>
      <c r="U231" s="80">
        <v>0</v>
      </c>
      <c r="V231" s="80">
        <v>0</v>
      </c>
    </row>
    <row r="232" spans="1:22" x14ac:dyDescent="0.25">
      <c r="A232">
        <f>COUNTIF('Value Matchup'!$D$356:$D$423,B232)</f>
        <v>0</v>
      </c>
      <c r="B232" s="56" t="s">
        <v>324</v>
      </c>
      <c r="C232" s="60"/>
      <c r="D232" s="60"/>
      <c r="E232" s="60"/>
      <c r="F232" s="60"/>
      <c r="G232" s="60"/>
      <c r="H232" s="60"/>
      <c r="M232" t="s">
        <v>923</v>
      </c>
      <c r="N232" s="79" t="s">
        <v>553</v>
      </c>
      <c r="O232" s="80">
        <v>0</v>
      </c>
      <c r="P232" s="80">
        <v>0</v>
      </c>
      <c r="Q232" s="81">
        <v>0</v>
      </c>
      <c r="R232" s="80">
        <v>0</v>
      </c>
      <c r="S232" s="80">
        <v>0</v>
      </c>
      <c r="T232" s="80">
        <v>0</v>
      </c>
      <c r="U232" s="80">
        <v>0</v>
      </c>
      <c r="V232" s="80">
        <v>0</v>
      </c>
    </row>
    <row r="233" spans="1:22" x14ac:dyDescent="0.25">
      <c r="A233">
        <f>COUNTIF('Value Matchup'!$D$356:$D$423,B233)</f>
        <v>0</v>
      </c>
      <c r="B233" t="s">
        <v>325</v>
      </c>
      <c r="C233" s="60"/>
      <c r="D233" s="60"/>
      <c r="E233" s="60"/>
      <c r="F233" s="60"/>
      <c r="G233" s="60"/>
      <c r="H233" s="60"/>
      <c r="K233">
        <v>4</v>
      </c>
      <c r="L233">
        <v>15</v>
      </c>
      <c r="M233" t="s">
        <v>924</v>
      </c>
      <c r="N233" s="79" t="s">
        <v>560</v>
      </c>
      <c r="O233" s="80">
        <v>1</v>
      </c>
      <c r="P233" s="80">
        <v>1</v>
      </c>
      <c r="Q233" s="81">
        <v>0.82</v>
      </c>
      <c r="R233" s="80">
        <v>0.44</v>
      </c>
      <c r="S233" s="80">
        <v>0.17</v>
      </c>
      <c r="T233" s="80">
        <v>0.06</v>
      </c>
      <c r="U233" s="80">
        <v>0.02</v>
      </c>
      <c r="V233" s="80">
        <v>0.01</v>
      </c>
    </row>
    <row r="234" spans="1:22" x14ac:dyDescent="0.25">
      <c r="A234">
        <f>COUNTIF('Value Matchup'!$D$356:$D$423,B234)</f>
        <v>0</v>
      </c>
      <c r="B234" s="56" t="s">
        <v>326</v>
      </c>
      <c r="C234" s="60"/>
      <c r="D234" s="60"/>
      <c r="E234" s="60"/>
      <c r="F234" s="60"/>
      <c r="G234" s="60"/>
      <c r="H234" s="60"/>
      <c r="M234" t="s">
        <v>925</v>
      </c>
      <c r="N234" s="79">
        <v>44423</v>
      </c>
      <c r="O234" s="80">
        <v>0</v>
      </c>
      <c r="P234" s="80">
        <v>0</v>
      </c>
      <c r="Q234" s="81">
        <v>0</v>
      </c>
      <c r="R234" s="80">
        <v>0</v>
      </c>
      <c r="S234" s="80">
        <v>0</v>
      </c>
      <c r="T234" s="80">
        <v>0</v>
      </c>
      <c r="U234" s="80">
        <v>0</v>
      </c>
      <c r="V234" s="80">
        <v>0</v>
      </c>
    </row>
    <row r="235" spans="1:22" x14ac:dyDescent="0.25">
      <c r="A235">
        <f>COUNTIF('Value Matchup'!$D$356:$D$423,B235)</f>
        <v>0</v>
      </c>
      <c r="B235" t="s">
        <v>327</v>
      </c>
      <c r="C235" s="60"/>
      <c r="D235" s="60"/>
      <c r="E235" s="60"/>
      <c r="F235" s="60"/>
      <c r="G235" s="60"/>
      <c r="H235" s="60"/>
      <c r="M235" t="s">
        <v>926</v>
      </c>
      <c r="N235" s="79">
        <v>44452</v>
      </c>
      <c r="O235" s="80">
        <v>0</v>
      </c>
      <c r="P235" s="80">
        <v>0</v>
      </c>
      <c r="Q235" s="81">
        <v>0</v>
      </c>
      <c r="R235" s="80">
        <v>0</v>
      </c>
      <c r="S235" s="80">
        <v>0</v>
      </c>
      <c r="T235" s="80">
        <v>0</v>
      </c>
      <c r="U235" s="80">
        <v>0</v>
      </c>
      <c r="V235" s="80">
        <v>0</v>
      </c>
    </row>
    <row r="236" spans="1:22" x14ac:dyDescent="0.25">
      <c r="A236">
        <f>COUNTIF('Value Matchup'!$D$356:$D$423,B236)</f>
        <v>0</v>
      </c>
      <c r="B236" s="56" t="s">
        <v>91</v>
      </c>
      <c r="C236" s="60"/>
      <c r="D236" s="60"/>
      <c r="E236" s="60"/>
      <c r="F236" s="60"/>
      <c r="G236" s="60"/>
      <c r="H236" s="60"/>
      <c r="M236" t="s">
        <v>927</v>
      </c>
      <c r="N236" s="79" t="s">
        <v>562</v>
      </c>
      <c r="O236" s="80">
        <v>0</v>
      </c>
      <c r="P236" s="80">
        <v>0</v>
      </c>
      <c r="Q236" s="81">
        <v>0</v>
      </c>
      <c r="R236" s="80">
        <v>0</v>
      </c>
      <c r="S236" s="80">
        <v>0</v>
      </c>
      <c r="T236" s="80">
        <v>0</v>
      </c>
      <c r="U236" s="80">
        <v>0</v>
      </c>
      <c r="V236" s="80">
        <v>0</v>
      </c>
    </row>
    <row r="237" spans="1:22" x14ac:dyDescent="0.25">
      <c r="A237">
        <f>COUNTIF('Value Matchup'!$D$356:$D$423,B237)</f>
        <v>0</v>
      </c>
      <c r="B237" t="s">
        <v>56</v>
      </c>
      <c r="C237" s="60"/>
      <c r="D237" s="60"/>
      <c r="E237" s="60"/>
      <c r="F237" s="60"/>
      <c r="G237" s="60"/>
      <c r="H237" s="60"/>
      <c r="M237" t="s">
        <v>928</v>
      </c>
      <c r="N237" s="79">
        <v>44484</v>
      </c>
      <c r="O237" s="80">
        <v>0</v>
      </c>
      <c r="P237" s="80">
        <v>0</v>
      </c>
      <c r="Q237" s="81">
        <v>0</v>
      </c>
      <c r="R237" s="80">
        <v>0</v>
      </c>
      <c r="S237" s="80">
        <v>0</v>
      </c>
      <c r="T237" s="80">
        <v>0</v>
      </c>
      <c r="U237" s="80">
        <v>0</v>
      </c>
      <c r="V237" s="80">
        <v>0</v>
      </c>
    </row>
    <row r="238" spans="1:22" x14ac:dyDescent="0.25">
      <c r="A238">
        <f>COUNTIF('Value Matchup'!$D$356:$D$423,B238)</f>
        <v>1</v>
      </c>
      <c r="B238" s="56" t="s">
        <v>29</v>
      </c>
      <c r="C238" s="60">
        <f>Q233</f>
        <v>0.82</v>
      </c>
      <c r="D238" s="60">
        <f t="shared" ref="D238:H238" si="48">R233</f>
        <v>0.44</v>
      </c>
      <c r="E238" s="60">
        <f t="shared" si="48"/>
        <v>0.17</v>
      </c>
      <c r="F238" s="60">
        <f t="shared" si="48"/>
        <v>0.06</v>
      </c>
      <c r="G238" s="60">
        <f t="shared" si="48"/>
        <v>0.02</v>
      </c>
      <c r="H238" s="60">
        <f t="shared" si="48"/>
        <v>0.01</v>
      </c>
      <c r="M238" t="s">
        <v>929</v>
      </c>
      <c r="N238" s="79" t="s">
        <v>572</v>
      </c>
      <c r="O238" s="80">
        <v>0</v>
      </c>
      <c r="P238" s="80">
        <v>0</v>
      </c>
      <c r="Q238" s="81">
        <v>0</v>
      </c>
      <c r="R238" s="80">
        <v>0</v>
      </c>
      <c r="S238" s="80">
        <v>0</v>
      </c>
      <c r="T238" s="80">
        <v>0</v>
      </c>
      <c r="U238" s="80">
        <v>0</v>
      </c>
      <c r="V238" s="80">
        <v>0</v>
      </c>
    </row>
    <row r="239" spans="1:22" x14ac:dyDescent="0.25">
      <c r="A239">
        <f>COUNTIF('Value Matchup'!$D$356:$D$423,B239)</f>
        <v>0</v>
      </c>
      <c r="B239" t="s">
        <v>491</v>
      </c>
      <c r="C239" s="60"/>
      <c r="D239" s="60"/>
      <c r="E239" s="60"/>
      <c r="F239" s="60"/>
      <c r="G239" s="60"/>
      <c r="H239" s="60"/>
      <c r="M239" t="s">
        <v>930</v>
      </c>
      <c r="N239" s="79" t="s">
        <v>543</v>
      </c>
      <c r="O239" s="80">
        <v>0</v>
      </c>
      <c r="P239" s="80">
        <v>0</v>
      </c>
      <c r="Q239" s="81">
        <v>0</v>
      </c>
      <c r="R239" s="80">
        <v>0</v>
      </c>
      <c r="S239" s="80">
        <v>0</v>
      </c>
      <c r="T239" s="80">
        <v>0</v>
      </c>
      <c r="U239" s="80">
        <v>0</v>
      </c>
      <c r="V239" s="80">
        <v>0</v>
      </c>
    </row>
    <row r="240" spans="1:22" x14ac:dyDescent="0.25">
      <c r="A240">
        <f>COUNTIF('Value Matchup'!$D$356:$D$423,B240)</f>
        <v>0</v>
      </c>
      <c r="B240" s="56" t="s">
        <v>328</v>
      </c>
      <c r="C240" s="60"/>
      <c r="D240" s="60"/>
      <c r="E240" s="60"/>
      <c r="F240" s="60"/>
      <c r="G240" s="60"/>
      <c r="H240" s="60"/>
      <c r="M240" t="s">
        <v>931</v>
      </c>
      <c r="N240" s="79">
        <v>44364</v>
      </c>
      <c r="O240" s="80">
        <v>0</v>
      </c>
      <c r="P240" s="80">
        <v>0</v>
      </c>
      <c r="Q240" s="81">
        <v>0</v>
      </c>
      <c r="R240" s="80">
        <v>0</v>
      </c>
      <c r="S240" s="80">
        <v>0</v>
      </c>
      <c r="T240" s="80">
        <v>0</v>
      </c>
      <c r="U240" s="80">
        <v>0</v>
      </c>
      <c r="V240" s="80">
        <v>0</v>
      </c>
    </row>
    <row r="241" spans="1:22" x14ac:dyDescent="0.25">
      <c r="A241">
        <f>COUNTIF('Value Matchup'!$D$356:$D$423,B241)</f>
        <v>0</v>
      </c>
      <c r="B241" t="s">
        <v>329</v>
      </c>
      <c r="C241" s="60"/>
      <c r="D241" s="60"/>
      <c r="E241" s="60"/>
      <c r="F241" s="60"/>
      <c r="G241" s="60"/>
      <c r="H241" s="60"/>
      <c r="M241" t="s">
        <v>932</v>
      </c>
      <c r="N241" s="79">
        <v>44301</v>
      </c>
      <c r="O241" s="80">
        <v>0</v>
      </c>
      <c r="P241" s="80">
        <v>0</v>
      </c>
      <c r="Q241" s="81">
        <v>0</v>
      </c>
      <c r="R241" s="80">
        <v>0</v>
      </c>
      <c r="S241" s="80">
        <v>0</v>
      </c>
      <c r="T241" s="80">
        <v>0</v>
      </c>
      <c r="U241" s="80">
        <v>0</v>
      </c>
      <c r="V241" s="80">
        <v>0</v>
      </c>
    </row>
    <row r="242" spans="1:22" x14ac:dyDescent="0.25">
      <c r="A242">
        <f>COUNTIF('Value Matchup'!$D$356:$D$423,B242)</f>
        <v>0</v>
      </c>
      <c r="B242" s="56" t="s">
        <v>96</v>
      </c>
      <c r="C242" s="60"/>
      <c r="D242" s="60"/>
      <c r="E242" s="60"/>
      <c r="F242" s="60"/>
      <c r="G242" s="60"/>
      <c r="H242" s="60"/>
      <c r="K242">
        <v>8</v>
      </c>
      <c r="L242">
        <v>30</v>
      </c>
      <c r="M242" t="s">
        <v>933</v>
      </c>
      <c r="N242" s="79" t="s">
        <v>533</v>
      </c>
      <c r="O242" s="80">
        <v>1</v>
      </c>
      <c r="P242" s="80">
        <v>0.99</v>
      </c>
      <c r="Q242" s="81">
        <v>0.5</v>
      </c>
      <c r="R242" s="80">
        <v>0.16</v>
      </c>
      <c r="S242" s="80">
        <v>0.06</v>
      </c>
      <c r="T242" s="80">
        <v>0.02</v>
      </c>
      <c r="U242" s="80">
        <v>0.01</v>
      </c>
      <c r="V242" s="80">
        <v>0</v>
      </c>
    </row>
    <row r="243" spans="1:22" x14ac:dyDescent="0.25">
      <c r="A243">
        <f>COUNTIF('Value Matchup'!$D$356:$D$423,B243)</f>
        <v>0</v>
      </c>
      <c r="B243" t="s">
        <v>330</v>
      </c>
      <c r="C243" s="60"/>
      <c r="D243" s="60"/>
      <c r="E243" s="60"/>
      <c r="F243" s="60"/>
      <c r="G243" s="60"/>
      <c r="H243" s="60"/>
      <c r="M243" t="s">
        <v>934</v>
      </c>
      <c r="N243" s="79">
        <v>44420</v>
      </c>
      <c r="O243" s="80">
        <v>0</v>
      </c>
      <c r="P243" s="80">
        <v>0</v>
      </c>
      <c r="Q243" s="81">
        <v>0</v>
      </c>
      <c r="R243" s="80">
        <v>0</v>
      </c>
      <c r="S243" s="80">
        <v>0</v>
      </c>
      <c r="T243" s="80">
        <v>0</v>
      </c>
      <c r="U243" s="80">
        <v>0</v>
      </c>
      <c r="V243" s="80">
        <v>0</v>
      </c>
    </row>
    <row r="244" spans="1:22" x14ac:dyDescent="0.25">
      <c r="A244">
        <f>COUNTIF('Value Matchup'!$D$356:$D$423,B244)</f>
        <v>0</v>
      </c>
      <c r="B244" s="56" t="s">
        <v>331</v>
      </c>
      <c r="C244" s="60"/>
      <c r="D244" s="60"/>
      <c r="E244" s="60"/>
      <c r="F244" s="60"/>
      <c r="G244" s="60"/>
      <c r="H244" s="60"/>
      <c r="M244" t="s">
        <v>935</v>
      </c>
      <c r="N244" s="79">
        <v>44448</v>
      </c>
      <c r="O244" s="80">
        <v>0</v>
      </c>
      <c r="P244" s="80">
        <v>0</v>
      </c>
      <c r="Q244" s="81">
        <v>0</v>
      </c>
      <c r="R244" s="80">
        <v>0</v>
      </c>
      <c r="S244" s="80">
        <v>0</v>
      </c>
      <c r="T244" s="80">
        <v>0</v>
      </c>
      <c r="U244" s="80">
        <v>0</v>
      </c>
      <c r="V244" s="80">
        <v>0</v>
      </c>
    </row>
    <row r="245" spans="1:22" x14ac:dyDescent="0.25">
      <c r="A245">
        <f>COUNTIF('Value Matchup'!$D$356:$D$423,B245)</f>
        <v>0</v>
      </c>
      <c r="B245" t="s">
        <v>332</v>
      </c>
      <c r="C245" s="60"/>
      <c r="D245" s="60"/>
      <c r="E245" s="60"/>
      <c r="F245" s="60"/>
      <c r="G245" s="60"/>
      <c r="H245" s="60"/>
      <c r="M245" t="s">
        <v>936</v>
      </c>
      <c r="N245" s="79">
        <v>44331</v>
      </c>
      <c r="O245" s="80">
        <v>0</v>
      </c>
      <c r="P245" s="80">
        <v>0</v>
      </c>
      <c r="Q245" s="81">
        <v>0</v>
      </c>
      <c r="R245" s="80">
        <v>0</v>
      </c>
      <c r="S245" s="80">
        <v>0</v>
      </c>
      <c r="T245" s="80">
        <v>0</v>
      </c>
      <c r="U245" s="80">
        <v>0</v>
      </c>
      <c r="V245" s="80">
        <v>0</v>
      </c>
    </row>
    <row r="246" spans="1:22" x14ac:dyDescent="0.25">
      <c r="A246">
        <f>COUNTIF('Value Matchup'!$D$356:$D$423,B246)</f>
        <v>0</v>
      </c>
      <c r="B246" s="56" t="s">
        <v>333</v>
      </c>
      <c r="C246" s="60"/>
      <c r="D246" s="60"/>
      <c r="E246" s="60"/>
      <c r="F246" s="60"/>
      <c r="G246" s="60"/>
      <c r="H246" s="60"/>
      <c r="M246" t="s">
        <v>937</v>
      </c>
      <c r="N246" s="79" t="s">
        <v>581</v>
      </c>
      <c r="O246" s="80">
        <v>0.24</v>
      </c>
      <c r="P246" s="80">
        <v>0.18</v>
      </c>
      <c r="Q246" s="81">
        <v>7.0000000000000007E-2</v>
      </c>
      <c r="R246" s="80">
        <v>0.02</v>
      </c>
      <c r="S246" s="80">
        <v>0.01</v>
      </c>
      <c r="T246" s="80">
        <v>0</v>
      </c>
      <c r="U246" s="80">
        <v>0</v>
      </c>
      <c r="V246" s="80">
        <v>0</v>
      </c>
    </row>
    <row r="247" spans="1:22" x14ac:dyDescent="0.25">
      <c r="A247">
        <f>COUNTIF('Value Matchup'!$D$356:$D$423,B247)</f>
        <v>1</v>
      </c>
      <c r="B247" t="s">
        <v>334</v>
      </c>
      <c r="C247" s="60">
        <f>Q242</f>
        <v>0.5</v>
      </c>
      <c r="D247" s="60">
        <f t="shared" ref="D247:H247" si="49">R242</f>
        <v>0.16</v>
      </c>
      <c r="E247" s="60">
        <f t="shared" si="49"/>
        <v>0.06</v>
      </c>
      <c r="F247" s="60">
        <f t="shared" si="49"/>
        <v>0.02</v>
      </c>
      <c r="G247" s="60">
        <f t="shared" si="49"/>
        <v>0.01</v>
      </c>
      <c r="H247" s="60">
        <f t="shared" si="49"/>
        <v>0</v>
      </c>
      <c r="M247" t="s">
        <v>938</v>
      </c>
      <c r="N247" s="79" t="s">
        <v>544</v>
      </c>
      <c r="O247" s="80">
        <v>0</v>
      </c>
      <c r="P247" s="80">
        <v>0</v>
      </c>
      <c r="Q247" s="81">
        <v>0</v>
      </c>
      <c r="R247" s="80">
        <v>0</v>
      </c>
      <c r="S247" s="80">
        <v>0</v>
      </c>
      <c r="T247" s="80">
        <v>0</v>
      </c>
      <c r="U247" s="80">
        <v>0</v>
      </c>
      <c r="V247" s="80">
        <v>0</v>
      </c>
    </row>
    <row r="248" spans="1:22" x14ac:dyDescent="0.25">
      <c r="A248">
        <f>COUNTIF('Value Matchup'!$D$356:$D$423,B248)</f>
        <v>0</v>
      </c>
      <c r="B248" s="56" t="s">
        <v>335</v>
      </c>
      <c r="C248" s="60"/>
      <c r="D248" s="60"/>
      <c r="E248" s="60"/>
      <c r="F248" s="60"/>
      <c r="G248" s="60"/>
      <c r="H248" s="60"/>
      <c r="M248" t="s">
        <v>939</v>
      </c>
      <c r="N248" s="79" t="s">
        <v>528</v>
      </c>
      <c r="O248" s="80">
        <v>0</v>
      </c>
      <c r="P248" s="80">
        <v>0</v>
      </c>
      <c r="Q248" s="81">
        <v>0</v>
      </c>
      <c r="R248" s="80">
        <v>0</v>
      </c>
      <c r="S248" s="80">
        <v>0</v>
      </c>
      <c r="T248" s="80">
        <v>0</v>
      </c>
      <c r="U248" s="80">
        <v>0</v>
      </c>
      <c r="V248" s="80">
        <v>0</v>
      </c>
    </row>
    <row r="249" spans="1:22" x14ac:dyDescent="0.25">
      <c r="A249">
        <f>COUNTIF('Value Matchup'!$D$356:$D$423,B249)</f>
        <v>0</v>
      </c>
      <c r="B249" t="s">
        <v>336</v>
      </c>
      <c r="C249" s="60"/>
      <c r="D249" s="60"/>
      <c r="E249" s="60"/>
      <c r="F249" s="60"/>
      <c r="G249" s="60"/>
      <c r="H249" s="60"/>
      <c r="M249" t="s">
        <v>940</v>
      </c>
      <c r="N249" s="79" t="s">
        <v>582</v>
      </c>
      <c r="O249" s="80">
        <v>0</v>
      </c>
      <c r="P249" s="80">
        <v>0</v>
      </c>
      <c r="Q249" s="81">
        <v>0</v>
      </c>
      <c r="R249" s="80">
        <v>0</v>
      </c>
      <c r="S249" s="80">
        <v>0</v>
      </c>
      <c r="T249" s="80">
        <v>0</v>
      </c>
      <c r="U249" s="80">
        <v>0</v>
      </c>
      <c r="V249" s="80">
        <v>0</v>
      </c>
    </row>
    <row r="250" spans="1:22" x14ac:dyDescent="0.25">
      <c r="A250">
        <f>COUNTIF('Value Matchup'!$D$356:$D$423,B250)</f>
        <v>0</v>
      </c>
      <c r="B250" s="56" t="s">
        <v>337</v>
      </c>
      <c r="C250" s="60"/>
      <c r="D250" s="60"/>
      <c r="E250" s="60"/>
      <c r="F250" s="60"/>
      <c r="G250" s="60"/>
      <c r="H250" s="60"/>
      <c r="M250" t="s">
        <v>941</v>
      </c>
      <c r="N250" s="79">
        <v>44360</v>
      </c>
      <c r="O250" s="80">
        <v>0</v>
      </c>
      <c r="P250" s="80">
        <v>0</v>
      </c>
      <c r="Q250" s="81">
        <v>0</v>
      </c>
      <c r="R250" s="80">
        <v>0</v>
      </c>
      <c r="S250" s="80">
        <v>0</v>
      </c>
      <c r="T250" s="80">
        <v>0</v>
      </c>
      <c r="U250" s="80">
        <v>0</v>
      </c>
      <c r="V250" s="80">
        <v>0</v>
      </c>
    </row>
    <row r="251" spans="1:22" x14ac:dyDescent="0.25">
      <c r="A251">
        <f>COUNTIF('Value Matchup'!$D$356:$D$423,B251)</f>
        <v>0</v>
      </c>
      <c r="B251" t="s">
        <v>338</v>
      </c>
      <c r="C251" s="60"/>
      <c r="D251" s="60"/>
      <c r="E251" s="60"/>
      <c r="F251" s="60"/>
      <c r="G251" s="60"/>
      <c r="H251" s="60"/>
      <c r="K251">
        <v>7</v>
      </c>
      <c r="L251">
        <v>26</v>
      </c>
      <c r="M251" t="s">
        <v>942</v>
      </c>
      <c r="N251" s="79" t="s">
        <v>514</v>
      </c>
      <c r="O251" s="80">
        <v>1</v>
      </c>
      <c r="P251" s="80">
        <v>1</v>
      </c>
      <c r="Q251" s="81">
        <v>0.6</v>
      </c>
      <c r="R251" s="80">
        <v>0.25</v>
      </c>
      <c r="S251" s="80">
        <v>0.1</v>
      </c>
      <c r="T251" s="80">
        <v>0.04</v>
      </c>
      <c r="U251" s="80">
        <v>0.01</v>
      </c>
      <c r="V251" s="80">
        <v>0</v>
      </c>
    </row>
    <row r="252" spans="1:22" x14ac:dyDescent="0.25">
      <c r="A252">
        <f>COUNTIF('Value Matchup'!$D$356:$D$423,B252)</f>
        <v>0</v>
      </c>
      <c r="B252" s="56" t="s">
        <v>339</v>
      </c>
      <c r="C252" s="60"/>
      <c r="D252" s="60"/>
      <c r="E252" s="60"/>
      <c r="F252" s="60"/>
      <c r="G252" s="60"/>
      <c r="H252" s="60"/>
      <c r="M252" t="s">
        <v>943</v>
      </c>
      <c r="N252" s="79">
        <v>44266</v>
      </c>
      <c r="O252" s="80">
        <v>0</v>
      </c>
      <c r="P252" s="80">
        <v>0</v>
      </c>
      <c r="Q252" s="81">
        <v>0</v>
      </c>
      <c r="R252" s="80">
        <v>0</v>
      </c>
      <c r="S252" s="80">
        <v>0</v>
      </c>
      <c r="T252" s="80">
        <v>0</v>
      </c>
      <c r="U252" s="80">
        <v>0</v>
      </c>
      <c r="V252" s="80">
        <v>0</v>
      </c>
    </row>
    <row r="253" spans="1:22" x14ac:dyDescent="0.25">
      <c r="A253">
        <f>COUNTIF('Value Matchup'!$D$356:$D$423,B253)</f>
        <v>0</v>
      </c>
      <c r="B253" t="s">
        <v>340</v>
      </c>
      <c r="C253" s="60"/>
      <c r="D253" s="60"/>
      <c r="E253" s="60"/>
      <c r="F253" s="60"/>
      <c r="G253" s="60"/>
      <c r="H253" s="60"/>
      <c r="M253" t="s">
        <v>944</v>
      </c>
      <c r="N253" s="79">
        <v>44514</v>
      </c>
      <c r="O253" s="80">
        <v>0</v>
      </c>
      <c r="P253" s="80">
        <v>0</v>
      </c>
      <c r="Q253" s="81">
        <v>0</v>
      </c>
      <c r="R253" s="80">
        <v>0</v>
      </c>
      <c r="S253" s="80">
        <v>0</v>
      </c>
      <c r="T253" s="80">
        <v>0</v>
      </c>
      <c r="U253" s="80">
        <v>0</v>
      </c>
      <c r="V253" s="80">
        <v>0</v>
      </c>
    </row>
    <row r="254" spans="1:22" x14ac:dyDescent="0.25">
      <c r="A254">
        <f>COUNTIF('Value Matchup'!$D$356:$D$423,B254)</f>
        <v>0</v>
      </c>
      <c r="B254" s="56" t="s">
        <v>341</v>
      </c>
      <c r="C254" s="60"/>
      <c r="D254" s="60"/>
      <c r="E254" s="60"/>
      <c r="F254" s="60"/>
      <c r="G254" s="60"/>
      <c r="H254" s="60"/>
      <c r="M254" t="s">
        <v>945</v>
      </c>
      <c r="N254" s="79">
        <v>44332</v>
      </c>
      <c r="O254" s="80">
        <v>0</v>
      </c>
      <c r="P254" s="80">
        <v>0</v>
      </c>
      <c r="Q254" s="81">
        <v>0</v>
      </c>
      <c r="R254" s="80">
        <v>0</v>
      </c>
      <c r="S254" s="80">
        <v>0</v>
      </c>
      <c r="T254" s="80">
        <v>0</v>
      </c>
      <c r="U254" s="80">
        <v>0</v>
      </c>
      <c r="V254" s="80">
        <v>0</v>
      </c>
    </row>
    <row r="255" spans="1:22" x14ac:dyDescent="0.25">
      <c r="A255">
        <f>COUNTIF('Value Matchup'!$D$356:$D$423,B255)</f>
        <v>0</v>
      </c>
      <c r="B255" t="s">
        <v>342</v>
      </c>
      <c r="C255" s="60"/>
      <c r="D255" s="60"/>
      <c r="E255" s="60"/>
      <c r="F255" s="60"/>
      <c r="G255" s="60"/>
      <c r="H255" s="60"/>
      <c r="M255" t="s">
        <v>946</v>
      </c>
      <c r="N255" s="79">
        <v>44538</v>
      </c>
      <c r="O255" s="80">
        <v>0</v>
      </c>
      <c r="P255" s="80">
        <v>0</v>
      </c>
      <c r="Q255" s="81">
        <v>0</v>
      </c>
      <c r="R255" s="80">
        <v>0</v>
      </c>
      <c r="S255" s="80">
        <v>0</v>
      </c>
      <c r="T255" s="80">
        <v>0</v>
      </c>
      <c r="U255" s="80">
        <v>0</v>
      </c>
      <c r="V255" s="80">
        <v>0</v>
      </c>
    </row>
    <row r="256" spans="1:22" x14ac:dyDescent="0.25">
      <c r="A256">
        <f>COUNTIF('Value Matchup'!$D$356:$D$423,B256)</f>
        <v>0</v>
      </c>
      <c r="B256" s="56" t="s">
        <v>343</v>
      </c>
      <c r="C256" s="60"/>
      <c r="D256" s="60"/>
      <c r="E256" s="60"/>
      <c r="F256" s="60"/>
      <c r="G256" s="60"/>
      <c r="H256" s="60"/>
      <c r="M256" t="s">
        <v>947</v>
      </c>
      <c r="N256" s="79">
        <v>44516</v>
      </c>
      <c r="O256" s="80">
        <v>0</v>
      </c>
      <c r="P256" s="80">
        <v>0</v>
      </c>
      <c r="Q256" s="81">
        <v>0</v>
      </c>
      <c r="R256" s="80">
        <v>0</v>
      </c>
      <c r="S256" s="80">
        <v>0</v>
      </c>
      <c r="T256" s="80">
        <v>0</v>
      </c>
      <c r="U256" s="80">
        <v>0</v>
      </c>
      <c r="V256" s="80">
        <v>0</v>
      </c>
    </row>
    <row r="257" spans="1:22" x14ac:dyDescent="0.25">
      <c r="A257">
        <f>COUNTIF('Value Matchup'!$D$356:$D$423,B257)</f>
        <v>1</v>
      </c>
      <c r="B257" t="s">
        <v>344</v>
      </c>
      <c r="C257" s="60">
        <f>Q251</f>
        <v>0.6</v>
      </c>
      <c r="D257" s="60">
        <f t="shared" ref="D257:H257" si="50">R251</f>
        <v>0.25</v>
      </c>
      <c r="E257" s="60">
        <f t="shared" si="50"/>
        <v>0.1</v>
      </c>
      <c r="F257" s="60">
        <f t="shared" si="50"/>
        <v>0.04</v>
      </c>
      <c r="G257" s="60">
        <f t="shared" si="50"/>
        <v>0.01</v>
      </c>
      <c r="H257" s="60">
        <f t="shared" si="50"/>
        <v>0</v>
      </c>
      <c r="M257" t="s">
        <v>948</v>
      </c>
      <c r="N257" s="79">
        <v>44541</v>
      </c>
      <c r="O257" s="80">
        <v>0</v>
      </c>
      <c r="P257" s="80">
        <v>0</v>
      </c>
      <c r="Q257" s="81">
        <v>0</v>
      </c>
      <c r="R257" s="80">
        <v>0</v>
      </c>
      <c r="S257" s="80">
        <v>0</v>
      </c>
      <c r="T257" s="80">
        <v>0</v>
      </c>
      <c r="U257" s="80">
        <v>0</v>
      </c>
      <c r="V257" s="80">
        <v>0</v>
      </c>
    </row>
    <row r="258" spans="1:22" x14ac:dyDescent="0.25">
      <c r="A258">
        <f>COUNTIF('Value Matchup'!$D$356:$D$423,B258)</f>
        <v>0</v>
      </c>
      <c r="B258" s="56" t="s">
        <v>345</v>
      </c>
      <c r="C258" s="60"/>
      <c r="D258" s="60"/>
      <c r="E258" s="60"/>
      <c r="F258" s="60"/>
      <c r="G258" s="60"/>
      <c r="H258" s="60"/>
      <c r="K258">
        <v>11</v>
      </c>
      <c r="L258">
        <v>44</v>
      </c>
      <c r="M258" t="s">
        <v>949</v>
      </c>
      <c r="N258" s="79" t="s">
        <v>521</v>
      </c>
      <c r="O258" s="80">
        <v>0.85</v>
      </c>
      <c r="P258" s="80">
        <v>0.56000000000000005</v>
      </c>
      <c r="Q258" s="81">
        <v>0.22</v>
      </c>
      <c r="R258" s="80">
        <v>0.08</v>
      </c>
      <c r="S258" s="80">
        <v>0.02</v>
      </c>
      <c r="T258" s="80">
        <v>0.01</v>
      </c>
      <c r="U258" s="80">
        <v>0</v>
      </c>
      <c r="V258" s="80">
        <v>0</v>
      </c>
    </row>
    <row r="259" spans="1:22" x14ac:dyDescent="0.25">
      <c r="A259">
        <f>COUNTIF('Value Matchup'!$D$356:$D$423,B259)</f>
        <v>0</v>
      </c>
      <c r="B259" t="s">
        <v>346</v>
      </c>
      <c r="C259" s="60"/>
      <c r="D259" s="60"/>
      <c r="E259" s="60"/>
      <c r="F259" s="60"/>
      <c r="G259" s="60"/>
      <c r="H259" s="60"/>
      <c r="M259" t="s">
        <v>950</v>
      </c>
      <c r="N259" s="79">
        <v>44535</v>
      </c>
      <c r="O259" s="80">
        <v>0</v>
      </c>
      <c r="P259" s="80">
        <v>0</v>
      </c>
      <c r="Q259" s="81">
        <v>0</v>
      </c>
      <c r="R259" s="80">
        <v>0</v>
      </c>
      <c r="S259" s="80">
        <v>0</v>
      </c>
      <c r="T259" s="80">
        <v>0</v>
      </c>
      <c r="U259" s="80">
        <v>0</v>
      </c>
      <c r="V259" s="80">
        <v>0</v>
      </c>
    </row>
    <row r="260" spans="1:22" x14ac:dyDescent="0.25">
      <c r="A260">
        <f>COUNTIF('Value Matchup'!$D$356:$D$423,B260)</f>
        <v>0</v>
      </c>
      <c r="B260" s="56" t="s">
        <v>347</v>
      </c>
      <c r="C260" s="60"/>
      <c r="D260" s="60"/>
      <c r="E260" s="60"/>
      <c r="F260" s="60"/>
      <c r="G260" s="60"/>
      <c r="H260" s="60"/>
      <c r="M260" t="s">
        <v>951</v>
      </c>
      <c r="N260" s="79">
        <v>44456</v>
      </c>
      <c r="O260" s="80">
        <v>0</v>
      </c>
      <c r="P260" s="80">
        <v>0</v>
      </c>
      <c r="Q260" s="81">
        <v>0</v>
      </c>
      <c r="R260" s="80">
        <v>0</v>
      </c>
      <c r="S260" s="80">
        <v>0</v>
      </c>
      <c r="T260" s="80">
        <v>0</v>
      </c>
      <c r="U260" s="80">
        <v>0</v>
      </c>
      <c r="V260" s="80">
        <v>0</v>
      </c>
    </row>
    <row r="261" spans="1:22" x14ac:dyDescent="0.25">
      <c r="A261">
        <f>COUNTIF('Value Matchup'!$D$356:$D$423,B261)</f>
        <v>0</v>
      </c>
      <c r="B261" t="s">
        <v>348</v>
      </c>
      <c r="C261" s="60"/>
      <c r="D261" s="60"/>
      <c r="E261" s="60"/>
      <c r="F261" s="60"/>
      <c r="G261" s="60"/>
      <c r="H261" s="60"/>
      <c r="M261" t="s">
        <v>952</v>
      </c>
      <c r="N261" s="79" t="s">
        <v>517</v>
      </c>
      <c r="O261" s="80">
        <v>0</v>
      </c>
      <c r="P261" s="80">
        <v>0</v>
      </c>
      <c r="Q261" s="81">
        <v>0</v>
      </c>
      <c r="R261" s="80">
        <v>0</v>
      </c>
      <c r="S261" s="80">
        <v>0</v>
      </c>
      <c r="T261" s="80">
        <v>0</v>
      </c>
      <c r="U261" s="80">
        <v>0</v>
      </c>
      <c r="V261" s="80">
        <v>0</v>
      </c>
    </row>
    <row r="262" spans="1:22" x14ac:dyDescent="0.25">
      <c r="A262">
        <f>COUNTIF('Value Matchup'!$D$356:$D$423,B262)</f>
        <v>0</v>
      </c>
      <c r="B262" s="56" t="s">
        <v>349</v>
      </c>
      <c r="C262" s="60"/>
      <c r="D262" s="60"/>
      <c r="E262" s="60"/>
      <c r="F262" s="60"/>
      <c r="G262" s="60"/>
      <c r="H262" s="60"/>
      <c r="M262" t="s">
        <v>953</v>
      </c>
      <c r="N262" s="79">
        <v>44362</v>
      </c>
      <c r="O262" s="80">
        <v>0</v>
      </c>
      <c r="P262" s="80">
        <v>0</v>
      </c>
      <c r="Q262" s="81">
        <v>0</v>
      </c>
      <c r="R262" s="80">
        <v>0</v>
      </c>
      <c r="S262" s="80">
        <v>0</v>
      </c>
      <c r="T262" s="80">
        <v>0</v>
      </c>
      <c r="U262" s="80">
        <v>0</v>
      </c>
      <c r="V262" s="80">
        <v>0</v>
      </c>
    </row>
    <row r="263" spans="1:22" x14ac:dyDescent="0.25">
      <c r="A263">
        <f>COUNTIF('Value Matchup'!$D$356:$D$423,B263)</f>
        <v>0</v>
      </c>
      <c r="B263" t="s">
        <v>87</v>
      </c>
      <c r="C263" s="60">
        <f>Q258</f>
        <v>0.22</v>
      </c>
      <c r="D263" s="60">
        <f t="shared" ref="D263:H263" si="51">R258</f>
        <v>0.08</v>
      </c>
      <c r="E263" s="60">
        <f t="shared" si="51"/>
        <v>0.02</v>
      </c>
      <c r="F263" s="60">
        <f t="shared" si="51"/>
        <v>0.01</v>
      </c>
      <c r="G263" s="60">
        <f t="shared" si="51"/>
        <v>0</v>
      </c>
      <c r="H263" s="60">
        <f t="shared" si="51"/>
        <v>0</v>
      </c>
      <c r="M263" t="s">
        <v>954</v>
      </c>
      <c r="N263" s="79">
        <v>44213</v>
      </c>
      <c r="O263" s="80">
        <v>0</v>
      </c>
      <c r="P263" s="80">
        <v>0</v>
      </c>
      <c r="Q263" s="81">
        <v>0</v>
      </c>
      <c r="R263" s="80">
        <v>0</v>
      </c>
      <c r="S263" s="80">
        <v>0</v>
      </c>
      <c r="T263" s="80">
        <v>0</v>
      </c>
      <c r="U263" s="80">
        <v>0</v>
      </c>
      <c r="V263" s="80">
        <v>0</v>
      </c>
    </row>
    <row r="264" spans="1:22" x14ac:dyDescent="0.25">
      <c r="A264">
        <f>COUNTIF('Value Matchup'!$D$356:$D$423,B264)</f>
        <v>0</v>
      </c>
      <c r="B264" s="56" t="s">
        <v>350</v>
      </c>
      <c r="C264" s="60"/>
      <c r="D264" s="60"/>
      <c r="E264" s="60"/>
      <c r="F264" s="60"/>
      <c r="G264" s="60"/>
      <c r="H264" s="60"/>
      <c r="M264" t="s">
        <v>955</v>
      </c>
      <c r="N264" s="79">
        <v>44334</v>
      </c>
      <c r="O264" s="80">
        <v>0</v>
      </c>
      <c r="P264" s="80">
        <v>0</v>
      </c>
      <c r="Q264" s="81">
        <v>0</v>
      </c>
      <c r="R264" s="80">
        <v>0</v>
      </c>
      <c r="S264" s="80">
        <v>0</v>
      </c>
      <c r="T264" s="80">
        <v>0</v>
      </c>
      <c r="U264" s="80">
        <v>0</v>
      </c>
      <c r="V264" s="80">
        <v>0</v>
      </c>
    </row>
    <row r="265" spans="1:22" x14ac:dyDescent="0.25">
      <c r="A265">
        <f>COUNTIF('Value Matchup'!$D$356:$D$423,B265)</f>
        <v>0</v>
      </c>
      <c r="B265" t="s">
        <v>351</v>
      </c>
      <c r="C265" s="60"/>
      <c r="D265" s="60"/>
      <c r="E265" s="60"/>
      <c r="F265" s="60"/>
      <c r="G265" s="60"/>
      <c r="H265" s="60"/>
      <c r="M265" t="s">
        <v>956</v>
      </c>
      <c r="N265" s="79" t="s">
        <v>528</v>
      </c>
      <c r="O265" s="80">
        <v>0</v>
      </c>
      <c r="P265" s="80">
        <v>0</v>
      </c>
      <c r="Q265" s="81">
        <v>0</v>
      </c>
      <c r="R265" s="80">
        <v>0</v>
      </c>
      <c r="S265" s="80">
        <v>0</v>
      </c>
      <c r="T265" s="80">
        <v>0</v>
      </c>
      <c r="U265" s="80">
        <v>0</v>
      </c>
      <c r="V265" s="80">
        <v>0</v>
      </c>
    </row>
    <row r="266" spans="1:22" x14ac:dyDescent="0.25">
      <c r="A266">
        <f>COUNTIF('Value Matchup'!$D$356:$D$423,B266)</f>
        <v>0</v>
      </c>
      <c r="B266" s="56" t="s">
        <v>352</v>
      </c>
      <c r="C266" s="60"/>
      <c r="D266" s="60"/>
      <c r="E266" s="60"/>
      <c r="F266" s="60"/>
      <c r="G266" s="60"/>
      <c r="H266" s="60"/>
      <c r="M266" t="s">
        <v>957</v>
      </c>
      <c r="N266" s="79" t="s">
        <v>536</v>
      </c>
      <c r="O266" s="80">
        <v>0</v>
      </c>
      <c r="P266" s="80">
        <v>0</v>
      </c>
      <c r="Q266" s="81">
        <v>0</v>
      </c>
      <c r="R266" s="80">
        <v>0</v>
      </c>
      <c r="S266" s="80">
        <v>0</v>
      </c>
      <c r="T266" s="80">
        <v>0</v>
      </c>
      <c r="U266" s="80">
        <v>0</v>
      </c>
      <c r="V266" s="80">
        <v>0</v>
      </c>
    </row>
    <row r="267" spans="1:22" x14ac:dyDescent="0.25">
      <c r="A267">
        <f>COUNTIF('Value Matchup'!$D$356:$D$423,B267)</f>
        <v>0</v>
      </c>
      <c r="B267" t="s">
        <v>353</v>
      </c>
      <c r="C267" s="60"/>
      <c r="D267" s="60"/>
      <c r="E267" s="60"/>
      <c r="F267" s="60"/>
      <c r="G267" s="60"/>
      <c r="H267" s="60"/>
      <c r="M267" t="s">
        <v>958</v>
      </c>
      <c r="N267" s="79">
        <v>44452</v>
      </c>
      <c r="O267" s="80">
        <v>0</v>
      </c>
      <c r="P267" s="80">
        <v>0</v>
      </c>
      <c r="Q267" s="81">
        <v>0</v>
      </c>
      <c r="R267" s="80">
        <v>0</v>
      </c>
      <c r="S267" s="80">
        <v>0</v>
      </c>
      <c r="T267" s="80">
        <v>0</v>
      </c>
      <c r="U267" s="80">
        <v>0</v>
      </c>
      <c r="V267" s="80">
        <v>0</v>
      </c>
    </row>
    <row r="268" spans="1:22" x14ac:dyDescent="0.25">
      <c r="A268">
        <f>COUNTIF('Value Matchup'!$D$356:$D$423,B268)</f>
        <v>0</v>
      </c>
      <c r="B268" s="56" t="s">
        <v>354</v>
      </c>
      <c r="C268" s="60"/>
      <c r="D268" s="60"/>
      <c r="E268" s="60"/>
      <c r="F268" s="60"/>
      <c r="G268" s="60"/>
      <c r="H268" s="60"/>
      <c r="M268" t="s">
        <v>959</v>
      </c>
      <c r="N268" s="79">
        <v>44426</v>
      </c>
      <c r="O268" s="80">
        <v>0</v>
      </c>
      <c r="P268" s="80">
        <v>0</v>
      </c>
      <c r="Q268" s="81">
        <v>0</v>
      </c>
      <c r="R268" s="80">
        <v>0</v>
      </c>
      <c r="S268" s="80">
        <v>0</v>
      </c>
      <c r="T268" s="80">
        <v>0</v>
      </c>
      <c r="U268" s="80">
        <v>0</v>
      </c>
      <c r="V268" s="80">
        <v>0</v>
      </c>
    </row>
    <row r="269" spans="1:22" x14ac:dyDescent="0.25">
      <c r="A269">
        <f>COUNTIF('Value Matchup'!$D$356:$D$423,B269)</f>
        <v>0</v>
      </c>
      <c r="B269" t="s">
        <v>355</v>
      </c>
      <c r="C269" s="60"/>
      <c r="D269" s="60"/>
      <c r="E269" s="60"/>
      <c r="F269" s="60"/>
      <c r="G269" s="60"/>
      <c r="H269" s="60"/>
      <c r="K269">
        <v>6</v>
      </c>
      <c r="L269">
        <v>22</v>
      </c>
      <c r="M269" t="s">
        <v>960</v>
      </c>
      <c r="N269" s="79" t="s">
        <v>500</v>
      </c>
      <c r="O269" s="80">
        <v>1</v>
      </c>
      <c r="P269" s="80">
        <v>1</v>
      </c>
      <c r="Q269" s="81">
        <v>0.65</v>
      </c>
      <c r="R269" s="80">
        <v>0.31</v>
      </c>
      <c r="S269" s="80">
        <v>0.13</v>
      </c>
      <c r="T269" s="80">
        <v>0.06</v>
      </c>
      <c r="U269" s="80">
        <v>0.02</v>
      </c>
      <c r="V269" s="80">
        <v>0.01</v>
      </c>
    </row>
    <row r="270" spans="1:22" x14ac:dyDescent="0.25">
      <c r="A270">
        <f>COUNTIF('Value Matchup'!$D$356:$D$423,B270)</f>
        <v>0</v>
      </c>
      <c r="B270" s="56" t="s">
        <v>356</v>
      </c>
      <c r="C270" s="60"/>
      <c r="D270" s="60"/>
      <c r="E270" s="60"/>
      <c r="F270" s="60"/>
      <c r="G270" s="60"/>
      <c r="H270" s="60"/>
      <c r="M270" t="s">
        <v>961</v>
      </c>
      <c r="N270" s="79">
        <v>44544</v>
      </c>
      <c r="O270" s="80">
        <v>0</v>
      </c>
      <c r="P270" s="80">
        <v>0</v>
      </c>
      <c r="Q270" s="81">
        <v>0</v>
      </c>
      <c r="R270" s="80">
        <v>0</v>
      </c>
      <c r="S270" s="80">
        <v>0</v>
      </c>
      <c r="T270" s="80">
        <v>0</v>
      </c>
      <c r="U270" s="80">
        <v>0</v>
      </c>
      <c r="V270" s="80">
        <v>0</v>
      </c>
    </row>
    <row r="271" spans="1:22" x14ac:dyDescent="0.25">
      <c r="A271">
        <f>COUNTIF('Value Matchup'!$D$356:$D$423,B271)</f>
        <v>0</v>
      </c>
      <c r="B271" t="s">
        <v>357</v>
      </c>
      <c r="C271" s="60"/>
      <c r="D271" s="60"/>
      <c r="E271" s="60"/>
      <c r="F271" s="60"/>
      <c r="G271" s="60"/>
      <c r="H271" s="60"/>
      <c r="M271" t="s">
        <v>962</v>
      </c>
      <c r="N271" s="79">
        <v>44419</v>
      </c>
      <c r="O271" s="80">
        <v>0</v>
      </c>
      <c r="P271" s="80">
        <v>0</v>
      </c>
      <c r="Q271" s="81">
        <v>0</v>
      </c>
      <c r="R271" s="80">
        <v>0</v>
      </c>
      <c r="S271" s="80">
        <v>0</v>
      </c>
      <c r="T271" s="80">
        <v>0</v>
      </c>
      <c r="U271" s="80">
        <v>0</v>
      </c>
      <c r="V271" s="80">
        <v>0</v>
      </c>
    </row>
    <row r="272" spans="1:22" x14ac:dyDescent="0.25">
      <c r="A272">
        <f>COUNTIF('Value Matchup'!$D$356:$D$423,B272)</f>
        <v>0</v>
      </c>
      <c r="B272" s="56" t="s">
        <v>358</v>
      </c>
      <c r="C272" s="60"/>
      <c r="D272" s="60"/>
      <c r="E272" s="60"/>
      <c r="F272" s="60"/>
      <c r="G272" s="60"/>
      <c r="H272" s="60"/>
      <c r="M272" t="s">
        <v>963</v>
      </c>
      <c r="N272" s="79">
        <v>44505</v>
      </c>
      <c r="O272" s="80">
        <v>0</v>
      </c>
      <c r="P272" s="80">
        <v>0</v>
      </c>
      <c r="Q272" s="81">
        <v>0</v>
      </c>
      <c r="R272" s="80">
        <v>0</v>
      </c>
      <c r="S272" s="80">
        <v>0</v>
      </c>
      <c r="T272" s="80">
        <v>0</v>
      </c>
      <c r="U272" s="80">
        <v>0</v>
      </c>
      <c r="V272" s="80">
        <v>0</v>
      </c>
    </row>
    <row r="273" spans="1:22" x14ac:dyDescent="0.25">
      <c r="A273">
        <f>COUNTIF('Value Matchup'!$D$356:$D$423,B273)</f>
        <v>0</v>
      </c>
      <c r="B273" t="s">
        <v>359</v>
      </c>
      <c r="C273" s="60"/>
      <c r="D273" s="60"/>
      <c r="E273" s="60"/>
      <c r="F273" s="60"/>
      <c r="G273" s="60"/>
      <c r="H273" s="60"/>
      <c r="M273" t="s">
        <v>964</v>
      </c>
      <c r="N273" s="79">
        <v>44425</v>
      </c>
      <c r="O273" s="80">
        <v>0</v>
      </c>
      <c r="P273" s="80">
        <v>0</v>
      </c>
      <c r="Q273" s="81">
        <v>0</v>
      </c>
      <c r="R273" s="80">
        <v>0</v>
      </c>
      <c r="S273" s="80">
        <v>0</v>
      </c>
      <c r="T273" s="80">
        <v>0</v>
      </c>
      <c r="U273" s="80">
        <v>0</v>
      </c>
      <c r="V273" s="80">
        <v>0</v>
      </c>
    </row>
    <row r="274" spans="1:22" x14ac:dyDescent="0.25">
      <c r="A274">
        <f>COUNTIF('Value Matchup'!$D$356:$D$423,B274)</f>
        <v>0</v>
      </c>
      <c r="B274" s="56" t="s">
        <v>360</v>
      </c>
      <c r="C274" s="60"/>
      <c r="D274" s="60"/>
      <c r="E274" s="60"/>
      <c r="F274" s="60"/>
      <c r="G274" s="60"/>
      <c r="H274" s="60"/>
      <c r="M274" t="s">
        <v>965</v>
      </c>
      <c r="N274" s="79" t="s">
        <v>567</v>
      </c>
      <c r="O274" s="80">
        <v>0</v>
      </c>
      <c r="P274" s="80">
        <v>0</v>
      </c>
      <c r="Q274" s="81">
        <v>0</v>
      </c>
      <c r="R274" s="80">
        <v>0</v>
      </c>
      <c r="S274" s="80">
        <v>0</v>
      </c>
      <c r="T274" s="80">
        <v>0</v>
      </c>
      <c r="U274" s="80">
        <v>0</v>
      </c>
      <c r="V274" s="80">
        <v>0</v>
      </c>
    </row>
    <row r="275" spans="1:22" x14ac:dyDescent="0.25">
      <c r="A275">
        <f>COUNTIF('Value Matchup'!$D$356:$D$423,B275)</f>
        <v>0</v>
      </c>
      <c r="B275" t="s">
        <v>361</v>
      </c>
      <c r="C275" s="60"/>
      <c r="D275" s="60"/>
      <c r="E275" s="60"/>
      <c r="F275" s="60"/>
      <c r="G275" s="60"/>
      <c r="H275" s="60"/>
      <c r="K275">
        <v>9</v>
      </c>
      <c r="L275">
        <v>36</v>
      </c>
      <c r="M275" t="s">
        <v>966</v>
      </c>
      <c r="N275" s="79" t="s">
        <v>583</v>
      </c>
      <c r="O275" s="80">
        <v>0.99</v>
      </c>
      <c r="P275" s="80">
        <v>0.96</v>
      </c>
      <c r="Q275" s="81">
        <v>0.45</v>
      </c>
      <c r="R275" s="80">
        <v>0.14000000000000001</v>
      </c>
      <c r="S275" s="80">
        <v>0.06</v>
      </c>
      <c r="T275" s="80">
        <v>0.02</v>
      </c>
      <c r="U275" s="80">
        <v>0.01</v>
      </c>
      <c r="V275" s="80">
        <v>0</v>
      </c>
    </row>
    <row r="276" spans="1:22" x14ac:dyDescent="0.25">
      <c r="A276">
        <f>COUNTIF('Value Matchup'!$D$356:$D$423,B276)</f>
        <v>0</v>
      </c>
      <c r="B276" s="56" t="s">
        <v>362</v>
      </c>
      <c r="C276" s="60"/>
      <c r="D276" s="60"/>
      <c r="E276" s="60"/>
      <c r="F276" s="60"/>
      <c r="G276" s="60"/>
      <c r="H276" s="60"/>
      <c r="M276" t="s">
        <v>967</v>
      </c>
      <c r="N276" s="79">
        <v>44449</v>
      </c>
      <c r="O276" s="80">
        <v>0</v>
      </c>
      <c r="P276" s="80">
        <v>0</v>
      </c>
      <c r="Q276" s="81">
        <v>0</v>
      </c>
      <c r="R276" s="80">
        <v>0</v>
      </c>
      <c r="S276" s="80">
        <v>0</v>
      </c>
      <c r="T276" s="80">
        <v>0</v>
      </c>
      <c r="U276" s="80">
        <v>0</v>
      </c>
      <c r="V276" s="80">
        <v>0</v>
      </c>
    </row>
    <row r="277" spans="1:22" x14ac:dyDescent="0.25">
      <c r="A277">
        <f>COUNTIF('Value Matchup'!$D$356:$D$423,B277)</f>
        <v>0</v>
      </c>
      <c r="B277" t="s">
        <v>363</v>
      </c>
      <c r="C277" s="60"/>
      <c r="D277" s="60"/>
      <c r="E277" s="60"/>
      <c r="F277" s="60"/>
      <c r="G277" s="60"/>
      <c r="H277" s="60"/>
      <c r="M277" t="s">
        <v>968</v>
      </c>
      <c r="N277" s="79">
        <v>44363</v>
      </c>
      <c r="O277" s="80">
        <v>0</v>
      </c>
      <c r="P277" s="80">
        <v>0</v>
      </c>
      <c r="Q277" s="81">
        <v>0</v>
      </c>
      <c r="R277" s="80">
        <v>0</v>
      </c>
      <c r="S277" s="80">
        <v>0</v>
      </c>
      <c r="T277" s="80">
        <v>0</v>
      </c>
      <c r="U277" s="80">
        <v>0</v>
      </c>
      <c r="V277" s="80">
        <v>0</v>
      </c>
    </row>
    <row r="278" spans="1:22" x14ac:dyDescent="0.25">
      <c r="A278">
        <f>COUNTIF('Value Matchup'!$D$356:$D$423,B278)</f>
        <v>0</v>
      </c>
      <c r="B278" s="56" t="s">
        <v>364</v>
      </c>
      <c r="C278" s="60"/>
      <c r="D278" s="60"/>
      <c r="E278" s="60"/>
      <c r="F278" s="60"/>
      <c r="G278" s="60"/>
      <c r="H278" s="60"/>
      <c r="M278" t="s">
        <v>969</v>
      </c>
      <c r="N278" s="79" t="s">
        <v>569</v>
      </c>
      <c r="O278" s="80">
        <v>0</v>
      </c>
      <c r="P278" s="80">
        <v>0</v>
      </c>
      <c r="Q278" s="81">
        <v>0</v>
      </c>
      <c r="R278" s="80">
        <v>0</v>
      </c>
      <c r="S278" s="80">
        <v>0</v>
      </c>
      <c r="T278" s="80">
        <v>0</v>
      </c>
      <c r="U278" s="80">
        <v>0</v>
      </c>
      <c r="V278" s="80">
        <v>0</v>
      </c>
    </row>
    <row r="279" spans="1:22" x14ac:dyDescent="0.25">
      <c r="A279">
        <f>COUNTIF('Value Matchup'!$D$356:$D$423,B279)</f>
        <v>1</v>
      </c>
      <c r="B279" t="s">
        <v>365</v>
      </c>
      <c r="C279" s="60">
        <f>Q275</f>
        <v>0.45</v>
      </c>
      <c r="D279" s="60">
        <f t="shared" ref="D279:H279" si="52">R275</f>
        <v>0.14000000000000001</v>
      </c>
      <c r="E279" s="60">
        <f t="shared" si="52"/>
        <v>0.06</v>
      </c>
      <c r="F279" s="60">
        <f t="shared" si="52"/>
        <v>0.02</v>
      </c>
      <c r="G279" s="60">
        <f t="shared" si="52"/>
        <v>0.01</v>
      </c>
      <c r="H279" s="60">
        <f t="shared" si="52"/>
        <v>0</v>
      </c>
      <c r="M279" t="s">
        <v>970</v>
      </c>
      <c r="N279" s="79" t="s">
        <v>521</v>
      </c>
      <c r="O279" s="80">
        <v>0</v>
      </c>
      <c r="P279" s="80">
        <v>0</v>
      </c>
      <c r="Q279" s="81">
        <v>0</v>
      </c>
      <c r="R279" s="80">
        <v>0</v>
      </c>
      <c r="S279" s="80">
        <v>0</v>
      </c>
      <c r="T279" s="80">
        <v>0</v>
      </c>
      <c r="U279" s="80">
        <v>0</v>
      </c>
      <c r="V279" s="80">
        <v>0</v>
      </c>
    </row>
    <row r="280" spans="1:22" x14ac:dyDescent="0.25">
      <c r="A280">
        <f>COUNTIF('Value Matchup'!$D$356:$D$423,B280)</f>
        <v>0</v>
      </c>
      <c r="B280" s="56" t="s">
        <v>366</v>
      </c>
      <c r="C280" s="60"/>
      <c r="D280" s="60"/>
      <c r="E280" s="60"/>
      <c r="F280" s="60"/>
      <c r="G280" s="60"/>
      <c r="H280" s="60"/>
      <c r="M280" t="s">
        <v>971</v>
      </c>
      <c r="N280" s="79" t="s">
        <v>580</v>
      </c>
      <c r="O280" s="80">
        <v>0</v>
      </c>
      <c r="P280" s="80">
        <v>0</v>
      </c>
      <c r="Q280" s="81">
        <v>0</v>
      </c>
      <c r="R280" s="80">
        <v>0</v>
      </c>
      <c r="S280" s="80">
        <v>0</v>
      </c>
      <c r="T280" s="80">
        <v>0</v>
      </c>
      <c r="U280" s="80">
        <v>0</v>
      </c>
      <c r="V280" s="80">
        <v>0</v>
      </c>
    </row>
    <row r="281" spans="1:22" x14ac:dyDescent="0.25">
      <c r="A281">
        <f>COUNTIF('Value Matchup'!$D$356:$D$423,B281)</f>
        <v>0</v>
      </c>
      <c r="B281" t="s">
        <v>367</v>
      </c>
      <c r="C281" s="60"/>
      <c r="D281" s="60"/>
      <c r="E281" s="60"/>
      <c r="F281" s="60"/>
      <c r="G281" s="60"/>
      <c r="H281" s="60"/>
      <c r="M281" t="s">
        <v>972</v>
      </c>
      <c r="N281" s="79">
        <v>44514</v>
      </c>
      <c r="O281" s="80">
        <v>0</v>
      </c>
      <c r="P281" s="80">
        <v>0</v>
      </c>
      <c r="Q281" s="81">
        <v>0</v>
      </c>
      <c r="R281" s="80">
        <v>0</v>
      </c>
      <c r="S281" s="80">
        <v>0</v>
      </c>
      <c r="T281" s="80">
        <v>0</v>
      </c>
      <c r="U281" s="80">
        <v>0</v>
      </c>
      <c r="V281" s="80">
        <v>0</v>
      </c>
    </row>
    <row r="282" spans="1:22" x14ac:dyDescent="0.25">
      <c r="A282">
        <f>COUNTIF('Value Matchup'!$D$356:$D$423,B282)</f>
        <v>0</v>
      </c>
      <c r="B282" s="56" t="s">
        <v>368</v>
      </c>
      <c r="C282" s="60"/>
      <c r="D282" s="60"/>
      <c r="E282" s="60"/>
      <c r="F282" s="60"/>
      <c r="G282" s="60"/>
      <c r="H282" s="60"/>
      <c r="M282" t="s">
        <v>973</v>
      </c>
      <c r="N282" s="79">
        <v>44453</v>
      </c>
      <c r="O282" s="80">
        <v>0</v>
      </c>
      <c r="P282" s="80">
        <v>0</v>
      </c>
      <c r="Q282" s="81">
        <v>0</v>
      </c>
      <c r="R282" s="80">
        <v>0</v>
      </c>
      <c r="S282" s="80">
        <v>0</v>
      </c>
      <c r="T282" s="80">
        <v>0</v>
      </c>
      <c r="U282" s="80">
        <v>0</v>
      </c>
      <c r="V282" s="80">
        <v>0</v>
      </c>
    </row>
    <row r="283" spans="1:22" x14ac:dyDescent="0.25">
      <c r="A283">
        <f>COUNTIF('Value Matchup'!$D$356:$D$423,B283)</f>
        <v>0</v>
      </c>
      <c r="B283" t="s">
        <v>369</v>
      </c>
      <c r="C283" s="60"/>
      <c r="D283" s="60"/>
      <c r="E283" s="60"/>
      <c r="F283" s="60"/>
      <c r="G283" s="60"/>
      <c r="H283" s="60"/>
      <c r="K283">
        <v>11</v>
      </c>
      <c r="L283">
        <v>43</v>
      </c>
      <c r="M283" t="s">
        <v>974</v>
      </c>
      <c r="N283" s="79" t="s">
        <v>550</v>
      </c>
      <c r="O283" s="80">
        <v>0.87</v>
      </c>
      <c r="P283" s="80">
        <v>0.79</v>
      </c>
      <c r="Q283" s="81">
        <v>0.33</v>
      </c>
      <c r="R283" s="80">
        <v>0.11</v>
      </c>
      <c r="S283" s="80">
        <v>0.04</v>
      </c>
      <c r="T283" s="80">
        <v>0.01</v>
      </c>
      <c r="U283" s="80">
        <v>0</v>
      </c>
      <c r="V283" s="80">
        <v>0</v>
      </c>
    </row>
    <row r="284" spans="1:22" x14ac:dyDescent="0.25">
      <c r="A284">
        <f>COUNTIF('Value Matchup'!$D$356:$D$423,B284)</f>
        <v>0</v>
      </c>
      <c r="B284" s="56" t="s">
        <v>370</v>
      </c>
      <c r="C284" s="60"/>
      <c r="D284" s="60"/>
      <c r="E284" s="60"/>
      <c r="F284" s="60"/>
      <c r="G284" s="60"/>
      <c r="H284" s="60"/>
      <c r="M284" t="s">
        <v>975</v>
      </c>
      <c r="N284" s="79">
        <v>44479</v>
      </c>
      <c r="O284" s="80">
        <v>0</v>
      </c>
      <c r="P284" s="80">
        <v>0</v>
      </c>
      <c r="Q284" s="81">
        <v>0</v>
      </c>
      <c r="R284" s="80">
        <v>0</v>
      </c>
      <c r="S284" s="80">
        <v>0</v>
      </c>
      <c r="T284" s="80">
        <v>0</v>
      </c>
      <c r="U284" s="80">
        <v>0</v>
      </c>
      <c r="V284" s="80">
        <v>0</v>
      </c>
    </row>
    <row r="285" spans="1:22" x14ac:dyDescent="0.25">
      <c r="A285">
        <f>COUNTIF('Value Matchup'!$D$356:$D$423,B285)</f>
        <v>0</v>
      </c>
      <c r="B285" t="s">
        <v>371</v>
      </c>
      <c r="C285" s="60"/>
      <c r="D285" s="60"/>
      <c r="E285" s="60"/>
      <c r="F285" s="60"/>
      <c r="G285" s="60"/>
      <c r="H285" s="60"/>
      <c r="M285" t="s">
        <v>976</v>
      </c>
      <c r="N285" s="79">
        <v>44327</v>
      </c>
      <c r="O285" s="80">
        <v>0</v>
      </c>
      <c r="P285" s="80">
        <v>0</v>
      </c>
      <c r="Q285" s="81">
        <v>0</v>
      </c>
      <c r="R285" s="80">
        <v>0</v>
      </c>
      <c r="S285" s="80">
        <v>0</v>
      </c>
      <c r="T285" s="80">
        <v>0</v>
      </c>
      <c r="U285" s="80">
        <v>0</v>
      </c>
      <c r="V285" s="80">
        <v>0</v>
      </c>
    </row>
    <row r="286" spans="1:22" x14ac:dyDescent="0.25">
      <c r="A286">
        <f>COUNTIF('Value Matchup'!$D$356:$D$423,B286)</f>
        <v>0</v>
      </c>
      <c r="B286" s="56" t="s">
        <v>90</v>
      </c>
      <c r="C286" s="60"/>
      <c r="D286" s="60"/>
      <c r="E286" s="60"/>
      <c r="F286" s="60"/>
      <c r="G286" s="60"/>
      <c r="H286" s="60"/>
      <c r="M286" t="s">
        <v>977</v>
      </c>
      <c r="N286" s="79">
        <v>44424</v>
      </c>
      <c r="O286" s="80">
        <v>0</v>
      </c>
      <c r="P286" s="80">
        <v>0</v>
      </c>
      <c r="Q286" s="81">
        <v>0</v>
      </c>
      <c r="R286" s="80">
        <v>0</v>
      </c>
      <c r="S286" s="80">
        <v>0</v>
      </c>
      <c r="T286" s="80">
        <v>0</v>
      </c>
      <c r="U286" s="80">
        <v>0</v>
      </c>
      <c r="V286" s="80">
        <v>0</v>
      </c>
    </row>
    <row r="287" spans="1:22" x14ac:dyDescent="0.25">
      <c r="A287">
        <f>COUNTIF('Value Matchup'!$D$356:$D$423,B287)</f>
        <v>1</v>
      </c>
      <c r="B287" t="s">
        <v>86</v>
      </c>
      <c r="C287" s="60">
        <f>Q283</f>
        <v>0.33</v>
      </c>
      <c r="D287" s="60">
        <f t="shared" ref="D287:H287" si="53">R283</f>
        <v>0.11</v>
      </c>
      <c r="E287" s="60">
        <f t="shared" si="53"/>
        <v>0.04</v>
      </c>
      <c r="F287" s="60">
        <f t="shared" si="53"/>
        <v>0.01</v>
      </c>
      <c r="G287" s="60">
        <f t="shared" si="53"/>
        <v>0</v>
      </c>
      <c r="H287" s="60">
        <f t="shared" si="53"/>
        <v>0</v>
      </c>
      <c r="M287" t="s">
        <v>978</v>
      </c>
      <c r="N287" s="79">
        <v>44305</v>
      </c>
      <c r="O287" s="80">
        <v>0</v>
      </c>
      <c r="P287" s="80">
        <v>0</v>
      </c>
      <c r="Q287" s="81">
        <v>0</v>
      </c>
      <c r="R287" s="80">
        <v>0</v>
      </c>
      <c r="S287" s="80">
        <v>0</v>
      </c>
      <c r="T287" s="80">
        <v>0</v>
      </c>
      <c r="U287" s="80">
        <v>0</v>
      </c>
      <c r="V287" s="80">
        <v>0</v>
      </c>
    </row>
    <row r="288" spans="1:22" x14ac:dyDescent="0.25">
      <c r="A288">
        <f>COUNTIF('Value Matchup'!$D$356:$D$423,B288)</f>
        <v>0</v>
      </c>
      <c r="B288" s="56" t="s">
        <v>372</v>
      </c>
      <c r="C288" s="60"/>
      <c r="D288" s="60"/>
      <c r="E288" s="60"/>
      <c r="F288" s="60"/>
      <c r="G288" s="60"/>
      <c r="H288" s="60"/>
      <c r="M288" t="s">
        <v>979</v>
      </c>
      <c r="N288" s="79">
        <v>44338</v>
      </c>
      <c r="O288" s="80">
        <v>0</v>
      </c>
      <c r="P288" s="80">
        <v>0</v>
      </c>
      <c r="Q288" s="81">
        <v>0</v>
      </c>
      <c r="R288" s="80">
        <v>0</v>
      </c>
      <c r="S288" s="80">
        <v>0</v>
      </c>
      <c r="T288" s="80">
        <v>0</v>
      </c>
      <c r="U288" s="80">
        <v>0</v>
      </c>
      <c r="V288" s="80">
        <v>0</v>
      </c>
    </row>
    <row r="289" spans="1:22" x14ac:dyDescent="0.25">
      <c r="A289">
        <f>COUNTIF('Value Matchup'!$D$356:$D$423,B289)</f>
        <v>0</v>
      </c>
      <c r="B289" t="s">
        <v>373</v>
      </c>
      <c r="C289" s="60"/>
      <c r="D289" s="60"/>
      <c r="E289" s="60"/>
      <c r="F289" s="60"/>
      <c r="G289" s="60"/>
      <c r="H289" s="60"/>
      <c r="K289">
        <v>5</v>
      </c>
      <c r="L289">
        <v>18</v>
      </c>
      <c r="M289" t="s">
        <v>980</v>
      </c>
      <c r="N289" s="79" t="s">
        <v>527</v>
      </c>
      <c r="O289" s="80">
        <v>1</v>
      </c>
      <c r="P289" s="80">
        <v>1</v>
      </c>
      <c r="Q289" s="81">
        <v>0.72</v>
      </c>
      <c r="R289" s="80">
        <v>0.38</v>
      </c>
      <c r="S289" s="80">
        <v>0.15</v>
      </c>
      <c r="T289" s="80">
        <v>7.0000000000000007E-2</v>
      </c>
      <c r="U289" s="80">
        <v>0.03</v>
      </c>
      <c r="V289" s="80">
        <v>0.01</v>
      </c>
    </row>
    <row r="290" spans="1:22" x14ac:dyDescent="0.25">
      <c r="A290">
        <f>COUNTIF('Value Matchup'!$D$356:$D$423,B290)</f>
        <v>1</v>
      </c>
      <c r="B290" s="56" t="s">
        <v>374</v>
      </c>
      <c r="C290" s="60">
        <f>Q289</f>
        <v>0.72</v>
      </c>
      <c r="D290" s="60">
        <f t="shared" ref="D290:H290" si="54">R289</f>
        <v>0.38</v>
      </c>
      <c r="E290" s="60">
        <f t="shared" si="54"/>
        <v>0.15</v>
      </c>
      <c r="F290" s="60">
        <f t="shared" si="54"/>
        <v>7.0000000000000007E-2</v>
      </c>
      <c r="G290" s="60">
        <f t="shared" si="54"/>
        <v>0.03</v>
      </c>
      <c r="H290" s="60">
        <f t="shared" si="54"/>
        <v>0.01</v>
      </c>
      <c r="M290" t="s">
        <v>981</v>
      </c>
      <c r="N290" s="79">
        <v>44418</v>
      </c>
      <c r="O290" s="80">
        <v>0</v>
      </c>
      <c r="P290" s="80">
        <v>0</v>
      </c>
      <c r="Q290" s="81">
        <v>0</v>
      </c>
      <c r="R290" s="80">
        <v>0</v>
      </c>
      <c r="S290" s="80">
        <v>0</v>
      </c>
      <c r="T290" s="80">
        <v>0</v>
      </c>
      <c r="U290" s="80">
        <v>0</v>
      </c>
      <c r="V290" s="80">
        <v>0</v>
      </c>
    </row>
    <row r="291" spans="1:22" x14ac:dyDescent="0.25">
      <c r="A291">
        <f>COUNTIF('Value Matchup'!$D$356:$D$423,B291)</f>
        <v>0</v>
      </c>
      <c r="B291" t="s">
        <v>375</v>
      </c>
      <c r="C291" s="60"/>
      <c r="D291" s="60"/>
      <c r="E291" s="60"/>
      <c r="F291" s="60"/>
      <c r="G291" s="60"/>
      <c r="H291" s="60"/>
      <c r="M291" t="s">
        <v>982</v>
      </c>
      <c r="N291" s="79">
        <v>44335</v>
      </c>
      <c r="O291" s="80">
        <v>0</v>
      </c>
      <c r="P291" s="80">
        <v>0</v>
      </c>
      <c r="Q291" s="81">
        <v>0</v>
      </c>
      <c r="R291" s="80">
        <v>0</v>
      </c>
      <c r="S291" s="80">
        <v>0</v>
      </c>
      <c r="T291" s="80">
        <v>0</v>
      </c>
      <c r="U291" s="80">
        <v>0</v>
      </c>
      <c r="V291" s="80">
        <v>0</v>
      </c>
    </row>
    <row r="292" spans="1:22" x14ac:dyDescent="0.25">
      <c r="A292">
        <f>COUNTIF('Value Matchup'!$D$356:$D$423,B292)</f>
        <v>0</v>
      </c>
      <c r="B292" s="56" t="s">
        <v>376</v>
      </c>
      <c r="C292" s="60"/>
      <c r="D292" s="60"/>
      <c r="E292" s="60"/>
      <c r="F292" s="60"/>
      <c r="G292" s="60"/>
      <c r="H292" s="60"/>
      <c r="M292" t="s">
        <v>983</v>
      </c>
      <c r="N292" s="79" t="s">
        <v>553</v>
      </c>
      <c r="O292" s="80">
        <v>0</v>
      </c>
      <c r="P292" s="80">
        <v>0</v>
      </c>
      <c r="Q292" s="81">
        <v>0</v>
      </c>
      <c r="R292" s="80">
        <v>0</v>
      </c>
      <c r="S292" s="80">
        <v>0</v>
      </c>
      <c r="T292" s="80">
        <v>0</v>
      </c>
      <c r="U292" s="80">
        <v>0</v>
      </c>
      <c r="V292" s="80">
        <v>0</v>
      </c>
    </row>
    <row r="293" spans="1:22" x14ac:dyDescent="0.25">
      <c r="A293">
        <f>COUNTIF('Value Matchup'!$D$356:$D$423,B293)</f>
        <v>0</v>
      </c>
      <c r="B293" t="s">
        <v>377</v>
      </c>
      <c r="C293" s="60"/>
      <c r="D293" s="60"/>
      <c r="E293" s="60"/>
      <c r="F293" s="60"/>
      <c r="G293" s="60"/>
      <c r="H293" s="60"/>
      <c r="M293" t="s">
        <v>984</v>
      </c>
      <c r="N293" s="79">
        <v>44544</v>
      </c>
      <c r="O293" s="80">
        <v>0</v>
      </c>
      <c r="P293" s="80">
        <v>0</v>
      </c>
      <c r="Q293" s="81">
        <v>0</v>
      </c>
      <c r="R293" s="80">
        <v>0</v>
      </c>
      <c r="S293" s="80">
        <v>0</v>
      </c>
      <c r="T293" s="80">
        <v>0</v>
      </c>
      <c r="U293" s="80">
        <v>0</v>
      </c>
      <c r="V293" s="80">
        <v>0</v>
      </c>
    </row>
    <row r="294" spans="1:22" x14ac:dyDescent="0.25">
      <c r="A294">
        <f>COUNTIF('Value Matchup'!$D$356:$D$423,B294)</f>
        <v>1</v>
      </c>
      <c r="B294" s="56" t="s">
        <v>34</v>
      </c>
      <c r="C294" s="60">
        <f>Q295</f>
        <v>0.88</v>
      </c>
      <c r="D294" s="60">
        <f t="shared" ref="D294:H294" si="55">R295</f>
        <v>0.53</v>
      </c>
      <c r="E294" s="60">
        <f t="shared" si="55"/>
        <v>0.26</v>
      </c>
      <c r="F294" s="60">
        <f t="shared" si="55"/>
        <v>0.11</v>
      </c>
      <c r="G294" s="60">
        <f t="shared" si="55"/>
        <v>0.05</v>
      </c>
      <c r="H294" s="60">
        <f t="shared" si="55"/>
        <v>0.02</v>
      </c>
      <c r="M294" t="s">
        <v>985</v>
      </c>
      <c r="N294" s="79">
        <v>44542</v>
      </c>
      <c r="O294" s="80">
        <v>0</v>
      </c>
      <c r="P294" s="80">
        <v>0</v>
      </c>
      <c r="Q294" s="81">
        <v>0</v>
      </c>
      <c r="R294" s="80">
        <v>0</v>
      </c>
      <c r="S294" s="80">
        <v>0</v>
      </c>
      <c r="T294" s="80">
        <v>0</v>
      </c>
      <c r="U294" s="80">
        <v>0</v>
      </c>
      <c r="V294" s="80">
        <v>0</v>
      </c>
    </row>
    <row r="295" spans="1:22" x14ac:dyDescent="0.25">
      <c r="A295">
        <f>COUNTIF('Value Matchup'!$D$356:$D$423,B295)</f>
        <v>0</v>
      </c>
      <c r="B295" t="s">
        <v>79</v>
      </c>
      <c r="C295" s="60"/>
      <c r="D295" s="60"/>
      <c r="E295" s="60"/>
      <c r="F295" s="60"/>
      <c r="G295" s="60"/>
      <c r="H295" s="60"/>
      <c r="K295">
        <v>3</v>
      </c>
      <c r="L295">
        <v>10</v>
      </c>
      <c r="M295" t="s">
        <v>986</v>
      </c>
      <c r="N295" s="79" t="s">
        <v>537</v>
      </c>
      <c r="O295" s="80">
        <v>1</v>
      </c>
      <c r="P295" s="80">
        <v>1</v>
      </c>
      <c r="Q295" s="81">
        <v>0.88</v>
      </c>
      <c r="R295" s="80">
        <v>0.53</v>
      </c>
      <c r="S295" s="80">
        <v>0.26</v>
      </c>
      <c r="T295" s="80">
        <v>0.11</v>
      </c>
      <c r="U295" s="80">
        <v>0.05</v>
      </c>
      <c r="V295" s="80">
        <v>0.02</v>
      </c>
    </row>
    <row r="296" spans="1:22" x14ac:dyDescent="0.25">
      <c r="A296">
        <f>COUNTIF('Value Matchup'!$D$356:$D$423,B296)</f>
        <v>0</v>
      </c>
      <c r="B296" s="56" t="s">
        <v>378</v>
      </c>
      <c r="C296" s="60"/>
      <c r="D296" s="60"/>
      <c r="E296" s="60"/>
      <c r="F296" s="60"/>
      <c r="G296" s="60"/>
      <c r="H296" s="60"/>
      <c r="M296" t="s">
        <v>987</v>
      </c>
      <c r="N296" s="79">
        <v>44449</v>
      </c>
      <c r="O296" s="80">
        <v>0</v>
      </c>
      <c r="P296" s="80">
        <v>0</v>
      </c>
      <c r="Q296" s="81">
        <v>0</v>
      </c>
      <c r="R296" s="80">
        <v>0</v>
      </c>
      <c r="S296" s="80">
        <v>0</v>
      </c>
      <c r="T296" s="80">
        <v>0</v>
      </c>
      <c r="U296" s="80">
        <v>0</v>
      </c>
      <c r="V296" s="80">
        <v>0</v>
      </c>
    </row>
    <row r="297" spans="1:22" x14ac:dyDescent="0.25">
      <c r="A297">
        <f>COUNTIF('Value Matchup'!$D$356:$D$423,B297)</f>
        <v>1</v>
      </c>
      <c r="B297" t="s">
        <v>379</v>
      </c>
      <c r="C297" s="60">
        <f>Q298</f>
        <v>0</v>
      </c>
      <c r="D297" s="60">
        <f t="shared" ref="D297:H297" si="56">R298</f>
        <v>0</v>
      </c>
      <c r="E297" s="60">
        <f t="shared" si="56"/>
        <v>0</v>
      </c>
      <c r="F297" s="60">
        <f t="shared" si="56"/>
        <v>0</v>
      </c>
      <c r="G297" s="60">
        <f t="shared" si="56"/>
        <v>0</v>
      </c>
      <c r="H297" s="60">
        <f t="shared" si="56"/>
        <v>0</v>
      </c>
      <c r="M297" t="s">
        <v>988</v>
      </c>
      <c r="N297" s="79" t="s">
        <v>533</v>
      </c>
      <c r="O297" s="80">
        <v>0</v>
      </c>
      <c r="P297" s="80">
        <v>0</v>
      </c>
      <c r="Q297" s="81">
        <v>0</v>
      </c>
      <c r="R297" s="80">
        <v>0</v>
      </c>
      <c r="S297" s="80">
        <v>0</v>
      </c>
      <c r="T297" s="80">
        <v>0</v>
      </c>
      <c r="U297" s="80">
        <v>0</v>
      </c>
      <c r="V297" s="80">
        <v>0</v>
      </c>
    </row>
    <row r="298" spans="1:22" x14ac:dyDescent="0.25">
      <c r="A298">
        <f>COUNTIF('Value Matchup'!$D$356:$D$423,B298)</f>
        <v>0</v>
      </c>
      <c r="B298" s="56" t="s">
        <v>380</v>
      </c>
      <c r="C298" s="60"/>
      <c r="D298" s="60"/>
      <c r="E298" s="60"/>
      <c r="F298" s="60"/>
      <c r="G298" s="60"/>
      <c r="H298" s="60"/>
      <c r="K298">
        <v>16</v>
      </c>
      <c r="L298">
        <v>66</v>
      </c>
      <c r="M298" t="s">
        <v>989</v>
      </c>
      <c r="N298" s="79" t="s">
        <v>530</v>
      </c>
      <c r="O298" s="80">
        <v>1</v>
      </c>
      <c r="P298" s="80">
        <v>0.44</v>
      </c>
      <c r="Q298" s="81">
        <v>0</v>
      </c>
      <c r="R298" s="80">
        <v>0</v>
      </c>
      <c r="S298" s="80">
        <v>0</v>
      </c>
      <c r="T298" s="80">
        <v>0</v>
      </c>
      <c r="U298" s="80">
        <v>0</v>
      </c>
      <c r="V298" s="80">
        <v>0</v>
      </c>
    </row>
    <row r="299" spans="1:22" x14ac:dyDescent="0.25">
      <c r="A299">
        <f>COUNTIF('Value Matchup'!$D$356:$D$423,B299)</f>
        <v>1</v>
      </c>
      <c r="B299" t="s">
        <v>92</v>
      </c>
      <c r="C299" s="60">
        <f>Q300</f>
        <v>0.64</v>
      </c>
      <c r="D299" s="60">
        <f t="shared" ref="D299:H299" si="57">R300</f>
        <v>0.27</v>
      </c>
      <c r="E299" s="60">
        <f t="shared" si="57"/>
        <v>0.14000000000000001</v>
      </c>
      <c r="F299" s="60">
        <f t="shared" si="57"/>
        <v>0.06</v>
      </c>
      <c r="G299" s="60">
        <f t="shared" si="57"/>
        <v>0.02</v>
      </c>
      <c r="H299" s="60">
        <f t="shared" si="57"/>
        <v>0.01</v>
      </c>
      <c r="M299" t="s">
        <v>990</v>
      </c>
      <c r="N299" s="79" t="s">
        <v>578</v>
      </c>
      <c r="O299" s="80">
        <v>0</v>
      </c>
      <c r="P299" s="80">
        <v>0</v>
      </c>
      <c r="Q299" s="81">
        <v>0</v>
      </c>
      <c r="R299" s="80">
        <v>0</v>
      </c>
      <c r="S299" s="80">
        <v>0</v>
      </c>
      <c r="T299" s="80">
        <v>0</v>
      </c>
      <c r="U299" s="80">
        <v>0</v>
      </c>
      <c r="V299" s="80">
        <v>0</v>
      </c>
    </row>
    <row r="300" spans="1:22" x14ac:dyDescent="0.25">
      <c r="A300">
        <f>COUNTIF('Value Matchup'!$D$356:$D$423,B300)</f>
        <v>0</v>
      </c>
      <c r="B300" s="56" t="s">
        <v>381</v>
      </c>
      <c r="C300" s="60"/>
      <c r="D300" s="60"/>
      <c r="E300" s="60"/>
      <c r="F300" s="60"/>
      <c r="G300" s="60"/>
      <c r="H300" s="60"/>
      <c r="K300">
        <v>8</v>
      </c>
      <c r="L300">
        <v>31</v>
      </c>
      <c r="M300" t="s">
        <v>991</v>
      </c>
      <c r="N300" s="79" t="s">
        <v>534</v>
      </c>
      <c r="O300" s="80">
        <v>1</v>
      </c>
      <c r="P300" s="80">
        <v>0.99</v>
      </c>
      <c r="Q300" s="81">
        <v>0.64</v>
      </c>
      <c r="R300" s="80">
        <v>0.27</v>
      </c>
      <c r="S300" s="80">
        <v>0.14000000000000001</v>
      </c>
      <c r="T300" s="80">
        <v>0.06</v>
      </c>
      <c r="U300" s="80">
        <v>0.02</v>
      </c>
      <c r="V300" s="80">
        <v>0.01</v>
      </c>
    </row>
    <row r="301" spans="1:22" x14ac:dyDescent="0.25">
      <c r="A301">
        <f>COUNTIF('Value Matchup'!$D$356:$D$423,B301)</f>
        <v>0</v>
      </c>
      <c r="B301" t="s">
        <v>382</v>
      </c>
      <c r="C301" s="60"/>
      <c r="D301" s="60"/>
      <c r="E301" s="60"/>
      <c r="F301" s="60"/>
      <c r="G301" s="60"/>
      <c r="H301" s="60"/>
      <c r="M301" t="s">
        <v>992</v>
      </c>
      <c r="N301" s="79" t="s">
        <v>548</v>
      </c>
      <c r="O301" s="80">
        <v>0</v>
      </c>
      <c r="P301" s="80">
        <v>0</v>
      </c>
      <c r="Q301" s="81">
        <v>0</v>
      </c>
      <c r="R301" s="80">
        <v>0</v>
      </c>
      <c r="S301" s="80">
        <v>0</v>
      </c>
      <c r="T301" s="80">
        <v>0</v>
      </c>
      <c r="U301" s="80">
        <v>0</v>
      </c>
      <c r="V301" s="80">
        <v>0</v>
      </c>
    </row>
    <row r="302" spans="1:22" x14ac:dyDescent="0.25">
      <c r="A302">
        <f>COUNTIF('Value Matchup'!$D$356:$D$423,B302)</f>
        <v>0</v>
      </c>
      <c r="B302" s="56" t="s">
        <v>383</v>
      </c>
      <c r="C302" s="60"/>
      <c r="D302" s="60"/>
      <c r="E302" s="60"/>
      <c r="F302" s="60"/>
      <c r="G302" s="60"/>
      <c r="H302" s="60"/>
      <c r="M302" t="s">
        <v>993</v>
      </c>
      <c r="N302" s="79" t="s">
        <v>559</v>
      </c>
      <c r="O302" s="80">
        <v>0</v>
      </c>
      <c r="P302" s="80">
        <v>0</v>
      </c>
      <c r="Q302" s="81">
        <v>0</v>
      </c>
      <c r="R302" s="80">
        <v>0</v>
      </c>
      <c r="S302" s="80">
        <v>0</v>
      </c>
      <c r="T302" s="80">
        <v>0</v>
      </c>
      <c r="U302" s="80">
        <v>0</v>
      </c>
      <c r="V302" s="80">
        <v>0</v>
      </c>
    </row>
    <row r="303" spans="1:22" x14ac:dyDescent="0.25">
      <c r="A303">
        <f>COUNTIF('Value Matchup'!$D$356:$D$423,B303)</f>
        <v>0</v>
      </c>
      <c r="B303" t="s">
        <v>384</v>
      </c>
      <c r="C303" s="60"/>
      <c r="D303" s="60"/>
      <c r="E303" s="60"/>
      <c r="F303" s="60"/>
      <c r="G303" s="60"/>
      <c r="H303" s="60"/>
      <c r="M303" t="s">
        <v>994</v>
      </c>
      <c r="N303" s="79">
        <v>44300</v>
      </c>
      <c r="O303" s="80">
        <v>0</v>
      </c>
      <c r="P303" s="80">
        <v>0</v>
      </c>
      <c r="Q303" s="81">
        <v>0</v>
      </c>
      <c r="R303" s="80">
        <v>0</v>
      </c>
      <c r="S303" s="80">
        <v>0</v>
      </c>
      <c r="T303" s="80">
        <v>0</v>
      </c>
      <c r="U303" s="80">
        <v>0</v>
      </c>
      <c r="V303" s="80">
        <v>0</v>
      </c>
    </row>
    <row r="304" spans="1:22" x14ac:dyDescent="0.25">
      <c r="A304">
        <f>COUNTIF('Value Matchup'!$D$356:$D$423,B304)</f>
        <v>0</v>
      </c>
      <c r="B304" s="56" t="s">
        <v>385</v>
      </c>
      <c r="C304" s="60"/>
      <c r="D304" s="60"/>
      <c r="E304" s="60"/>
      <c r="F304" s="60"/>
      <c r="G304" s="60"/>
      <c r="H304" s="60"/>
      <c r="M304" t="s">
        <v>995</v>
      </c>
      <c r="N304" s="79">
        <v>44517</v>
      </c>
      <c r="O304" s="80">
        <v>0</v>
      </c>
      <c r="P304" s="80">
        <v>0</v>
      </c>
      <c r="Q304" s="81">
        <v>0</v>
      </c>
      <c r="R304" s="80">
        <v>0</v>
      </c>
      <c r="S304" s="80">
        <v>0</v>
      </c>
      <c r="T304" s="80">
        <v>0</v>
      </c>
      <c r="U304" s="80">
        <v>0</v>
      </c>
      <c r="V304" s="80">
        <v>0</v>
      </c>
    </row>
    <row r="305" spans="1:22" x14ac:dyDescent="0.25">
      <c r="A305">
        <f>COUNTIF('Value Matchup'!$D$356:$D$423,B305)</f>
        <v>0</v>
      </c>
      <c r="B305" t="s">
        <v>94</v>
      </c>
      <c r="C305" s="60"/>
      <c r="D305" s="60"/>
      <c r="E305" s="60"/>
      <c r="F305" s="60"/>
      <c r="G305" s="60"/>
      <c r="H305" s="60"/>
      <c r="M305" t="s">
        <v>996</v>
      </c>
      <c r="N305" s="79">
        <v>44482</v>
      </c>
      <c r="O305" s="80">
        <v>0</v>
      </c>
      <c r="P305" s="80">
        <v>0</v>
      </c>
      <c r="Q305" s="81">
        <v>0</v>
      </c>
      <c r="R305" s="80">
        <v>0</v>
      </c>
      <c r="S305" s="80">
        <v>0</v>
      </c>
      <c r="T305" s="80">
        <v>0</v>
      </c>
      <c r="U305" s="80">
        <v>0</v>
      </c>
      <c r="V305" s="80">
        <v>0</v>
      </c>
    </row>
    <row r="306" spans="1:22" x14ac:dyDescent="0.25">
      <c r="A306">
        <f>COUNTIF('Value Matchup'!$D$356:$D$423,B306)</f>
        <v>0</v>
      </c>
      <c r="B306" s="56" t="s">
        <v>68</v>
      </c>
      <c r="C306" s="60"/>
      <c r="D306" s="60"/>
      <c r="E306" s="60"/>
      <c r="F306" s="60"/>
      <c r="G306" s="60"/>
      <c r="H306" s="60"/>
      <c r="M306" t="s">
        <v>997</v>
      </c>
      <c r="N306" s="79">
        <v>44512</v>
      </c>
      <c r="O306" s="80">
        <v>0</v>
      </c>
      <c r="P306" s="80">
        <v>0</v>
      </c>
      <c r="Q306" s="81">
        <v>0</v>
      </c>
      <c r="R306" s="80">
        <v>0</v>
      </c>
      <c r="S306" s="80">
        <v>0</v>
      </c>
      <c r="T306" s="80">
        <v>0</v>
      </c>
      <c r="U306" s="80">
        <v>0</v>
      </c>
      <c r="V306" s="80">
        <v>0</v>
      </c>
    </row>
    <row r="307" spans="1:22" x14ac:dyDescent="0.25">
      <c r="A307">
        <f>COUNTIF('Value Matchup'!$D$356:$D$423,B307)</f>
        <v>0</v>
      </c>
      <c r="B307" t="s">
        <v>386</v>
      </c>
      <c r="C307" s="60"/>
      <c r="D307" s="60"/>
      <c r="E307" s="60"/>
      <c r="F307" s="60"/>
      <c r="G307" s="60"/>
      <c r="H307" s="60"/>
      <c r="M307" t="s">
        <v>998</v>
      </c>
      <c r="N307" s="79" t="s">
        <v>500</v>
      </c>
      <c r="O307" s="80">
        <v>0</v>
      </c>
      <c r="P307" s="80">
        <v>0</v>
      </c>
      <c r="Q307" s="81">
        <v>0</v>
      </c>
      <c r="R307" s="80">
        <v>0</v>
      </c>
      <c r="S307" s="80">
        <v>0</v>
      </c>
      <c r="T307" s="80">
        <v>0</v>
      </c>
      <c r="U307" s="80">
        <v>0</v>
      </c>
      <c r="V307" s="80">
        <v>0</v>
      </c>
    </row>
    <row r="308" spans="1:22" x14ac:dyDescent="0.25">
      <c r="A308">
        <f>COUNTIF('Value Matchup'!$D$356:$D$423,B308)</f>
        <v>0</v>
      </c>
      <c r="B308" s="56" t="s">
        <v>55</v>
      </c>
      <c r="C308" s="60"/>
      <c r="D308" s="60"/>
      <c r="E308" s="60"/>
      <c r="F308" s="60"/>
      <c r="G308" s="60"/>
      <c r="H308" s="60"/>
      <c r="M308" t="s">
        <v>999</v>
      </c>
      <c r="N308" s="79">
        <v>44477</v>
      </c>
      <c r="O308" s="80">
        <v>0</v>
      </c>
      <c r="P308" s="80">
        <v>0</v>
      </c>
      <c r="Q308" s="81">
        <v>0</v>
      </c>
      <c r="R308" s="80">
        <v>0</v>
      </c>
      <c r="S308" s="80">
        <v>0</v>
      </c>
      <c r="T308" s="80">
        <v>0</v>
      </c>
      <c r="U308" s="80">
        <v>0</v>
      </c>
      <c r="V308" s="80">
        <v>0</v>
      </c>
    </row>
    <row r="309" spans="1:22" x14ac:dyDescent="0.25">
      <c r="A309">
        <f>COUNTIF('Value Matchup'!$D$356:$D$423,B309)</f>
        <v>0</v>
      </c>
      <c r="B309" t="s">
        <v>387</v>
      </c>
      <c r="C309" s="60"/>
      <c r="D309" s="60"/>
      <c r="E309" s="60"/>
      <c r="F309" s="60"/>
      <c r="G309" s="60"/>
      <c r="H309" s="60"/>
      <c r="M309" t="s">
        <v>1000</v>
      </c>
      <c r="N309" s="79" t="s">
        <v>560</v>
      </c>
      <c r="O309" s="80">
        <v>0</v>
      </c>
      <c r="P309" s="80">
        <v>0</v>
      </c>
      <c r="Q309" s="81">
        <v>0</v>
      </c>
      <c r="R309" s="80">
        <v>0</v>
      </c>
      <c r="S309" s="80">
        <v>0</v>
      </c>
      <c r="T309" s="80">
        <v>0</v>
      </c>
      <c r="U309" s="80">
        <v>0</v>
      </c>
      <c r="V309" s="80">
        <v>0</v>
      </c>
    </row>
    <row r="310" spans="1:22" x14ac:dyDescent="0.25">
      <c r="A310">
        <f>COUNTIF('Value Matchup'!$D$356:$D$423,B310)</f>
        <v>1</v>
      </c>
      <c r="B310" s="56" t="s">
        <v>388</v>
      </c>
      <c r="C310" s="60">
        <f>Q312</f>
        <v>0.19</v>
      </c>
      <c r="D310" s="60">
        <f t="shared" ref="D310:H310" si="58">R312</f>
        <v>0.05</v>
      </c>
      <c r="E310" s="60">
        <f t="shared" si="58"/>
        <v>0.01</v>
      </c>
      <c r="F310" s="60">
        <f t="shared" si="58"/>
        <v>0</v>
      </c>
      <c r="G310" s="60">
        <f t="shared" si="58"/>
        <v>0</v>
      </c>
      <c r="H310" s="60">
        <f t="shared" si="58"/>
        <v>0</v>
      </c>
      <c r="M310" t="s">
        <v>1001</v>
      </c>
      <c r="N310" s="79" t="s">
        <v>574</v>
      </c>
      <c r="O310" s="80">
        <v>0</v>
      </c>
      <c r="P310" s="80">
        <v>0</v>
      </c>
      <c r="Q310" s="81">
        <v>0</v>
      </c>
      <c r="R310" s="80">
        <v>0</v>
      </c>
      <c r="S310" s="80">
        <v>0</v>
      </c>
      <c r="T310" s="80">
        <v>0</v>
      </c>
      <c r="U310" s="80">
        <v>0</v>
      </c>
      <c r="V310" s="80">
        <v>0</v>
      </c>
    </row>
    <row r="311" spans="1:22" x14ac:dyDescent="0.25">
      <c r="A311">
        <f>COUNTIF('Value Matchup'!$D$356:$D$423,B311)</f>
        <v>0</v>
      </c>
      <c r="B311" t="s">
        <v>389</v>
      </c>
      <c r="C311" s="60"/>
      <c r="D311" s="60"/>
      <c r="E311" s="60"/>
      <c r="F311" s="60"/>
      <c r="G311" s="60"/>
      <c r="H311" s="60"/>
      <c r="M311" t="s">
        <v>1002</v>
      </c>
      <c r="N311" s="79">
        <v>44387</v>
      </c>
      <c r="O311" s="80">
        <v>0</v>
      </c>
      <c r="P311" s="80">
        <v>0</v>
      </c>
      <c r="Q311" s="81">
        <v>0</v>
      </c>
      <c r="R311" s="80">
        <v>0</v>
      </c>
      <c r="S311" s="80">
        <v>0</v>
      </c>
      <c r="T311" s="80">
        <v>0</v>
      </c>
      <c r="U311" s="80">
        <v>0</v>
      </c>
      <c r="V311" s="80">
        <v>0</v>
      </c>
    </row>
    <row r="312" spans="1:22" x14ac:dyDescent="0.25">
      <c r="A312">
        <f>COUNTIF('Value Matchup'!$D$356:$D$423,B312)</f>
        <v>1</v>
      </c>
      <c r="B312" s="56" t="s">
        <v>67</v>
      </c>
      <c r="C312" s="60">
        <f>Q313</f>
        <v>0.35</v>
      </c>
      <c r="D312" s="60">
        <f t="shared" ref="D312:H312" si="59">R313</f>
        <v>0.13</v>
      </c>
      <c r="E312" s="60">
        <f t="shared" si="59"/>
        <v>0.05</v>
      </c>
      <c r="F312" s="60">
        <f t="shared" si="59"/>
        <v>0.01</v>
      </c>
      <c r="G312" s="60">
        <f t="shared" si="59"/>
        <v>0</v>
      </c>
      <c r="H312" s="60">
        <f t="shared" si="59"/>
        <v>0</v>
      </c>
      <c r="K312">
        <v>12</v>
      </c>
      <c r="L312">
        <v>50</v>
      </c>
      <c r="M312" t="s">
        <v>1003</v>
      </c>
      <c r="N312" s="79" t="s">
        <v>586</v>
      </c>
      <c r="O312" s="80">
        <v>1</v>
      </c>
      <c r="P312" s="80">
        <v>0.93</v>
      </c>
      <c r="Q312" s="81">
        <v>0.19</v>
      </c>
      <c r="R312" s="80">
        <v>0.05</v>
      </c>
      <c r="S312" s="80">
        <v>0.01</v>
      </c>
      <c r="T312" s="80">
        <v>0</v>
      </c>
      <c r="U312" s="80">
        <v>0</v>
      </c>
      <c r="V312" s="80">
        <v>0</v>
      </c>
    </row>
    <row r="313" spans="1:22" x14ac:dyDescent="0.25">
      <c r="A313">
        <f>COUNTIF('Value Matchup'!$D$356:$D$423,B313)</f>
        <v>0</v>
      </c>
      <c r="B313" t="s">
        <v>390</v>
      </c>
      <c r="C313" s="60"/>
      <c r="D313" s="60"/>
      <c r="E313" s="60"/>
      <c r="F313" s="60"/>
      <c r="G313" s="60"/>
      <c r="H313" s="60"/>
      <c r="K313">
        <v>11</v>
      </c>
      <c r="L313">
        <v>42</v>
      </c>
      <c r="M313" t="s">
        <v>1004</v>
      </c>
      <c r="N313" s="79" t="s">
        <v>518</v>
      </c>
      <c r="O313" s="80">
        <v>0.99</v>
      </c>
      <c r="P313" s="80">
        <v>0.8</v>
      </c>
      <c r="Q313" s="81">
        <v>0.35</v>
      </c>
      <c r="R313" s="80">
        <v>0.13</v>
      </c>
      <c r="S313" s="80">
        <v>0.05</v>
      </c>
      <c r="T313" s="80">
        <v>0.01</v>
      </c>
      <c r="U313" s="80">
        <v>0</v>
      </c>
      <c r="V313" s="80">
        <v>0</v>
      </c>
    </row>
    <row r="314" spans="1:22" x14ac:dyDescent="0.25">
      <c r="A314">
        <f>COUNTIF('Value Matchup'!$D$356:$D$423,B314)</f>
        <v>0</v>
      </c>
      <c r="B314" s="56" t="s">
        <v>391</v>
      </c>
      <c r="C314" s="60"/>
      <c r="D314" s="60"/>
      <c r="E314" s="60"/>
      <c r="F314" s="60"/>
      <c r="G314" s="60"/>
      <c r="H314" s="60"/>
      <c r="M314" t="s">
        <v>1005</v>
      </c>
      <c r="N314" s="79" t="s">
        <v>518</v>
      </c>
      <c r="O314" s="80">
        <v>0</v>
      </c>
      <c r="P314" s="80">
        <v>0</v>
      </c>
      <c r="Q314" s="81">
        <v>0</v>
      </c>
      <c r="R314" s="80">
        <v>0</v>
      </c>
      <c r="S314" s="80">
        <v>0</v>
      </c>
      <c r="T314" s="80">
        <v>0</v>
      </c>
      <c r="U314" s="80">
        <v>0</v>
      </c>
      <c r="V314" s="80">
        <v>0</v>
      </c>
    </row>
    <row r="315" spans="1:22" x14ac:dyDescent="0.25">
      <c r="A315">
        <f>COUNTIF('Value Matchup'!$D$356:$D$423,B315)</f>
        <v>0</v>
      </c>
      <c r="B315" t="s">
        <v>392</v>
      </c>
      <c r="C315" s="60"/>
      <c r="D315" s="60"/>
      <c r="E315" s="60"/>
      <c r="F315" s="60"/>
      <c r="G315" s="60"/>
      <c r="H315" s="60"/>
      <c r="M315" t="s">
        <v>1006</v>
      </c>
      <c r="N315" s="79">
        <v>44396</v>
      </c>
      <c r="O315" s="80">
        <v>0</v>
      </c>
      <c r="P315" s="80">
        <v>0</v>
      </c>
      <c r="Q315" s="81">
        <v>0</v>
      </c>
      <c r="R315" s="80">
        <v>0</v>
      </c>
      <c r="S315" s="80">
        <v>0</v>
      </c>
      <c r="T315" s="80">
        <v>0</v>
      </c>
      <c r="U315" s="80">
        <v>0</v>
      </c>
      <c r="V315" s="80">
        <v>0</v>
      </c>
    </row>
    <row r="316" spans="1:22" x14ac:dyDescent="0.25">
      <c r="A316">
        <f>COUNTIF('Value Matchup'!$D$356:$D$423,B316)</f>
        <v>0</v>
      </c>
      <c r="B316" s="56" t="s">
        <v>393</v>
      </c>
      <c r="C316" s="60"/>
      <c r="D316" s="60"/>
      <c r="E316" s="60"/>
      <c r="F316" s="60"/>
      <c r="G316" s="60"/>
      <c r="H316" s="60"/>
      <c r="M316" t="s">
        <v>1007</v>
      </c>
      <c r="N316" s="79" t="s">
        <v>581</v>
      </c>
      <c r="O316" s="80">
        <v>0</v>
      </c>
      <c r="P316" s="80">
        <v>0</v>
      </c>
      <c r="Q316" s="81">
        <v>0</v>
      </c>
      <c r="R316" s="80">
        <v>0</v>
      </c>
      <c r="S316" s="80">
        <v>0</v>
      </c>
      <c r="T316" s="80">
        <v>0</v>
      </c>
      <c r="U316" s="80">
        <v>0</v>
      </c>
      <c r="V316" s="80">
        <v>0</v>
      </c>
    </row>
    <row r="317" spans="1:22" x14ac:dyDescent="0.25">
      <c r="A317">
        <f>COUNTIF('Value Matchup'!$D$356:$D$423,B317)</f>
        <v>1</v>
      </c>
      <c r="B317" t="s">
        <v>394</v>
      </c>
      <c r="C317" s="60">
        <f>Q318</f>
        <v>0.15</v>
      </c>
      <c r="D317" s="60">
        <f t="shared" ref="D317:H317" si="60">R318</f>
        <v>0.03</v>
      </c>
      <c r="E317" s="60">
        <f t="shared" si="60"/>
        <v>0</v>
      </c>
      <c r="F317" s="60">
        <f t="shared" si="60"/>
        <v>0</v>
      </c>
      <c r="G317" s="60">
        <f t="shared" si="60"/>
        <v>0</v>
      </c>
      <c r="H317" s="60">
        <f t="shared" si="60"/>
        <v>0</v>
      </c>
      <c r="M317" t="s">
        <v>1008</v>
      </c>
      <c r="N317" s="79">
        <v>44479</v>
      </c>
      <c r="O317" s="80">
        <v>0</v>
      </c>
      <c r="P317" s="80">
        <v>0</v>
      </c>
      <c r="Q317" s="81">
        <v>0</v>
      </c>
      <c r="R317" s="80">
        <v>0</v>
      </c>
      <c r="S317" s="80">
        <v>0</v>
      </c>
      <c r="T317" s="80">
        <v>0</v>
      </c>
      <c r="U317" s="80">
        <v>0</v>
      </c>
      <c r="V317" s="80">
        <v>0</v>
      </c>
    </row>
    <row r="318" spans="1:22" x14ac:dyDescent="0.25">
      <c r="A318">
        <f>COUNTIF('Value Matchup'!$D$356:$D$423,B318)</f>
        <v>0</v>
      </c>
      <c r="B318" s="56" t="s">
        <v>395</v>
      </c>
      <c r="C318" s="60"/>
      <c r="D318" s="60"/>
      <c r="E318" s="60"/>
      <c r="F318" s="60"/>
      <c r="G318" s="60"/>
      <c r="H318" s="60"/>
      <c r="K318">
        <v>13</v>
      </c>
      <c r="L318">
        <v>54</v>
      </c>
      <c r="M318" t="s">
        <v>1009</v>
      </c>
      <c r="N318" s="79" t="s">
        <v>559</v>
      </c>
      <c r="O318" s="80">
        <v>1</v>
      </c>
      <c r="P318" s="80">
        <v>1</v>
      </c>
      <c r="Q318" s="81">
        <v>0.15</v>
      </c>
      <c r="R318" s="80">
        <v>0.03</v>
      </c>
      <c r="S318" s="80">
        <v>0</v>
      </c>
      <c r="T318" s="80">
        <v>0</v>
      </c>
      <c r="U318" s="80">
        <v>0</v>
      </c>
      <c r="V318" s="80">
        <v>0</v>
      </c>
    </row>
    <row r="319" spans="1:22" x14ac:dyDescent="0.25">
      <c r="A319">
        <f>COUNTIF('Value Matchup'!$D$356:$D$423,B319)</f>
        <v>0</v>
      </c>
      <c r="B319" t="s">
        <v>396</v>
      </c>
      <c r="C319" s="60"/>
      <c r="D319" s="60"/>
      <c r="E319" s="60"/>
      <c r="F319" s="60"/>
      <c r="G319" s="60"/>
      <c r="H319" s="60"/>
      <c r="M319" t="s">
        <v>1010</v>
      </c>
      <c r="N319" s="79">
        <v>44387</v>
      </c>
      <c r="O319" s="80">
        <v>0</v>
      </c>
      <c r="P319" s="80">
        <v>0</v>
      </c>
      <c r="Q319" s="81">
        <v>0</v>
      </c>
      <c r="R319" s="80">
        <v>0</v>
      </c>
      <c r="S319" s="80">
        <v>0</v>
      </c>
      <c r="T319" s="80">
        <v>0</v>
      </c>
      <c r="U319" s="80">
        <v>0</v>
      </c>
      <c r="V319" s="80">
        <v>0</v>
      </c>
    </row>
    <row r="320" spans="1:22" x14ac:dyDescent="0.25">
      <c r="A320">
        <f>COUNTIF('Value Matchup'!$D$356:$D$423,B320)</f>
        <v>1</v>
      </c>
      <c r="B320" s="56" t="s">
        <v>85</v>
      </c>
      <c r="C320" s="60">
        <f>Q269</f>
        <v>0.65</v>
      </c>
      <c r="D320" s="60">
        <f t="shared" ref="D320:H320" si="61">R269</f>
        <v>0.31</v>
      </c>
      <c r="E320" s="60">
        <f t="shared" si="61"/>
        <v>0.13</v>
      </c>
      <c r="F320" s="60">
        <f t="shared" si="61"/>
        <v>0.06</v>
      </c>
      <c r="G320" s="60">
        <f t="shared" si="61"/>
        <v>0.02</v>
      </c>
      <c r="H320" s="60">
        <f t="shared" si="61"/>
        <v>0.01</v>
      </c>
      <c r="M320" t="s">
        <v>1011</v>
      </c>
      <c r="N320" s="79">
        <v>44545</v>
      </c>
      <c r="O320" s="80">
        <v>0</v>
      </c>
      <c r="P320" s="80">
        <v>0</v>
      </c>
      <c r="Q320" s="81">
        <v>0</v>
      </c>
      <c r="R320" s="80">
        <v>0</v>
      </c>
      <c r="S320" s="80">
        <v>0</v>
      </c>
      <c r="T320" s="80">
        <v>0</v>
      </c>
      <c r="U320" s="80">
        <v>0</v>
      </c>
      <c r="V320" s="80">
        <v>0</v>
      </c>
    </row>
    <row r="321" spans="1:22" x14ac:dyDescent="0.25">
      <c r="A321">
        <f>COUNTIF('Value Matchup'!$D$356:$D$423,B321)</f>
        <v>0</v>
      </c>
      <c r="B321" t="s">
        <v>397</v>
      </c>
      <c r="C321" s="60"/>
      <c r="D321" s="60"/>
      <c r="E321" s="60"/>
      <c r="F321" s="60"/>
      <c r="G321" s="60"/>
      <c r="H321" s="60"/>
      <c r="M321" t="s">
        <v>1012</v>
      </c>
      <c r="N321" s="79" t="s">
        <v>542</v>
      </c>
      <c r="O321" s="80">
        <v>0.02</v>
      </c>
      <c r="P321" s="80">
        <v>0.01</v>
      </c>
      <c r="Q321" s="81">
        <v>0</v>
      </c>
      <c r="R321" s="80">
        <v>0</v>
      </c>
      <c r="S321" s="80">
        <v>0</v>
      </c>
      <c r="T321" s="80">
        <v>0</v>
      </c>
      <c r="U321" s="80">
        <v>0</v>
      </c>
      <c r="V321" s="80">
        <v>0</v>
      </c>
    </row>
    <row r="322" spans="1:22" x14ac:dyDescent="0.25">
      <c r="A322">
        <f>COUNTIF('Value Matchup'!$D$356:$D$423,B322)</f>
        <v>0</v>
      </c>
      <c r="B322" s="56" t="s">
        <v>398</v>
      </c>
      <c r="C322" s="60"/>
      <c r="D322" s="60"/>
      <c r="E322" s="60"/>
      <c r="F322" s="60"/>
      <c r="G322" s="60"/>
      <c r="H322" s="60"/>
      <c r="M322" t="s">
        <v>1013</v>
      </c>
      <c r="N322" s="79">
        <v>44543</v>
      </c>
      <c r="O322" s="80">
        <v>0</v>
      </c>
      <c r="P322" s="80">
        <v>0</v>
      </c>
      <c r="Q322" s="81">
        <v>0</v>
      </c>
      <c r="R322" s="80">
        <v>0</v>
      </c>
      <c r="S322" s="80">
        <v>0</v>
      </c>
      <c r="T322" s="80">
        <v>0</v>
      </c>
      <c r="U322" s="80">
        <v>0</v>
      </c>
      <c r="V322" s="80">
        <v>0</v>
      </c>
    </row>
    <row r="323" spans="1:22" x14ac:dyDescent="0.25">
      <c r="A323">
        <f>COUNTIF('Value Matchup'!$D$356:$D$423,B323)</f>
        <v>0</v>
      </c>
      <c r="B323" t="s">
        <v>399</v>
      </c>
      <c r="C323" s="60"/>
      <c r="D323" s="60"/>
      <c r="E323" s="60"/>
      <c r="F323" s="60"/>
      <c r="G323" s="60"/>
      <c r="H323" s="60"/>
      <c r="M323" t="s">
        <v>1014</v>
      </c>
      <c r="N323" s="79">
        <v>44511</v>
      </c>
      <c r="O323" s="80">
        <v>0</v>
      </c>
      <c r="P323" s="80">
        <v>0</v>
      </c>
      <c r="Q323" s="81">
        <v>0</v>
      </c>
      <c r="R323" s="80">
        <v>0</v>
      </c>
      <c r="S323" s="80">
        <v>0</v>
      </c>
      <c r="T323" s="80">
        <v>0</v>
      </c>
      <c r="U323" s="80">
        <v>0</v>
      </c>
      <c r="V323" s="80">
        <v>0</v>
      </c>
    </row>
    <row r="324" spans="1:22" x14ac:dyDescent="0.25">
      <c r="A324">
        <f>COUNTIF('Value Matchup'!$D$356:$D$423,B324)</f>
        <v>0</v>
      </c>
      <c r="B324" s="56" t="s">
        <v>65</v>
      </c>
      <c r="C324" s="60"/>
      <c r="D324" s="60"/>
      <c r="E324" s="60"/>
      <c r="F324" s="60"/>
      <c r="G324" s="60"/>
      <c r="H324" s="60"/>
      <c r="M324" t="s">
        <v>1015</v>
      </c>
      <c r="N324" s="79">
        <v>44487</v>
      </c>
      <c r="O324" s="80">
        <v>0</v>
      </c>
      <c r="P324" s="80">
        <v>0</v>
      </c>
      <c r="Q324" s="81">
        <v>0</v>
      </c>
      <c r="R324" s="80">
        <v>0</v>
      </c>
      <c r="S324" s="80">
        <v>0</v>
      </c>
      <c r="T324" s="80">
        <v>0</v>
      </c>
      <c r="U324" s="80">
        <v>0</v>
      </c>
      <c r="V324" s="80">
        <v>0</v>
      </c>
    </row>
    <row r="325" spans="1:22" x14ac:dyDescent="0.25">
      <c r="A325">
        <f>COUNTIF('Value Matchup'!$D$356:$D$423,B325)</f>
        <v>1</v>
      </c>
      <c r="B325" t="s">
        <v>400</v>
      </c>
      <c r="C325" s="60"/>
      <c r="D325" s="60"/>
      <c r="E325" s="60"/>
      <c r="F325" s="60"/>
      <c r="G325" s="60"/>
      <c r="H325" s="60"/>
      <c r="M325" t="s">
        <v>1016</v>
      </c>
      <c r="N325" s="79">
        <v>44455</v>
      </c>
      <c r="O325" s="80">
        <v>0</v>
      </c>
      <c r="P325" s="80">
        <v>0</v>
      </c>
      <c r="Q325" s="81">
        <v>0</v>
      </c>
      <c r="R325" s="80">
        <v>0</v>
      </c>
      <c r="S325" s="80">
        <v>0</v>
      </c>
      <c r="T325" s="80">
        <v>0</v>
      </c>
      <c r="U325" s="80">
        <v>0</v>
      </c>
      <c r="V325" s="80">
        <v>0</v>
      </c>
    </row>
    <row r="326" spans="1:22" x14ac:dyDescent="0.25">
      <c r="A326">
        <f>COUNTIF('Value Matchup'!$D$356:$D$423,B326)</f>
        <v>0</v>
      </c>
      <c r="B326" s="56" t="s">
        <v>401</v>
      </c>
      <c r="C326" s="60"/>
      <c r="D326" s="60"/>
      <c r="E326" s="60"/>
      <c r="F326" s="60"/>
      <c r="G326" s="60"/>
      <c r="H326" s="60"/>
      <c r="K326">
        <v>8</v>
      </c>
      <c r="L326">
        <v>32</v>
      </c>
      <c r="M326" t="s">
        <v>1017</v>
      </c>
      <c r="N326" s="79" t="s">
        <v>587</v>
      </c>
      <c r="O326" s="80">
        <v>0.99</v>
      </c>
      <c r="P326" s="80">
        <v>0.96</v>
      </c>
      <c r="Q326" s="81">
        <v>0.39</v>
      </c>
      <c r="R326" s="80">
        <v>0.1</v>
      </c>
      <c r="S326" s="80">
        <v>0.03</v>
      </c>
      <c r="T326" s="80">
        <v>0.01</v>
      </c>
      <c r="U326" s="80">
        <v>0</v>
      </c>
      <c r="V326" s="80">
        <v>0</v>
      </c>
    </row>
    <row r="327" spans="1:22" x14ac:dyDescent="0.25">
      <c r="A327">
        <f>COUNTIF('Value Matchup'!$D$356:$D$423,B327)</f>
        <v>0</v>
      </c>
      <c r="B327" t="s">
        <v>402</v>
      </c>
      <c r="C327" s="60"/>
      <c r="D327" s="60"/>
      <c r="E327" s="60"/>
      <c r="F327" s="60"/>
      <c r="G327" s="60"/>
      <c r="H327" s="60"/>
      <c r="M327" t="s">
        <v>1018</v>
      </c>
      <c r="N327" s="79">
        <v>44474</v>
      </c>
      <c r="O327" s="80">
        <v>0</v>
      </c>
      <c r="P327" s="80">
        <v>0</v>
      </c>
      <c r="Q327" s="81">
        <v>0</v>
      </c>
      <c r="R327" s="80">
        <v>0</v>
      </c>
      <c r="S327" s="80">
        <v>0</v>
      </c>
      <c r="T327" s="80">
        <v>0</v>
      </c>
      <c r="U327" s="80">
        <v>0</v>
      </c>
      <c r="V327" s="80">
        <v>0</v>
      </c>
    </row>
    <row r="328" spans="1:22" x14ac:dyDescent="0.25">
      <c r="A328">
        <f>COUNTIF('Value Matchup'!$D$356:$D$423,B328)</f>
        <v>0</v>
      </c>
      <c r="B328" s="56" t="s">
        <v>403</v>
      </c>
      <c r="C328" s="60"/>
      <c r="D328" s="60"/>
      <c r="E328" s="60"/>
      <c r="F328" s="60"/>
      <c r="G328" s="60"/>
      <c r="H328" s="60"/>
      <c r="K328">
        <v>3</v>
      </c>
      <c r="L328">
        <v>12</v>
      </c>
      <c r="M328" t="s">
        <v>1019</v>
      </c>
      <c r="N328" s="79" t="s">
        <v>549</v>
      </c>
      <c r="O328" s="80">
        <v>1</v>
      </c>
      <c r="P328" s="80">
        <v>1</v>
      </c>
      <c r="Q328" s="81">
        <v>0.88</v>
      </c>
      <c r="R328" s="80">
        <v>0.54</v>
      </c>
      <c r="S328" s="80">
        <v>0.27</v>
      </c>
      <c r="T328" s="80">
        <v>0.12</v>
      </c>
      <c r="U328" s="80">
        <v>0.06</v>
      </c>
      <c r="V328" s="80">
        <v>0.02</v>
      </c>
    </row>
    <row r="329" spans="1:22" x14ac:dyDescent="0.25">
      <c r="A329">
        <f>COUNTIF('Value Matchup'!$D$356:$D$423,B329)</f>
        <v>0</v>
      </c>
      <c r="B329" t="s">
        <v>32</v>
      </c>
      <c r="C329" s="60"/>
      <c r="D329" s="60"/>
      <c r="E329" s="60"/>
      <c r="F329" s="60"/>
      <c r="G329" s="60"/>
      <c r="H329" s="60"/>
      <c r="K329">
        <v>5</v>
      </c>
      <c r="L329">
        <v>17</v>
      </c>
      <c r="M329" t="s">
        <v>1020</v>
      </c>
      <c r="N329" s="79" t="s">
        <v>540</v>
      </c>
      <c r="O329" s="80">
        <v>1</v>
      </c>
      <c r="P329" s="80">
        <v>1</v>
      </c>
      <c r="Q329" s="81">
        <v>0.76</v>
      </c>
      <c r="R329" s="80">
        <v>0.41</v>
      </c>
      <c r="S329" s="80">
        <v>0.17</v>
      </c>
      <c r="T329" s="80">
        <v>0.08</v>
      </c>
      <c r="U329" s="80">
        <v>0.03</v>
      </c>
      <c r="V329" s="80">
        <v>0.01</v>
      </c>
    </row>
    <row r="330" spans="1:22" x14ac:dyDescent="0.25">
      <c r="A330">
        <f>COUNTIF('Value Matchup'!$D$356:$D$423,B330)</f>
        <v>0</v>
      </c>
      <c r="B330" s="56" t="s">
        <v>78</v>
      </c>
      <c r="C330" s="60"/>
      <c r="D330" s="60"/>
      <c r="E330" s="60"/>
      <c r="F330" s="60"/>
      <c r="G330" s="60"/>
      <c r="H330" s="60"/>
      <c r="M330" t="s">
        <v>1021</v>
      </c>
      <c r="N330" s="79" t="s">
        <v>529</v>
      </c>
      <c r="O330" s="80">
        <v>0.25</v>
      </c>
      <c r="P330" s="80">
        <v>0.24</v>
      </c>
      <c r="Q330" s="81">
        <v>0.1</v>
      </c>
      <c r="R330" s="80">
        <v>0.03</v>
      </c>
      <c r="S330" s="80">
        <v>0.01</v>
      </c>
      <c r="T330" s="80">
        <v>0</v>
      </c>
      <c r="U330" s="80">
        <v>0</v>
      </c>
      <c r="V330" s="80">
        <v>0</v>
      </c>
    </row>
    <row r="331" spans="1:22" x14ac:dyDescent="0.25">
      <c r="A331">
        <f>COUNTIF('Value Matchup'!$D$356:$D$423,B331)</f>
        <v>1</v>
      </c>
      <c r="B331" t="s">
        <v>47</v>
      </c>
      <c r="C331" s="60">
        <f>Q326</f>
        <v>0.39</v>
      </c>
      <c r="D331" s="60">
        <f t="shared" ref="D331:H331" si="62">R326</f>
        <v>0.1</v>
      </c>
      <c r="E331" s="60">
        <f t="shared" si="62"/>
        <v>0.03</v>
      </c>
      <c r="F331" s="60">
        <f t="shared" si="62"/>
        <v>0.01</v>
      </c>
      <c r="G331" s="60">
        <f t="shared" si="62"/>
        <v>0</v>
      </c>
      <c r="H331" s="60">
        <f t="shared" si="62"/>
        <v>0</v>
      </c>
      <c r="M331" t="s">
        <v>1022</v>
      </c>
      <c r="N331" s="79" t="s">
        <v>548</v>
      </c>
      <c r="O331" s="80">
        <v>0</v>
      </c>
      <c r="P331" s="80">
        <v>0</v>
      </c>
      <c r="Q331" s="81">
        <v>0</v>
      </c>
      <c r="R331" s="80">
        <v>0</v>
      </c>
      <c r="S331" s="80">
        <v>0</v>
      </c>
      <c r="T331" s="80">
        <v>0</v>
      </c>
      <c r="U331" s="80">
        <v>0</v>
      </c>
      <c r="V331" s="80">
        <v>0</v>
      </c>
    </row>
    <row r="332" spans="1:22" x14ac:dyDescent="0.25">
      <c r="A332">
        <f>COUNTIF('Value Matchup'!$D$356:$D$423,B332)</f>
        <v>0</v>
      </c>
      <c r="B332" s="56" t="s">
        <v>404</v>
      </c>
      <c r="C332" s="60"/>
      <c r="D332" s="60"/>
      <c r="E332" s="60"/>
      <c r="F332" s="60"/>
      <c r="G332" s="60"/>
      <c r="H332" s="60"/>
      <c r="M332" t="s">
        <v>1023</v>
      </c>
      <c r="N332" s="79" t="s">
        <v>524</v>
      </c>
      <c r="O332" s="80">
        <v>0</v>
      </c>
      <c r="P332" s="80">
        <v>0</v>
      </c>
      <c r="Q332" s="81">
        <v>0</v>
      </c>
      <c r="R332" s="80">
        <v>0</v>
      </c>
      <c r="S332" s="80">
        <v>0</v>
      </c>
      <c r="T332" s="80">
        <v>0</v>
      </c>
      <c r="U332" s="80">
        <v>0</v>
      </c>
      <c r="V332" s="80">
        <v>0</v>
      </c>
    </row>
    <row r="333" spans="1:22" x14ac:dyDescent="0.25">
      <c r="A333">
        <f>COUNTIF('Value Matchup'!$D$356:$D$423,B333)</f>
        <v>1</v>
      </c>
      <c r="B333" t="s">
        <v>50</v>
      </c>
      <c r="C333" s="60">
        <f>Q328</f>
        <v>0.88</v>
      </c>
      <c r="D333" s="60">
        <f t="shared" ref="D333:H333" si="63">R328</f>
        <v>0.54</v>
      </c>
      <c r="E333" s="60">
        <f t="shared" si="63"/>
        <v>0.27</v>
      </c>
      <c r="F333" s="60">
        <f t="shared" si="63"/>
        <v>0.12</v>
      </c>
      <c r="G333" s="60">
        <f t="shared" si="63"/>
        <v>0.06</v>
      </c>
      <c r="H333" s="60">
        <f t="shared" si="63"/>
        <v>0.02</v>
      </c>
      <c r="M333" t="s">
        <v>1024</v>
      </c>
      <c r="N333" s="79">
        <v>44363</v>
      </c>
      <c r="O333" s="80">
        <v>0</v>
      </c>
      <c r="P333" s="80">
        <v>0</v>
      </c>
      <c r="Q333" s="81">
        <v>0</v>
      </c>
      <c r="R333" s="80">
        <v>0</v>
      </c>
      <c r="S333" s="80">
        <v>0</v>
      </c>
      <c r="T333" s="80">
        <v>0</v>
      </c>
      <c r="U333" s="80">
        <v>0</v>
      </c>
      <c r="V333" s="80">
        <v>0</v>
      </c>
    </row>
    <row r="334" spans="1:22" x14ac:dyDescent="0.25">
      <c r="A334">
        <f>COUNTIF('Value Matchup'!$D$356:$D$423,B334)</f>
        <v>1</v>
      </c>
      <c r="B334" s="56" t="s">
        <v>61</v>
      </c>
      <c r="C334" s="60">
        <f>Q329</f>
        <v>0.76</v>
      </c>
      <c r="D334" s="60">
        <f t="shared" ref="D334:H335" si="64">R329</f>
        <v>0.41</v>
      </c>
      <c r="E334" s="60">
        <f t="shared" si="64"/>
        <v>0.17</v>
      </c>
      <c r="F334" s="60">
        <f t="shared" si="64"/>
        <v>0.08</v>
      </c>
      <c r="G334" s="60">
        <f t="shared" si="64"/>
        <v>0.03</v>
      </c>
      <c r="H334" s="60">
        <f t="shared" si="64"/>
        <v>0.01</v>
      </c>
      <c r="M334" t="s">
        <v>1025</v>
      </c>
      <c r="N334" s="79">
        <v>44337</v>
      </c>
      <c r="O334" s="80">
        <v>0</v>
      </c>
      <c r="P334" s="80">
        <v>0</v>
      </c>
      <c r="Q334" s="81">
        <v>0</v>
      </c>
      <c r="R334" s="80">
        <v>0</v>
      </c>
      <c r="S334" s="80">
        <v>0</v>
      </c>
      <c r="T334" s="80">
        <v>0</v>
      </c>
      <c r="U334" s="80">
        <v>0</v>
      </c>
      <c r="V334" s="80">
        <v>0</v>
      </c>
    </row>
    <row r="335" spans="1:22" x14ac:dyDescent="0.25">
      <c r="A335">
        <f>COUNTIF('Value Matchup'!$D$356:$D$423,B335)</f>
        <v>1</v>
      </c>
      <c r="B335" t="s">
        <v>405</v>
      </c>
      <c r="C335" s="60">
        <f>Q330</f>
        <v>0.1</v>
      </c>
      <c r="D335" s="60">
        <f t="shared" si="64"/>
        <v>0.03</v>
      </c>
      <c r="E335" s="60">
        <f t="shared" si="64"/>
        <v>0.01</v>
      </c>
      <c r="F335" s="60">
        <f t="shared" si="64"/>
        <v>0</v>
      </c>
      <c r="G335" s="60">
        <f t="shared" si="64"/>
        <v>0</v>
      </c>
      <c r="H335" s="60">
        <f t="shared" si="64"/>
        <v>0</v>
      </c>
      <c r="M335" t="s">
        <v>1026</v>
      </c>
      <c r="N335" s="79" t="s">
        <v>521</v>
      </c>
      <c r="O335" s="80">
        <v>0</v>
      </c>
      <c r="P335" s="80">
        <v>0</v>
      </c>
      <c r="Q335" s="81">
        <v>0</v>
      </c>
      <c r="R335" s="80">
        <v>0</v>
      </c>
      <c r="S335" s="80">
        <v>0</v>
      </c>
      <c r="T335" s="80">
        <v>0</v>
      </c>
      <c r="U335" s="80">
        <v>0</v>
      </c>
      <c r="V335" s="80">
        <v>0</v>
      </c>
    </row>
    <row r="336" spans="1:22" x14ac:dyDescent="0.25">
      <c r="A336">
        <f>COUNTIF('Value Matchup'!$D$356:$D$423,B336)</f>
        <v>0</v>
      </c>
      <c r="B336" s="56" t="s">
        <v>406</v>
      </c>
      <c r="C336" s="60"/>
      <c r="D336" s="60"/>
      <c r="E336" s="60"/>
      <c r="F336" s="60"/>
      <c r="G336" s="60"/>
      <c r="H336" s="60"/>
      <c r="M336" t="s">
        <v>1027</v>
      </c>
      <c r="N336" s="79" t="s">
        <v>556</v>
      </c>
      <c r="O336" s="80">
        <v>0</v>
      </c>
      <c r="P336" s="80">
        <v>0</v>
      </c>
      <c r="Q336" s="81">
        <v>0</v>
      </c>
      <c r="R336" s="80">
        <v>0</v>
      </c>
      <c r="S336" s="80">
        <v>0</v>
      </c>
      <c r="T336" s="80">
        <v>0</v>
      </c>
      <c r="U336" s="80">
        <v>0</v>
      </c>
      <c r="V336" s="80">
        <v>0</v>
      </c>
    </row>
    <row r="337" spans="1:22" x14ac:dyDescent="0.25">
      <c r="A337">
        <f>COUNTIF('Value Matchup'!$D$356:$D$423,B337)</f>
        <v>0</v>
      </c>
      <c r="B337" t="s">
        <v>407</v>
      </c>
      <c r="C337" s="60"/>
      <c r="D337" s="60"/>
      <c r="E337" s="60"/>
      <c r="F337" s="60"/>
      <c r="G337" s="60"/>
      <c r="H337" s="60"/>
      <c r="K337">
        <v>2</v>
      </c>
      <c r="L337">
        <v>8</v>
      </c>
      <c r="M337" t="s">
        <v>1028</v>
      </c>
      <c r="N337" s="79" t="s">
        <v>560</v>
      </c>
      <c r="O337" s="80">
        <v>1</v>
      </c>
      <c r="P337" s="80">
        <v>1</v>
      </c>
      <c r="Q337" s="81">
        <v>0.88</v>
      </c>
      <c r="R337" s="80">
        <v>0.5</v>
      </c>
      <c r="S337" s="80">
        <v>0.22</v>
      </c>
      <c r="T337" s="80">
        <v>0.09</v>
      </c>
      <c r="U337" s="80">
        <v>0.03</v>
      </c>
      <c r="V337" s="80">
        <v>0.01</v>
      </c>
    </row>
    <row r="338" spans="1:22" x14ac:dyDescent="0.25">
      <c r="A338">
        <f>COUNTIF('Value Matchup'!$D$356:$D$423,B338)</f>
        <v>0</v>
      </c>
      <c r="B338" s="56" t="s">
        <v>408</v>
      </c>
      <c r="C338" s="60"/>
      <c r="D338" s="60"/>
      <c r="E338" s="60"/>
      <c r="F338" s="60"/>
      <c r="G338" s="60"/>
      <c r="H338" s="60"/>
      <c r="M338" t="s">
        <v>1029</v>
      </c>
      <c r="N338" s="79">
        <v>44516</v>
      </c>
      <c r="O338" s="80">
        <v>0</v>
      </c>
      <c r="P338" s="80">
        <v>0</v>
      </c>
      <c r="Q338" s="81">
        <v>0</v>
      </c>
      <c r="R338" s="80">
        <v>0</v>
      </c>
      <c r="S338" s="80">
        <v>0</v>
      </c>
      <c r="T338" s="80">
        <v>0</v>
      </c>
      <c r="U338" s="80">
        <v>0</v>
      </c>
      <c r="V338" s="80">
        <v>0</v>
      </c>
    </row>
    <row r="339" spans="1:22" x14ac:dyDescent="0.25">
      <c r="A339">
        <f>COUNTIF('Value Matchup'!$D$356:$D$423,B339)</f>
        <v>0</v>
      </c>
      <c r="B339" t="s">
        <v>409</v>
      </c>
      <c r="C339" s="60"/>
      <c r="D339" s="60"/>
      <c r="E339" s="60"/>
      <c r="F339" s="60"/>
      <c r="G339" s="60"/>
      <c r="H339" s="60"/>
      <c r="M339" t="s">
        <v>1030</v>
      </c>
      <c r="N339" s="79">
        <v>44392</v>
      </c>
      <c r="O339" s="80">
        <v>0</v>
      </c>
      <c r="P339" s="80">
        <v>0</v>
      </c>
      <c r="Q339" s="81">
        <v>0</v>
      </c>
      <c r="R339" s="80">
        <v>0</v>
      </c>
      <c r="S339" s="80">
        <v>0</v>
      </c>
      <c r="T339" s="80">
        <v>0</v>
      </c>
      <c r="U339" s="80">
        <v>0</v>
      </c>
      <c r="V339" s="80">
        <v>0</v>
      </c>
    </row>
    <row r="340" spans="1:22" x14ac:dyDescent="0.25">
      <c r="A340">
        <f>COUNTIF('Value Matchup'!$D$356:$D$423,B340)</f>
        <v>0</v>
      </c>
      <c r="B340" s="56" t="s">
        <v>410</v>
      </c>
      <c r="C340" s="60"/>
      <c r="D340" s="60"/>
      <c r="E340" s="60"/>
      <c r="F340" s="60"/>
      <c r="G340" s="60"/>
      <c r="H340" s="60"/>
      <c r="M340" t="s">
        <v>1031</v>
      </c>
      <c r="N340" s="79" t="s">
        <v>588</v>
      </c>
      <c r="O340" s="80">
        <v>0</v>
      </c>
      <c r="P340" s="80">
        <v>0</v>
      </c>
      <c r="Q340" s="81">
        <v>0</v>
      </c>
      <c r="R340" s="80">
        <v>0</v>
      </c>
      <c r="S340" s="80">
        <v>0</v>
      </c>
      <c r="T340" s="80">
        <v>0</v>
      </c>
      <c r="U340" s="80">
        <v>0</v>
      </c>
      <c r="V340" s="80">
        <v>0</v>
      </c>
    </row>
    <row r="341" spans="1:22" x14ac:dyDescent="0.25">
      <c r="A341">
        <f>COUNTIF('Value Matchup'!$D$356:$D$423,B341)</f>
        <v>0</v>
      </c>
      <c r="B341" t="s">
        <v>411</v>
      </c>
      <c r="C341" s="60"/>
      <c r="D341" s="60"/>
      <c r="E341" s="60"/>
      <c r="F341" s="60"/>
      <c r="G341" s="60"/>
      <c r="H341" s="60"/>
      <c r="M341" t="s">
        <v>1032</v>
      </c>
      <c r="N341" s="79">
        <v>44332</v>
      </c>
      <c r="O341" s="80">
        <v>0</v>
      </c>
      <c r="P341" s="80">
        <v>0</v>
      </c>
      <c r="Q341" s="81">
        <v>0</v>
      </c>
      <c r="R341" s="80">
        <v>0</v>
      </c>
      <c r="S341" s="80">
        <v>0</v>
      </c>
      <c r="T341" s="80">
        <v>0</v>
      </c>
      <c r="U341" s="80">
        <v>0</v>
      </c>
      <c r="V341" s="80">
        <v>0</v>
      </c>
    </row>
    <row r="342" spans="1:22" x14ac:dyDescent="0.25">
      <c r="A342">
        <f>COUNTIF('Value Matchup'!$D$356:$D$423,B342)</f>
        <v>1</v>
      </c>
      <c r="B342" s="56" t="s">
        <v>412</v>
      </c>
      <c r="C342" s="60">
        <f>Q337</f>
        <v>0.88</v>
      </c>
      <c r="D342" s="60">
        <f t="shared" ref="D342:H342" si="65">R337</f>
        <v>0.5</v>
      </c>
      <c r="E342" s="60">
        <f t="shared" si="65"/>
        <v>0.22</v>
      </c>
      <c r="F342" s="60">
        <f t="shared" si="65"/>
        <v>0.09</v>
      </c>
      <c r="G342" s="60">
        <f t="shared" si="65"/>
        <v>0.03</v>
      </c>
      <c r="H342" s="60">
        <f t="shared" si="65"/>
        <v>0.01</v>
      </c>
      <c r="K342">
        <v>12</v>
      </c>
      <c r="L342">
        <v>48</v>
      </c>
      <c r="M342" t="s">
        <v>1033</v>
      </c>
      <c r="N342" s="79" t="s">
        <v>580</v>
      </c>
      <c r="O342" s="80">
        <v>0.54</v>
      </c>
      <c r="P342" s="80">
        <v>0.53</v>
      </c>
      <c r="Q342" s="81">
        <v>0.17</v>
      </c>
      <c r="R342" s="80">
        <v>0.03</v>
      </c>
      <c r="S342" s="80">
        <v>0.01</v>
      </c>
      <c r="T342" s="80">
        <v>0</v>
      </c>
      <c r="U342" s="80">
        <v>0</v>
      </c>
      <c r="V342" s="80">
        <v>0</v>
      </c>
    </row>
    <row r="343" spans="1:22" x14ac:dyDescent="0.25">
      <c r="A343">
        <f>COUNTIF('Value Matchup'!$D$356:$D$423,B343)</f>
        <v>0</v>
      </c>
      <c r="B343" t="s">
        <v>413</v>
      </c>
      <c r="C343" s="60"/>
      <c r="D343" s="60"/>
      <c r="E343" s="60"/>
      <c r="F343" s="60"/>
      <c r="G343" s="60"/>
      <c r="H343" s="60"/>
      <c r="M343" t="s">
        <v>1034</v>
      </c>
      <c r="N343" s="79">
        <v>44387</v>
      </c>
      <c r="O343" s="80">
        <v>0</v>
      </c>
      <c r="P343" s="80">
        <v>0</v>
      </c>
      <c r="Q343" s="81">
        <v>0</v>
      </c>
      <c r="R343" s="80">
        <v>0</v>
      </c>
      <c r="S343" s="80">
        <v>0</v>
      </c>
      <c r="T343" s="80">
        <v>0</v>
      </c>
      <c r="U343" s="80">
        <v>0</v>
      </c>
      <c r="V343" s="80">
        <v>0</v>
      </c>
    </row>
    <row r="344" spans="1:22" x14ac:dyDescent="0.25">
      <c r="A344">
        <f>COUNTIF('Value Matchup'!$D$356:$D$423,B344)</f>
        <v>0</v>
      </c>
      <c r="B344" s="56" t="s">
        <v>414</v>
      </c>
      <c r="C344" s="60"/>
      <c r="D344" s="60"/>
      <c r="E344" s="60"/>
      <c r="F344" s="60"/>
      <c r="G344" s="60"/>
      <c r="H344" s="60"/>
      <c r="K344">
        <v>13</v>
      </c>
      <c r="L344">
        <v>52</v>
      </c>
      <c r="M344" t="s">
        <v>1035</v>
      </c>
      <c r="N344" s="79" t="s">
        <v>589</v>
      </c>
      <c r="O344" s="80">
        <v>1</v>
      </c>
      <c r="P344" s="80">
        <v>0.97</v>
      </c>
      <c r="Q344" s="81">
        <v>0.17</v>
      </c>
      <c r="R344" s="80">
        <v>0.04</v>
      </c>
      <c r="S344" s="80">
        <v>0</v>
      </c>
      <c r="T344" s="80">
        <v>0</v>
      </c>
      <c r="U344" s="80">
        <v>0</v>
      </c>
      <c r="V344" s="80">
        <v>0</v>
      </c>
    </row>
    <row r="345" spans="1:22" x14ac:dyDescent="0.25">
      <c r="A345">
        <f>COUNTIF('Value Matchup'!$D$356:$D$423,B345)</f>
        <v>0</v>
      </c>
      <c r="B345" t="s">
        <v>415</v>
      </c>
      <c r="C345" s="60"/>
      <c r="D345" s="60"/>
      <c r="E345" s="60"/>
      <c r="F345" s="60"/>
      <c r="G345" s="60"/>
      <c r="H345" s="60"/>
      <c r="K345">
        <v>10</v>
      </c>
      <c r="L345">
        <v>37</v>
      </c>
      <c r="M345" t="s">
        <v>1036</v>
      </c>
      <c r="N345" s="79" t="s">
        <v>579</v>
      </c>
      <c r="O345" s="80">
        <v>1</v>
      </c>
      <c r="P345" s="80">
        <v>0.95</v>
      </c>
      <c r="Q345" s="81">
        <v>0.55000000000000004</v>
      </c>
      <c r="R345" s="80">
        <v>0.21</v>
      </c>
      <c r="S345" s="80">
        <v>0.1</v>
      </c>
      <c r="T345" s="80">
        <v>0.04</v>
      </c>
      <c r="U345" s="80">
        <v>0.01</v>
      </c>
      <c r="V345" s="80">
        <v>0</v>
      </c>
    </row>
    <row r="346" spans="1:22" x14ac:dyDescent="0.25">
      <c r="A346">
        <f>COUNTIF('Value Matchup'!$D$356:$D$423,B346)</f>
        <v>0</v>
      </c>
      <c r="B346" s="56" t="s">
        <v>416</v>
      </c>
      <c r="C346" s="60"/>
      <c r="D346" s="60"/>
      <c r="E346" s="60"/>
      <c r="F346" s="60"/>
      <c r="G346" s="60"/>
      <c r="H346" s="60"/>
      <c r="M346" t="s">
        <v>1037</v>
      </c>
      <c r="N346" s="79" t="s">
        <v>590</v>
      </c>
      <c r="O346" s="80">
        <v>0</v>
      </c>
      <c r="P346" s="80">
        <v>0</v>
      </c>
      <c r="Q346" s="81">
        <v>0</v>
      </c>
      <c r="R346" s="80">
        <v>0</v>
      </c>
      <c r="S346" s="80">
        <v>0</v>
      </c>
      <c r="T346" s="80">
        <v>0</v>
      </c>
      <c r="U346" s="80">
        <v>0</v>
      </c>
      <c r="V346" s="80">
        <v>0</v>
      </c>
    </row>
    <row r="347" spans="1:22" x14ac:dyDescent="0.25">
      <c r="A347">
        <f>COUNTIF('Value Matchup'!$D$356:$D$423,B347)</f>
        <v>1</v>
      </c>
      <c r="B347" t="s">
        <v>417</v>
      </c>
      <c r="C347" s="60">
        <f>Q342</f>
        <v>0.17</v>
      </c>
      <c r="D347" s="60">
        <f t="shared" ref="D347:H347" si="66">R342</f>
        <v>0.03</v>
      </c>
      <c r="E347" s="60">
        <f t="shared" si="66"/>
        <v>0.01</v>
      </c>
      <c r="F347" s="60">
        <f t="shared" si="66"/>
        <v>0</v>
      </c>
      <c r="G347" s="60">
        <f t="shared" si="66"/>
        <v>0</v>
      </c>
      <c r="H347" s="60">
        <f t="shared" si="66"/>
        <v>0</v>
      </c>
      <c r="M347" t="s">
        <v>1038</v>
      </c>
      <c r="N347" s="79" t="s">
        <v>540</v>
      </c>
      <c r="O347" s="80">
        <v>0</v>
      </c>
      <c r="P347" s="80">
        <v>0</v>
      </c>
      <c r="Q347" s="81">
        <v>0</v>
      </c>
      <c r="R347" s="80">
        <v>0</v>
      </c>
      <c r="S347" s="80">
        <v>0</v>
      </c>
      <c r="T347" s="80">
        <v>0</v>
      </c>
      <c r="U347" s="80">
        <v>0</v>
      </c>
      <c r="V347" s="80">
        <v>0</v>
      </c>
    </row>
    <row r="348" spans="1:22" x14ac:dyDescent="0.25">
      <c r="A348">
        <f>COUNTIF('Value Matchup'!$D$356:$D$423,B348)</f>
        <v>0</v>
      </c>
      <c r="B348" s="56" t="s">
        <v>418</v>
      </c>
      <c r="C348" s="60"/>
      <c r="D348" s="60"/>
      <c r="E348" s="60"/>
      <c r="F348" s="60"/>
      <c r="G348" s="60"/>
      <c r="H348" s="60"/>
      <c r="M348" t="s">
        <v>1039</v>
      </c>
      <c r="N348" s="79" t="s">
        <v>528</v>
      </c>
      <c r="O348" s="80">
        <v>0</v>
      </c>
      <c r="P348" s="80">
        <v>0</v>
      </c>
      <c r="Q348" s="81">
        <v>0</v>
      </c>
      <c r="R348" s="80">
        <v>0</v>
      </c>
      <c r="S348" s="80">
        <v>0</v>
      </c>
      <c r="T348" s="80">
        <v>0</v>
      </c>
      <c r="U348" s="80">
        <v>0</v>
      </c>
      <c r="V348" s="80">
        <v>0</v>
      </c>
    </row>
    <row r="349" spans="1:22" x14ac:dyDescent="0.25">
      <c r="A349">
        <f>COUNTIF('Value Matchup'!$D$356:$D$423,B349)</f>
        <v>1</v>
      </c>
      <c r="B349" t="s">
        <v>419</v>
      </c>
      <c r="C349" s="60">
        <f>Q344</f>
        <v>0.17</v>
      </c>
      <c r="D349" s="60">
        <f t="shared" ref="D349:H349" si="67">R344</f>
        <v>0.04</v>
      </c>
      <c r="E349" s="60">
        <f t="shared" si="67"/>
        <v>0</v>
      </c>
      <c r="F349" s="60">
        <f t="shared" si="67"/>
        <v>0</v>
      </c>
      <c r="G349" s="60">
        <f t="shared" si="67"/>
        <v>0</v>
      </c>
      <c r="H349" s="60">
        <f t="shared" si="67"/>
        <v>0</v>
      </c>
      <c r="M349" t="s">
        <v>1040</v>
      </c>
      <c r="N349" s="79" t="s">
        <v>543</v>
      </c>
      <c r="O349" s="80">
        <v>0.03</v>
      </c>
      <c r="P349" s="80">
        <v>0.02</v>
      </c>
      <c r="Q349" s="81">
        <v>0.01</v>
      </c>
      <c r="R349" s="80">
        <v>0</v>
      </c>
      <c r="S349" s="80">
        <v>0</v>
      </c>
      <c r="T349" s="80">
        <v>0</v>
      </c>
      <c r="U349" s="80">
        <v>0</v>
      </c>
      <c r="V349" s="80">
        <v>0</v>
      </c>
    </row>
    <row r="350" spans="1:22" x14ac:dyDescent="0.25">
      <c r="A350">
        <f>COUNTIF('Value Matchup'!$D$356:$D$423,B350)</f>
        <v>1</v>
      </c>
      <c r="B350" s="56" t="s">
        <v>39</v>
      </c>
      <c r="C350" s="60">
        <f>Q345</f>
        <v>0.55000000000000004</v>
      </c>
      <c r="D350" s="60">
        <f t="shared" ref="D350:H350" si="68">R345</f>
        <v>0.21</v>
      </c>
      <c r="E350" s="60">
        <f t="shared" si="68"/>
        <v>0.1</v>
      </c>
      <c r="F350" s="60">
        <f t="shared" si="68"/>
        <v>0.04</v>
      </c>
      <c r="G350" s="60">
        <f t="shared" si="68"/>
        <v>0.01</v>
      </c>
      <c r="H350" s="60">
        <f t="shared" si="68"/>
        <v>0</v>
      </c>
      <c r="M350" t="s">
        <v>1041</v>
      </c>
      <c r="N350" s="79" t="s">
        <v>562</v>
      </c>
      <c r="O350" s="80">
        <v>0</v>
      </c>
      <c r="P350" s="80">
        <v>0</v>
      </c>
      <c r="Q350" s="81">
        <v>0</v>
      </c>
      <c r="R350" s="80">
        <v>0</v>
      </c>
      <c r="S350" s="80">
        <v>0</v>
      </c>
      <c r="T350" s="80">
        <v>0</v>
      </c>
      <c r="U350" s="80">
        <v>0</v>
      </c>
      <c r="V350" s="80">
        <v>0</v>
      </c>
    </row>
    <row r="351" spans="1:22" x14ac:dyDescent="0.25">
      <c r="A351">
        <f>COUNTIF('Value Matchup'!$D$356:$D$423,B351)</f>
        <v>0</v>
      </c>
      <c r="B351" t="s">
        <v>42</v>
      </c>
      <c r="C351" s="60"/>
      <c r="D351" s="60"/>
      <c r="E351" s="60"/>
      <c r="F351" s="60"/>
      <c r="G351" s="60"/>
      <c r="H351" s="60"/>
      <c r="K351">
        <v>8</v>
      </c>
      <c r="L351">
        <v>30</v>
      </c>
      <c r="M351" t="s">
        <v>497</v>
      </c>
      <c r="N351" s="79" t="s">
        <v>496</v>
      </c>
      <c r="O351" s="80">
        <v>1</v>
      </c>
      <c r="P351" s="80">
        <v>1</v>
      </c>
      <c r="Q351" s="81">
        <v>0.55000000000000004</v>
      </c>
      <c r="R351" s="80">
        <v>0.14000000000000001</v>
      </c>
      <c r="S351" s="80">
        <v>0.05</v>
      </c>
      <c r="T351" s="80">
        <v>0.01</v>
      </c>
      <c r="U351" s="80">
        <v>0</v>
      </c>
      <c r="V351" s="80">
        <v>0</v>
      </c>
    </row>
    <row r="352" spans="1:22" x14ac:dyDescent="0.25">
      <c r="A352">
        <f>COUNTIF('Value Matchup'!$D$356:$D$423,B352)</f>
        <v>0</v>
      </c>
      <c r="B352" s="56" t="s">
        <v>420</v>
      </c>
      <c r="C352" s="60"/>
      <c r="D352" s="60"/>
      <c r="E352" s="60"/>
      <c r="F352" s="60"/>
      <c r="G352" s="60"/>
      <c r="H352" s="60"/>
      <c r="M352" t="s">
        <v>498</v>
      </c>
      <c r="N352" s="79" t="s">
        <v>493</v>
      </c>
      <c r="O352" s="80">
        <v>0</v>
      </c>
      <c r="P352" s="80">
        <v>0</v>
      </c>
      <c r="Q352" s="81">
        <v>0</v>
      </c>
      <c r="R352" s="80">
        <v>0</v>
      </c>
      <c r="S352" s="80">
        <v>0</v>
      </c>
      <c r="T352" s="80">
        <v>0</v>
      </c>
      <c r="U352" s="80">
        <v>0</v>
      </c>
      <c r="V352" s="80">
        <v>0</v>
      </c>
    </row>
    <row r="353" spans="1:22" x14ac:dyDescent="0.25">
      <c r="A353">
        <f>COUNTIF('Value Matchup'!$D$356:$D$423,B353)</f>
        <v>0</v>
      </c>
      <c r="B353" t="s">
        <v>53</v>
      </c>
      <c r="C353" s="60"/>
      <c r="D353" s="60"/>
      <c r="E353" s="60"/>
      <c r="F353" s="60"/>
      <c r="G353" s="60"/>
      <c r="H353" s="60"/>
      <c r="M353" t="s">
        <v>499</v>
      </c>
      <c r="N353" s="79">
        <v>43701</v>
      </c>
      <c r="O353" s="80">
        <v>0</v>
      </c>
      <c r="P353" s="80">
        <v>0</v>
      </c>
      <c r="Q353" s="81">
        <v>0</v>
      </c>
      <c r="R353" s="80">
        <v>0</v>
      </c>
      <c r="S353" s="80">
        <v>0</v>
      </c>
      <c r="T353" s="80">
        <v>0</v>
      </c>
      <c r="U353" s="80">
        <v>0</v>
      </c>
      <c r="V353" s="80">
        <v>0</v>
      </c>
    </row>
    <row r="354" spans="1:22" x14ac:dyDescent="0.25">
      <c r="A354">
        <f>COUNTIF('Value Matchup'!$D$356:$D$423,B354)</f>
        <v>0</v>
      </c>
      <c r="B354" s="56" t="s">
        <v>44</v>
      </c>
      <c r="C354" s="60"/>
      <c r="D354" s="60"/>
      <c r="E354" s="60"/>
      <c r="F354" s="60"/>
      <c r="G354" s="60"/>
      <c r="H354" s="60"/>
      <c r="M354" t="s">
        <v>503</v>
      </c>
      <c r="N354" s="79" t="s">
        <v>494</v>
      </c>
      <c r="O354" s="80">
        <v>0.01</v>
      </c>
      <c r="P354" s="80">
        <v>0.01</v>
      </c>
      <c r="Q354" s="81">
        <v>0</v>
      </c>
      <c r="R354" s="80">
        <v>0</v>
      </c>
      <c r="S354" s="80">
        <v>0</v>
      </c>
      <c r="T354" s="80">
        <v>0</v>
      </c>
      <c r="U354" s="80">
        <v>0</v>
      </c>
      <c r="V354" s="80">
        <v>0</v>
      </c>
    </row>
    <row r="355" spans="1:22" x14ac:dyDescent="0.25">
      <c r="A355">
        <f>COUNTIF('Value Matchup'!$D$356:$D$423,B355)</f>
        <v>0</v>
      </c>
      <c r="B355" t="s">
        <v>93</v>
      </c>
      <c r="C355" s="60"/>
      <c r="D355" s="60"/>
      <c r="E355" s="60"/>
      <c r="F355" s="60"/>
      <c r="G355" s="60"/>
      <c r="H355" s="60"/>
      <c r="K355">
        <v>13</v>
      </c>
      <c r="L355">
        <v>52</v>
      </c>
      <c r="M355" t="s">
        <v>504</v>
      </c>
      <c r="N355" s="79" t="s">
        <v>505</v>
      </c>
      <c r="O355" s="80">
        <v>0.76</v>
      </c>
      <c r="P355" s="80">
        <v>0.71</v>
      </c>
      <c r="Q355" s="81">
        <v>0.14000000000000001</v>
      </c>
      <c r="R355" s="80">
        <v>0.03</v>
      </c>
      <c r="S355" s="80">
        <v>0</v>
      </c>
      <c r="T355" s="80">
        <v>0</v>
      </c>
      <c r="U355" s="80">
        <v>0</v>
      </c>
      <c r="V355" s="80">
        <v>0</v>
      </c>
    </row>
    <row r="356" spans="1:22" x14ac:dyDescent="0.25">
      <c r="A356">
        <f>COUNTIF('Value Matchup'!$D$356:$D$423,B356)</f>
        <v>0</v>
      </c>
      <c r="B356" s="56" t="s">
        <v>421</v>
      </c>
      <c r="C356" s="56"/>
      <c r="D356" s="56"/>
      <c r="E356" s="56"/>
      <c r="F356" s="56"/>
      <c r="G356" s="56"/>
      <c r="H356" s="56"/>
      <c r="M356" t="s">
        <v>495</v>
      </c>
      <c r="N356" s="79">
        <v>43819</v>
      </c>
      <c r="O356" s="80">
        <v>0</v>
      </c>
      <c r="P356" s="80">
        <v>0</v>
      </c>
      <c r="Q356" s="81">
        <v>0</v>
      </c>
      <c r="R356" s="80">
        <v>0</v>
      </c>
      <c r="S356" s="80">
        <v>0</v>
      </c>
      <c r="T356" s="80">
        <v>0</v>
      </c>
      <c r="U356" s="80">
        <v>0</v>
      </c>
      <c r="V356" s="80">
        <v>0</v>
      </c>
    </row>
  </sheetData>
  <autoFilter ref="A3:H356" xr:uid="{00000000-0009-0000-0000-000006000000}"/>
  <hyperlinks>
    <hyperlink ref="B2" r:id="rId1" xr:uid="{00000000-0004-0000-0600-000000000000}"/>
    <hyperlink ref="B1" r:id="rId2" xr:uid="{00000000-0004-0000-0600-000001000000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-0.249977111117893"/>
    <pageSetUpPr fitToPage="1"/>
  </sheetPr>
  <dimension ref="A1:AH468"/>
  <sheetViews>
    <sheetView showZeros="0" topLeftCell="A354" zoomScale="70" zoomScaleNormal="70" workbookViewId="0">
      <selection activeCell="D423" sqref="D423"/>
    </sheetView>
  </sheetViews>
  <sheetFormatPr defaultColWidth="53.85546875" defaultRowHeight="15" x14ac:dyDescent="0.25"/>
  <cols>
    <col min="1" max="1" width="5.85546875" style="5" customWidth="1"/>
    <col min="2" max="2" width="3.85546875" style="5" bestFit="1" customWidth="1"/>
    <col min="3" max="3" width="3.28515625" style="5" bestFit="1" customWidth="1"/>
    <col min="4" max="4" width="20.5703125" style="26" bestFit="1" customWidth="1"/>
    <col min="5" max="5" width="9.5703125" style="9" bestFit="1" customWidth="1"/>
    <col min="6" max="6" width="7.140625" style="9" bestFit="1" customWidth="1"/>
    <col min="7" max="8" width="7.28515625" style="9" bestFit="1" customWidth="1"/>
    <col min="9" max="10" width="6.28515625" style="9" bestFit="1" customWidth="1"/>
    <col min="11" max="11" width="10" style="5" bestFit="1" customWidth="1"/>
    <col min="12" max="17" width="6.28515625" style="6" bestFit="1" customWidth="1"/>
    <col min="18" max="18" width="8.140625" style="9" customWidth="1"/>
    <col min="19" max="19" width="8.140625" style="9" bestFit="1" customWidth="1"/>
    <col min="20" max="31" width="6.28515625" style="51" bestFit="1" customWidth="1"/>
    <col min="32" max="33" width="6.85546875" customWidth="1"/>
    <col min="34" max="34" width="9.28515625" bestFit="1" customWidth="1"/>
    <col min="35" max="35" width="9.5703125" customWidth="1"/>
  </cols>
  <sheetData>
    <row r="1" spans="4:4" ht="15" hidden="1" customHeight="1" x14ac:dyDescent="0.25">
      <c r="D1" t="s">
        <v>107</v>
      </c>
    </row>
    <row r="2" spans="4:4" ht="15" hidden="1" customHeight="1" x14ac:dyDescent="0.25">
      <c r="D2" t="s">
        <v>109</v>
      </c>
    </row>
    <row r="3" spans="4:4" ht="15" hidden="1" customHeight="1" x14ac:dyDescent="0.25">
      <c r="D3" t="s">
        <v>111</v>
      </c>
    </row>
    <row r="4" spans="4:4" ht="15" hidden="1" customHeight="1" x14ac:dyDescent="0.25">
      <c r="D4" t="s">
        <v>113</v>
      </c>
    </row>
    <row r="5" spans="4:4" ht="15" hidden="1" customHeight="1" x14ac:dyDescent="0.25">
      <c r="D5" t="s">
        <v>115</v>
      </c>
    </row>
    <row r="6" spans="4:4" ht="15" hidden="1" customHeight="1" x14ac:dyDescent="0.25">
      <c r="D6" t="s">
        <v>117</v>
      </c>
    </row>
    <row r="7" spans="4:4" ht="15" hidden="1" customHeight="1" x14ac:dyDescent="0.25">
      <c r="D7" t="s">
        <v>59</v>
      </c>
    </row>
    <row r="8" spans="4:4" ht="15" hidden="1" customHeight="1" x14ac:dyDescent="0.25">
      <c r="D8" t="s">
        <v>119</v>
      </c>
    </row>
    <row r="9" spans="4:4" ht="15" hidden="1" customHeight="1" x14ac:dyDescent="0.25">
      <c r="D9" t="s">
        <v>120</v>
      </c>
    </row>
    <row r="10" spans="4:4" ht="15" hidden="1" customHeight="1" x14ac:dyDescent="0.25">
      <c r="D10" t="s">
        <v>122</v>
      </c>
    </row>
    <row r="11" spans="4:4" ht="15" hidden="1" customHeight="1" x14ac:dyDescent="0.25">
      <c r="D11" t="s">
        <v>48</v>
      </c>
    </row>
    <row r="12" spans="4:4" ht="15" hidden="1" customHeight="1" x14ac:dyDescent="0.25">
      <c r="D12" t="s">
        <v>125</v>
      </c>
    </row>
    <row r="13" spans="4:4" ht="15" hidden="1" customHeight="1" x14ac:dyDescent="0.25">
      <c r="D13" t="s">
        <v>41</v>
      </c>
    </row>
    <row r="14" spans="4:4" ht="15" hidden="1" customHeight="1" x14ac:dyDescent="0.25">
      <c r="D14" t="s">
        <v>126</v>
      </c>
    </row>
    <row r="15" spans="4:4" ht="15" hidden="1" customHeight="1" x14ac:dyDescent="0.25">
      <c r="D15" t="s">
        <v>127</v>
      </c>
    </row>
    <row r="16" spans="4:4" ht="15" hidden="1" customHeight="1" x14ac:dyDescent="0.25">
      <c r="D16" t="s">
        <v>128</v>
      </c>
    </row>
    <row r="17" spans="4:4" ht="15" hidden="1" customHeight="1" x14ac:dyDescent="0.25">
      <c r="D17" t="s">
        <v>129</v>
      </c>
    </row>
    <row r="18" spans="4:4" ht="15" hidden="1" customHeight="1" x14ac:dyDescent="0.25">
      <c r="D18" t="s">
        <v>130</v>
      </c>
    </row>
    <row r="19" spans="4:4" ht="15" hidden="1" customHeight="1" x14ac:dyDescent="0.25">
      <c r="D19" t="s">
        <v>132</v>
      </c>
    </row>
    <row r="20" spans="4:4" ht="15" hidden="1" customHeight="1" x14ac:dyDescent="0.25">
      <c r="D20" t="s">
        <v>46</v>
      </c>
    </row>
    <row r="21" spans="4:4" ht="15" hidden="1" customHeight="1" x14ac:dyDescent="0.25">
      <c r="D21" t="s">
        <v>62</v>
      </c>
    </row>
    <row r="22" spans="4:4" ht="15" hidden="1" customHeight="1" x14ac:dyDescent="0.25">
      <c r="D22" t="s">
        <v>134</v>
      </c>
    </row>
    <row r="23" spans="4:4" ht="15" hidden="1" customHeight="1" x14ac:dyDescent="0.25">
      <c r="D23" t="s">
        <v>136</v>
      </c>
    </row>
    <row r="24" spans="4:4" ht="15" hidden="1" customHeight="1" x14ac:dyDescent="0.25">
      <c r="D24" t="s">
        <v>137</v>
      </c>
    </row>
    <row r="25" spans="4:4" ht="15" hidden="1" customHeight="1" x14ac:dyDescent="0.25">
      <c r="D25" t="s">
        <v>138</v>
      </c>
    </row>
    <row r="26" spans="4:4" ht="15" hidden="1" customHeight="1" x14ac:dyDescent="0.25">
      <c r="D26" t="s">
        <v>140</v>
      </c>
    </row>
    <row r="27" spans="4:4" ht="15" hidden="1" customHeight="1" x14ac:dyDescent="0.25">
      <c r="D27" t="s">
        <v>141</v>
      </c>
    </row>
    <row r="28" spans="4:4" ht="15" hidden="1" customHeight="1" x14ac:dyDescent="0.25">
      <c r="D28" t="s">
        <v>142</v>
      </c>
    </row>
    <row r="29" spans="4:4" ht="15" hidden="1" customHeight="1" x14ac:dyDescent="0.25">
      <c r="D29" t="s">
        <v>144</v>
      </c>
    </row>
    <row r="30" spans="4:4" ht="15" hidden="1" customHeight="1" x14ac:dyDescent="0.25">
      <c r="D30" t="s">
        <v>146</v>
      </c>
    </row>
    <row r="31" spans="4:4" ht="15" hidden="1" customHeight="1" x14ac:dyDescent="0.25">
      <c r="D31" t="s">
        <v>148</v>
      </c>
    </row>
    <row r="32" spans="4:4" ht="15" hidden="1" customHeight="1" x14ac:dyDescent="0.25">
      <c r="D32" t="s">
        <v>30</v>
      </c>
    </row>
    <row r="33" spans="4:4" ht="15" hidden="1" customHeight="1" x14ac:dyDescent="0.25">
      <c r="D33" t="s">
        <v>33</v>
      </c>
    </row>
    <row r="34" spans="4:4" ht="15" hidden="1" customHeight="1" x14ac:dyDescent="0.25">
      <c r="D34" t="s">
        <v>72</v>
      </c>
    </row>
    <row r="35" spans="4:4" ht="15" hidden="1" customHeight="1" x14ac:dyDescent="0.25">
      <c r="D35" t="s">
        <v>487</v>
      </c>
    </row>
    <row r="36" spans="4:4" ht="15" hidden="1" customHeight="1" x14ac:dyDescent="0.25">
      <c r="D36" t="s">
        <v>151</v>
      </c>
    </row>
    <row r="37" spans="4:4" ht="15" hidden="1" customHeight="1" x14ac:dyDescent="0.25">
      <c r="D37" t="s">
        <v>153</v>
      </c>
    </row>
    <row r="38" spans="4:4" ht="15" hidden="1" customHeight="1" x14ac:dyDescent="0.25">
      <c r="D38" t="s">
        <v>155</v>
      </c>
    </row>
    <row r="39" spans="4:4" ht="15" hidden="1" customHeight="1" x14ac:dyDescent="0.25">
      <c r="D39" t="s">
        <v>156</v>
      </c>
    </row>
    <row r="40" spans="4:4" ht="15" hidden="1" customHeight="1" x14ac:dyDescent="0.25">
      <c r="D40" t="s">
        <v>84</v>
      </c>
    </row>
    <row r="41" spans="4:4" ht="15" hidden="1" customHeight="1" x14ac:dyDescent="0.25">
      <c r="D41" t="s">
        <v>157</v>
      </c>
    </row>
    <row r="42" spans="4:4" ht="15" hidden="1" customHeight="1" x14ac:dyDescent="0.25">
      <c r="D42" t="s">
        <v>159</v>
      </c>
    </row>
    <row r="43" spans="4:4" ht="15" hidden="1" customHeight="1" x14ac:dyDescent="0.25">
      <c r="D43" t="s">
        <v>161</v>
      </c>
    </row>
    <row r="44" spans="4:4" ht="15" hidden="1" customHeight="1" x14ac:dyDescent="0.25">
      <c r="D44" t="s">
        <v>162</v>
      </c>
    </row>
    <row r="45" spans="4:4" ht="15" hidden="1" customHeight="1" x14ac:dyDescent="0.25">
      <c r="D45" t="s">
        <v>163</v>
      </c>
    </row>
    <row r="46" spans="4:4" ht="15" hidden="1" customHeight="1" x14ac:dyDescent="0.25">
      <c r="D46" t="s">
        <v>488</v>
      </c>
    </row>
    <row r="47" spans="4:4" ht="15" hidden="1" customHeight="1" x14ac:dyDescent="0.25">
      <c r="D47" t="s">
        <v>164</v>
      </c>
    </row>
    <row r="48" spans="4:4" ht="15" hidden="1" customHeight="1" x14ac:dyDescent="0.25">
      <c r="D48" t="s">
        <v>165</v>
      </c>
    </row>
    <row r="49" spans="4:4" ht="15" hidden="1" customHeight="1" x14ac:dyDescent="0.25">
      <c r="D49" t="s">
        <v>167</v>
      </c>
    </row>
    <row r="50" spans="4:4" ht="15" hidden="1" customHeight="1" x14ac:dyDescent="0.25">
      <c r="D50" t="s">
        <v>169</v>
      </c>
    </row>
    <row r="51" spans="4:4" ht="15" hidden="1" customHeight="1" x14ac:dyDescent="0.25">
      <c r="D51" t="s">
        <v>28</v>
      </c>
    </row>
    <row r="52" spans="4:4" ht="15" hidden="1" customHeight="1" x14ac:dyDescent="0.25">
      <c r="D52" t="s">
        <v>89</v>
      </c>
    </row>
    <row r="53" spans="4:4" ht="15" hidden="1" customHeight="1" x14ac:dyDescent="0.25">
      <c r="D53" t="s">
        <v>171</v>
      </c>
    </row>
    <row r="54" spans="4:4" ht="15" hidden="1" customHeight="1" x14ac:dyDescent="0.25">
      <c r="D54" t="s">
        <v>173</v>
      </c>
    </row>
    <row r="55" spans="4:4" ht="15" hidden="1" customHeight="1" x14ac:dyDescent="0.25">
      <c r="D55" t="s">
        <v>174</v>
      </c>
    </row>
    <row r="56" spans="4:4" ht="15" hidden="1" customHeight="1" x14ac:dyDescent="0.25">
      <c r="D56" t="s">
        <v>95</v>
      </c>
    </row>
    <row r="57" spans="4:4" ht="15" hidden="1" customHeight="1" x14ac:dyDescent="0.25">
      <c r="D57" t="s">
        <v>176</v>
      </c>
    </row>
    <row r="58" spans="4:4" ht="15" hidden="1" customHeight="1" x14ac:dyDescent="0.25">
      <c r="D58" t="s">
        <v>177</v>
      </c>
    </row>
    <row r="59" spans="4:4" ht="15" hidden="1" customHeight="1" x14ac:dyDescent="0.25">
      <c r="D59" t="s">
        <v>80</v>
      </c>
    </row>
    <row r="60" spans="4:4" ht="15" hidden="1" customHeight="1" x14ac:dyDescent="0.25">
      <c r="D60" t="s">
        <v>178</v>
      </c>
    </row>
    <row r="61" spans="4:4" ht="15" hidden="1" customHeight="1" x14ac:dyDescent="0.25">
      <c r="D61" t="s">
        <v>179</v>
      </c>
    </row>
    <row r="62" spans="4:4" ht="15" hidden="1" customHeight="1" x14ac:dyDescent="0.25">
      <c r="D62" t="s">
        <v>88</v>
      </c>
    </row>
    <row r="63" spans="4:4" ht="15" hidden="1" customHeight="1" x14ac:dyDescent="0.25">
      <c r="D63" t="s">
        <v>180</v>
      </c>
    </row>
    <row r="64" spans="4:4" ht="15" hidden="1" customHeight="1" x14ac:dyDescent="0.25">
      <c r="D64" t="s">
        <v>70</v>
      </c>
    </row>
    <row r="65" spans="4:4" ht="15" hidden="1" customHeight="1" x14ac:dyDescent="0.25">
      <c r="D65" t="s">
        <v>57</v>
      </c>
    </row>
    <row r="66" spans="4:4" ht="15" hidden="1" customHeight="1" x14ac:dyDescent="0.25">
      <c r="D66" t="s">
        <v>182</v>
      </c>
    </row>
    <row r="67" spans="4:4" ht="15" hidden="1" customHeight="1" x14ac:dyDescent="0.25">
      <c r="D67" t="s">
        <v>183</v>
      </c>
    </row>
    <row r="68" spans="4:4" ht="15" hidden="1" customHeight="1" x14ac:dyDescent="0.25">
      <c r="D68" t="s">
        <v>184</v>
      </c>
    </row>
    <row r="69" spans="4:4" ht="15" hidden="1" customHeight="1" x14ac:dyDescent="0.25">
      <c r="D69" t="s">
        <v>186</v>
      </c>
    </row>
    <row r="70" spans="4:4" ht="15" hidden="1" customHeight="1" x14ac:dyDescent="0.25">
      <c r="D70" t="s">
        <v>187</v>
      </c>
    </row>
    <row r="71" spans="4:4" ht="15" hidden="1" customHeight="1" x14ac:dyDescent="0.25">
      <c r="D71" t="s">
        <v>188</v>
      </c>
    </row>
    <row r="72" spans="4:4" ht="15" hidden="1" customHeight="1" x14ac:dyDescent="0.25">
      <c r="D72" t="s">
        <v>189</v>
      </c>
    </row>
    <row r="73" spans="4:4" ht="15" hidden="1" customHeight="1" x14ac:dyDescent="0.25">
      <c r="D73" t="s">
        <v>64</v>
      </c>
    </row>
    <row r="74" spans="4:4" ht="15" hidden="1" customHeight="1" x14ac:dyDescent="0.25">
      <c r="D74" t="s">
        <v>190</v>
      </c>
    </row>
    <row r="75" spans="4:4" ht="15" hidden="1" customHeight="1" x14ac:dyDescent="0.25">
      <c r="D75" t="s">
        <v>191</v>
      </c>
    </row>
    <row r="76" spans="4:4" ht="15" hidden="1" customHeight="1" x14ac:dyDescent="0.25">
      <c r="D76" t="s">
        <v>192</v>
      </c>
    </row>
    <row r="77" spans="4:4" ht="15" hidden="1" customHeight="1" x14ac:dyDescent="0.25">
      <c r="D77" t="s">
        <v>193</v>
      </c>
    </row>
    <row r="78" spans="4:4" ht="15" hidden="1" customHeight="1" x14ac:dyDescent="0.25">
      <c r="D78" t="s">
        <v>194</v>
      </c>
    </row>
    <row r="79" spans="4:4" ht="15" hidden="1" customHeight="1" x14ac:dyDescent="0.25">
      <c r="D79" t="s">
        <v>195</v>
      </c>
    </row>
    <row r="80" spans="4:4" ht="15" hidden="1" customHeight="1" x14ac:dyDescent="0.25">
      <c r="D80" t="s">
        <v>196</v>
      </c>
    </row>
    <row r="81" spans="4:4" ht="15" hidden="1" customHeight="1" x14ac:dyDescent="0.25">
      <c r="D81" t="s">
        <v>198</v>
      </c>
    </row>
    <row r="82" spans="4:4" ht="15" hidden="1" customHeight="1" x14ac:dyDescent="0.25">
      <c r="D82" t="s">
        <v>199</v>
      </c>
    </row>
    <row r="83" spans="4:4" ht="15" hidden="1" customHeight="1" x14ac:dyDescent="0.25">
      <c r="D83" t="s">
        <v>200</v>
      </c>
    </row>
    <row r="84" spans="4:4" ht="15" hidden="1" customHeight="1" x14ac:dyDescent="0.25">
      <c r="D84" t="s">
        <v>201</v>
      </c>
    </row>
    <row r="85" spans="4:4" ht="15" hidden="1" customHeight="1" x14ac:dyDescent="0.25">
      <c r="D85" t="s">
        <v>202</v>
      </c>
    </row>
    <row r="86" spans="4:4" ht="15" hidden="1" customHeight="1" x14ac:dyDescent="0.25">
      <c r="D86" t="s">
        <v>81</v>
      </c>
    </row>
    <row r="87" spans="4:4" ht="15" hidden="1" customHeight="1" x14ac:dyDescent="0.25">
      <c r="D87" t="s">
        <v>203</v>
      </c>
    </row>
    <row r="88" spans="4:4" ht="15" hidden="1" customHeight="1" x14ac:dyDescent="0.25">
      <c r="D88" t="s">
        <v>204</v>
      </c>
    </row>
    <row r="89" spans="4:4" ht="15" hidden="1" customHeight="1" x14ac:dyDescent="0.25">
      <c r="D89" t="s">
        <v>205</v>
      </c>
    </row>
    <row r="90" spans="4:4" ht="15" hidden="1" customHeight="1" x14ac:dyDescent="0.25">
      <c r="D90" t="s">
        <v>207</v>
      </c>
    </row>
    <row r="91" spans="4:4" ht="15" hidden="1" customHeight="1" x14ac:dyDescent="0.25">
      <c r="D91" t="s">
        <v>208</v>
      </c>
    </row>
    <row r="92" spans="4:4" ht="15" hidden="1" customHeight="1" x14ac:dyDescent="0.25">
      <c r="D92" t="s">
        <v>209</v>
      </c>
    </row>
    <row r="93" spans="4:4" ht="15" hidden="1" customHeight="1" x14ac:dyDescent="0.25">
      <c r="D93" t="s">
        <v>210</v>
      </c>
    </row>
    <row r="94" spans="4:4" ht="15" hidden="1" customHeight="1" x14ac:dyDescent="0.25">
      <c r="D94" t="s">
        <v>211</v>
      </c>
    </row>
    <row r="95" spans="4:4" ht="15" hidden="1" customHeight="1" x14ac:dyDescent="0.25">
      <c r="D95" t="s">
        <v>212</v>
      </c>
    </row>
    <row r="96" spans="4:4" ht="15" hidden="1" customHeight="1" x14ac:dyDescent="0.25">
      <c r="D96" t="s">
        <v>213</v>
      </c>
    </row>
    <row r="97" spans="4:4" ht="15" hidden="1" customHeight="1" x14ac:dyDescent="0.25">
      <c r="D97" t="s">
        <v>66</v>
      </c>
    </row>
    <row r="98" spans="4:4" ht="15" hidden="1" customHeight="1" x14ac:dyDescent="0.25">
      <c r="D98" t="s">
        <v>60</v>
      </c>
    </row>
    <row r="99" spans="4:4" ht="15" hidden="1" customHeight="1" x14ac:dyDescent="0.25">
      <c r="D99" t="s">
        <v>214</v>
      </c>
    </row>
    <row r="100" spans="4:4" ht="15" hidden="1" customHeight="1" x14ac:dyDescent="0.25">
      <c r="D100" t="s">
        <v>215</v>
      </c>
    </row>
    <row r="101" spans="4:4" ht="15" hidden="1" customHeight="1" x14ac:dyDescent="0.25">
      <c r="D101" t="s">
        <v>216</v>
      </c>
    </row>
    <row r="102" spans="4:4" ht="15" hidden="1" customHeight="1" x14ac:dyDescent="0.25">
      <c r="D102" t="s">
        <v>71</v>
      </c>
    </row>
    <row r="103" spans="4:4" ht="15" hidden="1" customHeight="1" x14ac:dyDescent="0.25">
      <c r="D103" t="s">
        <v>217</v>
      </c>
    </row>
    <row r="104" spans="4:4" ht="15" hidden="1" customHeight="1" x14ac:dyDescent="0.25">
      <c r="D104" t="s">
        <v>218</v>
      </c>
    </row>
    <row r="105" spans="4:4" ht="15" hidden="1" customHeight="1" x14ac:dyDescent="0.25">
      <c r="D105" t="s">
        <v>219</v>
      </c>
    </row>
    <row r="106" spans="4:4" ht="15" hidden="1" customHeight="1" x14ac:dyDescent="0.25">
      <c r="D106" t="s">
        <v>27</v>
      </c>
    </row>
    <row r="107" spans="4:4" ht="15" hidden="1" customHeight="1" x14ac:dyDescent="0.25">
      <c r="D107" t="s">
        <v>220</v>
      </c>
    </row>
    <row r="108" spans="4:4" ht="15" hidden="1" customHeight="1" x14ac:dyDescent="0.25">
      <c r="D108" t="s">
        <v>43</v>
      </c>
    </row>
    <row r="109" spans="4:4" ht="15" hidden="1" customHeight="1" x14ac:dyDescent="0.25">
      <c r="D109" t="s">
        <v>221</v>
      </c>
    </row>
    <row r="110" spans="4:4" ht="15" hidden="1" customHeight="1" x14ac:dyDescent="0.25">
      <c r="D110" t="s">
        <v>222</v>
      </c>
    </row>
    <row r="111" spans="4:4" ht="15" hidden="1" customHeight="1" x14ac:dyDescent="0.25">
      <c r="D111" t="s">
        <v>223</v>
      </c>
    </row>
    <row r="112" spans="4:4" ht="15" hidden="1" customHeight="1" x14ac:dyDescent="0.25">
      <c r="D112" t="s">
        <v>224</v>
      </c>
    </row>
    <row r="113" spans="4:4" ht="15" hidden="1" customHeight="1" x14ac:dyDescent="0.25">
      <c r="D113" t="s">
        <v>225</v>
      </c>
    </row>
    <row r="114" spans="4:4" ht="15" hidden="1" customHeight="1" x14ac:dyDescent="0.25">
      <c r="D114" t="s">
        <v>226</v>
      </c>
    </row>
    <row r="115" spans="4:4" ht="15" hidden="1" customHeight="1" x14ac:dyDescent="0.25">
      <c r="D115" t="s">
        <v>227</v>
      </c>
    </row>
    <row r="116" spans="4:4" ht="15" hidden="1" customHeight="1" x14ac:dyDescent="0.25">
      <c r="D116" t="s">
        <v>228</v>
      </c>
    </row>
    <row r="117" spans="4:4" ht="15" hidden="1" customHeight="1" x14ac:dyDescent="0.25">
      <c r="D117" t="s">
        <v>229</v>
      </c>
    </row>
    <row r="118" spans="4:4" ht="15" hidden="1" customHeight="1" x14ac:dyDescent="0.25">
      <c r="D118" t="s">
        <v>230</v>
      </c>
    </row>
    <row r="119" spans="4:4" ht="15" hidden="1" customHeight="1" x14ac:dyDescent="0.25">
      <c r="D119" t="s">
        <v>232</v>
      </c>
    </row>
    <row r="120" spans="4:4" ht="15" hidden="1" customHeight="1" x14ac:dyDescent="0.25">
      <c r="D120" t="s">
        <v>233</v>
      </c>
    </row>
    <row r="121" spans="4:4" ht="15" hidden="1" customHeight="1" x14ac:dyDescent="0.25">
      <c r="D121" t="s">
        <v>234</v>
      </c>
    </row>
    <row r="122" spans="4:4" ht="15" hidden="1" customHeight="1" x14ac:dyDescent="0.25">
      <c r="D122" t="s">
        <v>36</v>
      </c>
    </row>
    <row r="123" spans="4:4" ht="15" hidden="1" customHeight="1" x14ac:dyDescent="0.25">
      <c r="D123" t="s">
        <v>235</v>
      </c>
    </row>
    <row r="124" spans="4:4" ht="15" hidden="1" customHeight="1" x14ac:dyDescent="0.25">
      <c r="D124" t="s">
        <v>236</v>
      </c>
    </row>
    <row r="125" spans="4:4" ht="15" hidden="1" customHeight="1" x14ac:dyDescent="0.25">
      <c r="D125" t="s">
        <v>69</v>
      </c>
    </row>
    <row r="126" spans="4:4" ht="15" hidden="1" customHeight="1" x14ac:dyDescent="0.25">
      <c r="D126" t="s">
        <v>237</v>
      </c>
    </row>
    <row r="127" spans="4:4" ht="15" hidden="1" customHeight="1" x14ac:dyDescent="0.25">
      <c r="D127" t="s">
        <v>238</v>
      </c>
    </row>
    <row r="128" spans="4:4" ht="15" hidden="1" customHeight="1" x14ac:dyDescent="0.25">
      <c r="D128" t="s">
        <v>239</v>
      </c>
    </row>
    <row r="129" spans="4:4" ht="15" hidden="1" customHeight="1" x14ac:dyDescent="0.25">
      <c r="D129" t="s">
        <v>240</v>
      </c>
    </row>
    <row r="130" spans="4:4" ht="15" hidden="1" customHeight="1" x14ac:dyDescent="0.25">
      <c r="D130" t="s">
        <v>241</v>
      </c>
    </row>
    <row r="131" spans="4:4" ht="15" hidden="1" customHeight="1" x14ac:dyDescent="0.25">
      <c r="D131" t="s">
        <v>242</v>
      </c>
    </row>
    <row r="132" spans="4:4" ht="15" hidden="1" customHeight="1" x14ac:dyDescent="0.25">
      <c r="D132" t="s">
        <v>37</v>
      </c>
    </row>
    <row r="133" spans="4:4" ht="15" hidden="1" customHeight="1" x14ac:dyDescent="0.25">
      <c r="D133" t="s">
        <v>243</v>
      </c>
    </row>
    <row r="134" spans="4:4" ht="15" hidden="1" customHeight="1" x14ac:dyDescent="0.25">
      <c r="D134" t="s">
        <v>244</v>
      </c>
    </row>
    <row r="135" spans="4:4" ht="15" hidden="1" customHeight="1" x14ac:dyDescent="0.25">
      <c r="D135" t="s">
        <v>245</v>
      </c>
    </row>
    <row r="136" spans="4:4" ht="15" hidden="1" customHeight="1" x14ac:dyDescent="0.25">
      <c r="D136" t="s">
        <v>26</v>
      </c>
    </row>
    <row r="137" spans="4:4" ht="15" hidden="1" customHeight="1" x14ac:dyDescent="0.25">
      <c r="D137" t="s">
        <v>246</v>
      </c>
    </row>
    <row r="138" spans="4:4" ht="15" hidden="1" customHeight="1" x14ac:dyDescent="0.25">
      <c r="D138" t="s">
        <v>51</v>
      </c>
    </row>
    <row r="139" spans="4:4" ht="15" hidden="1" customHeight="1" x14ac:dyDescent="0.25">
      <c r="D139" t="s">
        <v>247</v>
      </c>
    </row>
    <row r="140" spans="4:4" ht="15" hidden="1" customHeight="1" x14ac:dyDescent="0.25">
      <c r="D140" t="s">
        <v>248</v>
      </c>
    </row>
    <row r="141" spans="4:4" ht="15" hidden="1" customHeight="1" x14ac:dyDescent="0.25">
      <c r="D141" t="s">
        <v>249</v>
      </c>
    </row>
    <row r="142" spans="4:4" ht="15" hidden="1" customHeight="1" x14ac:dyDescent="0.25">
      <c r="D142" t="s">
        <v>250</v>
      </c>
    </row>
    <row r="143" spans="4:4" ht="15" hidden="1" customHeight="1" x14ac:dyDescent="0.25">
      <c r="D143" t="s">
        <v>472</v>
      </c>
    </row>
    <row r="144" spans="4:4" ht="15" hidden="1" customHeight="1" x14ac:dyDescent="0.25">
      <c r="D144" t="s">
        <v>251</v>
      </c>
    </row>
    <row r="145" spans="4:4" ht="15" hidden="1" customHeight="1" x14ac:dyDescent="0.25">
      <c r="D145" t="s">
        <v>252</v>
      </c>
    </row>
    <row r="146" spans="4:4" ht="15" hidden="1" customHeight="1" x14ac:dyDescent="0.25">
      <c r="D146" t="s">
        <v>253</v>
      </c>
    </row>
    <row r="147" spans="4:4" ht="15" hidden="1" customHeight="1" x14ac:dyDescent="0.25">
      <c r="D147" t="s">
        <v>489</v>
      </c>
    </row>
    <row r="148" spans="4:4" ht="15" hidden="1" customHeight="1" x14ac:dyDescent="0.25">
      <c r="D148" t="s">
        <v>255</v>
      </c>
    </row>
    <row r="149" spans="4:4" ht="15" hidden="1" customHeight="1" x14ac:dyDescent="0.25">
      <c r="D149" t="s">
        <v>256</v>
      </c>
    </row>
    <row r="150" spans="4:4" ht="15" hidden="1" customHeight="1" x14ac:dyDescent="0.25">
      <c r="D150" t="s">
        <v>54</v>
      </c>
    </row>
    <row r="151" spans="4:4" ht="15" hidden="1" customHeight="1" x14ac:dyDescent="0.25">
      <c r="D151" t="s">
        <v>257</v>
      </c>
    </row>
    <row r="152" spans="4:4" ht="15" hidden="1" customHeight="1" x14ac:dyDescent="0.25">
      <c r="D152" t="s">
        <v>258</v>
      </c>
    </row>
    <row r="153" spans="4:4" ht="15" hidden="1" customHeight="1" x14ac:dyDescent="0.25">
      <c r="D153" t="s">
        <v>259</v>
      </c>
    </row>
    <row r="154" spans="4:4" ht="15" hidden="1" customHeight="1" x14ac:dyDescent="0.25">
      <c r="D154" t="s">
        <v>52</v>
      </c>
    </row>
    <row r="155" spans="4:4" ht="15" hidden="1" customHeight="1" x14ac:dyDescent="0.25">
      <c r="D155" t="s">
        <v>260</v>
      </c>
    </row>
    <row r="156" spans="4:4" ht="15" hidden="1" customHeight="1" x14ac:dyDescent="0.25">
      <c r="D156" t="s">
        <v>73</v>
      </c>
    </row>
    <row r="157" spans="4:4" ht="15" hidden="1" customHeight="1" x14ac:dyDescent="0.25">
      <c r="D157" t="s">
        <v>261</v>
      </c>
    </row>
    <row r="158" spans="4:4" ht="15" hidden="1" customHeight="1" x14ac:dyDescent="0.25">
      <c r="D158" t="s">
        <v>262</v>
      </c>
    </row>
    <row r="159" spans="4:4" ht="15" hidden="1" customHeight="1" x14ac:dyDescent="0.25">
      <c r="D159" t="s">
        <v>263</v>
      </c>
    </row>
    <row r="160" spans="4:4" ht="15" hidden="1" customHeight="1" x14ac:dyDescent="0.25">
      <c r="D160" t="s">
        <v>31</v>
      </c>
    </row>
    <row r="161" spans="4:4" ht="15" hidden="1" customHeight="1" x14ac:dyDescent="0.25">
      <c r="D161" t="s">
        <v>264</v>
      </c>
    </row>
    <row r="162" spans="4:4" ht="15" hidden="1" customHeight="1" x14ac:dyDescent="0.25">
      <c r="D162" t="s">
        <v>265</v>
      </c>
    </row>
    <row r="163" spans="4:4" ht="15" hidden="1" customHeight="1" x14ac:dyDescent="0.25">
      <c r="D163" t="s">
        <v>266</v>
      </c>
    </row>
    <row r="164" spans="4:4" ht="15" hidden="1" customHeight="1" x14ac:dyDescent="0.25">
      <c r="D164" t="s">
        <v>267</v>
      </c>
    </row>
    <row r="165" spans="4:4" ht="15" hidden="1" customHeight="1" x14ac:dyDescent="0.25">
      <c r="D165" t="s">
        <v>268</v>
      </c>
    </row>
    <row r="166" spans="4:4" ht="15" hidden="1" customHeight="1" x14ac:dyDescent="0.25">
      <c r="D166" t="s">
        <v>269</v>
      </c>
    </row>
    <row r="167" spans="4:4" ht="15" hidden="1" customHeight="1" x14ac:dyDescent="0.25">
      <c r="D167" t="s">
        <v>270</v>
      </c>
    </row>
    <row r="168" spans="4:4" ht="15" hidden="1" customHeight="1" x14ac:dyDescent="0.25">
      <c r="D168" t="s">
        <v>82</v>
      </c>
    </row>
    <row r="169" spans="4:4" ht="15" hidden="1" customHeight="1" x14ac:dyDescent="0.25">
      <c r="D169" t="s">
        <v>271</v>
      </c>
    </row>
    <row r="170" spans="4:4" ht="15" hidden="1" customHeight="1" x14ac:dyDescent="0.25">
      <c r="D170" t="s">
        <v>272</v>
      </c>
    </row>
    <row r="171" spans="4:4" ht="15" hidden="1" customHeight="1" x14ac:dyDescent="0.25">
      <c r="D171" t="s">
        <v>273</v>
      </c>
    </row>
    <row r="172" spans="4:4" ht="15" hidden="1" customHeight="1" x14ac:dyDescent="0.25">
      <c r="D172" t="s">
        <v>274</v>
      </c>
    </row>
    <row r="173" spans="4:4" ht="15" hidden="1" customHeight="1" x14ac:dyDescent="0.25">
      <c r="D173" t="s">
        <v>45</v>
      </c>
    </row>
    <row r="174" spans="4:4" ht="15" hidden="1" customHeight="1" x14ac:dyDescent="0.25">
      <c r="D174" t="s">
        <v>275</v>
      </c>
    </row>
    <row r="175" spans="4:4" ht="15" hidden="1" customHeight="1" x14ac:dyDescent="0.25">
      <c r="D175" t="s">
        <v>276</v>
      </c>
    </row>
    <row r="176" spans="4:4" ht="15" hidden="1" customHeight="1" x14ac:dyDescent="0.25">
      <c r="D176" t="s">
        <v>277</v>
      </c>
    </row>
    <row r="177" spans="4:4" ht="15" hidden="1" customHeight="1" x14ac:dyDescent="0.25">
      <c r="D177" t="s">
        <v>278</v>
      </c>
    </row>
    <row r="178" spans="4:4" ht="15" hidden="1" customHeight="1" x14ac:dyDescent="0.25">
      <c r="D178" t="s">
        <v>279</v>
      </c>
    </row>
    <row r="179" spans="4:4" ht="15" hidden="1" customHeight="1" x14ac:dyDescent="0.25">
      <c r="D179" t="s">
        <v>280</v>
      </c>
    </row>
    <row r="180" spans="4:4" ht="15" hidden="1" customHeight="1" x14ac:dyDescent="0.25">
      <c r="D180" t="s">
        <v>281</v>
      </c>
    </row>
    <row r="181" spans="4:4" ht="15" hidden="1" customHeight="1" x14ac:dyDescent="0.25">
      <c r="D181" t="s">
        <v>282</v>
      </c>
    </row>
    <row r="182" spans="4:4" ht="15" hidden="1" customHeight="1" x14ac:dyDescent="0.25">
      <c r="D182" t="s">
        <v>283</v>
      </c>
    </row>
    <row r="183" spans="4:4" ht="15" hidden="1" customHeight="1" x14ac:dyDescent="0.25">
      <c r="D183" t="s">
        <v>284</v>
      </c>
    </row>
    <row r="184" spans="4:4" ht="15" hidden="1" customHeight="1" x14ac:dyDescent="0.25">
      <c r="D184" t="s">
        <v>285</v>
      </c>
    </row>
    <row r="185" spans="4:4" ht="15" hidden="1" customHeight="1" x14ac:dyDescent="0.25">
      <c r="D185" t="s">
        <v>286</v>
      </c>
    </row>
    <row r="186" spans="4:4" ht="15" hidden="1" customHeight="1" x14ac:dyDescent="0.25">
      <c r="D186" t="s">
        <v>287</v>
      </c>
    </row>
    <row r="187" spans="4:4" ht="15" hidden="1" customHeight="1" x14ac:dyDescent="0.25">
      <c r="D187" t="s">
        <v>288</v>
      </c>
    </row>
    <row r="188" spans="4:4" ht="15" hidden="1" customHeight="1" x14ac:dyDescent="0.25">
      <c r="D188" t="s">
        <v>289</v>
      </c>
    </row>
    <row r="189" spans="4:4" ht="15" hidden="1" customHeight="1" x14ac:dyDescent="0.25">
      <c r="D189" t="s">
        <v>290</v>
      </c>
    </row>
    <row r="190" spans="4:4" ht="15" hidden="1" customHeight="1" x14ac:dyDescent="0.25">
      <c r="D190" t="s">
        <v>291</v>
      </c>
    </row>
    <row r="191" spans="4:4" ht="15" hidden="1" customHeight="1" x14ac:dyDescent="0.25">
      <c r="D191" t="s">
        <v>292</v>
      </c>
    </row>
    <row r="192" spans="4:4" ht="15" hidden="1" customHeight="1" x14ac:dyDescent="0.25">
      <c r="D192" t="s">
        <v>293</v>
      </c>
    </row>
    <row r="193" spans="4:4" ht="15" hidden="1" customHeight="1" x14ac:dyDescent="0.25">
      <c r="D193" t="s">
        <v>294</v>
      </c>
    </row>
    <row r="194" spans="4:4" ht="15" hidden="1" customHeight="1" x14ac:dyDescent="0.25">
      <c r="D194" t="s">
        <v>295</v>
      </c>
    </row>
    <row r="195" spans="4:4" ht="15" hidden="1" customHeight="1" x14ac:dyDescent="0.25">
      <c r="D195" t="s">
        <v>296</v>
      </c>
    </row>
    <row r="196" spans="4:4" ht="15" hidden="1" customHeight="1" x14ac:dyDescent="0.25">
      <c r="D196" t="s">
        <v>297</v>
      </c>
    </row>
    <row r="197" spans="4:4" ht="15" hidden="1" customHeight="1" x14ac:dyDescent="0.25">
      <c r="D197" t="s">
        <v>490</v>
      </c>
    </row>
    <row r="198" spans="4:4" ht="15" hidden="1" customHeight="1" x14ac:dyDescent="0.25">
      <c r="D198" t="s">
        <v>298</v>
      </c>
    </row>
    <row r="199" spans="4:4" ht="15" hidden="1" customHeight="1" x14ac:dyDescent="0.25">
      <c r="D199" t="s">
        <v>299</v>
      </c>
    </row>
    <row r="200" spans="4:4" ht="15" hidden="1" customHeight="1" x14ac:dyDescent="0.25">
      <c r="D200" t="s">
        <v>300</v>
      </c>
    </row>
    <row r="201" spans="4:4" ht="15" hidden="1" customHeight="1" x14ac:dyDescent="0.25">
      <c r="D201" t="s">
        <v>301</v>
      </c>
    </row>
    <row r="202" spans="4:4" ht="15" hidden="1" customHeight="1" x14ac:dyDescent="0.25">
      <c r="D202" t="s">
        <v>302</v>
      </c>
    </row>
    <row r="203" spans="4:4" ht="15" hidden="1" customHeight="1" x14ac:dyDescent="0.25">
      <c r="D203" t="s">
        <v>303</v>
      </c>
    </row>
    <row r="204" spans="4:4" ht="15" hidden="1" customHeight="1" x14ac:dyDescent="0.25">
      <c r="D204" t="s">
        <v>304</v>
      </c>
    </row>
    <row r="205" spans="4:4" ht="15" hidden="1" customHeight="1" x14ac:dyDescent="0.25">
      <c r="D205" t="s">
        <v>305</v>
      </c>
    </row>
    <row r="206" spans="4:4" ht="15" hidden="1" customHeight="1" x14ac:dyDescent="0.25">
      <c r="D206" t="s">
        <v>306</v>
      </c>
    </row>
    <row r="207" spans="4:4" ht="15" hidden="1" customHeight="1" x14ac:dyDescent="0.25">
      <c r="D207" t="s">
        <v>307</v>
      </c>
    </row>
    <row r="208" spans="4:4" ht="15" hidden="1" customHeight="1" x14ac:dyDescent="0.25">
      <c r="D208" t="s">
        <v>308</v>
      </c>
    </row>
    <row r="209" spans="4:4" ht="15" hidden="1" customHeight="1" x14ac:dyDescent="0.25">
      <c r="D209" t="s">
        <v>309</v>
      </c>
    </row>
    <row r="210" spans="4:4" ht="15" hidden="1" customHeight="1" x14ac:dyDescent="0.25">
      <c r="D210" t="s">
        <v>310</v>
      </c>
    </row>
    <row r="211" spans="4:4" ht="15" hidden="1" customHeight="1" x14ac:dyDescent="0.25">
      <c r="D211" t="s">
        <v>311</v>
      </c>
    </row>
    <row r="212" spans="4:4" ht="15" hidden="1" customHeight="1" x14ac:dyDescent="0.25">
      <c r="D212" t="s">
        <v>97</v>
      </c>
    </row>
    <row r="213" spans="4:4" ht="15" hidden="1" customHeight="1" x14ac:dyDescent="0.25">
      <c r="D213" t="s">
        <v>312</v>
      </c>
    </row>
    <row r="214" spans="4:4" ht="15" hidden="1" customHeight="1" x14ac:dyDescent="0.25">
      <c r="D214" t="s">
        <v>35</v>
      </c>
    </row>
    <row r="215" spans="4:4" ht="15" hidden="1" customHeight="1" x14ac:dyDescent="0.25">
      <c r="D215" t="s">
        <v>313</v>
      </c>
    </row>
    <row r="216" spans="4:4" ht="15" hidden="1" customHeight="1" x14ac:dyDescent="0.25">
      <c r="D216" t="s">
        <v>314</v>
      </c>
    </row>
    <row r="217" spans="4:4" ht="15" hidden="1" customHeight="1" x14ac:dyDescent="0.25">
      <c r="D217" t="s">
        <v>315</v>
      </c>
    </row>
    <row r="218" spans="4:4" ht="15" hidden="1" customHeight="1" x14ac:dyDescent="0.25">
      <c r="D218" t="s">
        <v>58</v>
      </c>
    </row>
    <row r="219" spans="4:4" ht="15" hidden="1" customHeight="1" x14ac:dyDescent="0.25">
      <c r="D219" t="s">
        <v>316</v>
      </c>
    </row>
    <row r="220" spans="4:4" ht="15" hidden="1" customHeight="1" x14ac:dyDescent="0.25">
      <c r="D220" t="s">
        <v>317</v>
      </c>
    </row>
    <row r="221" spans="4:4" ht="15" hidden="1" customHeight="1" x14ac:dyDescent="0.25">
      <c r="D221" t="s">
        <v>318</v>
      </c>
    </row>
    <row r="222" spans="4:4" ht="15" hidden="1" customHeight="1" x14ac:dyDescent="0.25">
      <c r="D222" t="s">
        <v>40</v>
      </c>
    </row>
    <row r="223" spans="4:4" ht="15" hidden="1" customHeight="1" x14ac:dyDescent="0.25">
      <c r="D223" t="s">
        <v>319</v>
      </c>
    </row>
    <row r="224" spans="4:4" ht="15" hidden="1" customHeight="1" x14ac:dyDescent="0.25">
      <c r="D224" t="s">
        <v>320</v>
      </c>
    </row>
    <row r="225" spans="4:4" ht="15" hidden="1" customHeight="1" x14ac:dyDescent="0.25">
      <c r="D225" t="s">
        <v>321</v>
      </c>
    </row>
    <row r="226" spans="4:4" ht="15" hidden="1" customHeight="1" x14ac:dyDescent="0.25">
      <c r="D226" t="s">
        <v>322</v>
      </c>
    </row>
    <row r="227" spans="4:4" ht="15" hidden="1" customHeight="1" x14ac:dyDescent="0.25">
      <c r="D227" t="s">
        <v>323</v>
      </c>
    </row>
    <row r="228" spans="4:4" ht="15" hidden="1" customHeight="1" x14ac:dyDescent="0.25">
      <c r="D228" t="s">
        <v>83</v>
      </c>
    </row>
    <row r="229" spans="4:4" ht="15" hidden="1" customHeight="1" x14ac:dyDescent="0.25">
      <c r="D229" t="s">
        <v>324</v>
      </c>
    </row>
    <row r="230" spans="4:4" ht="15" hidden="1" customHeight="1" x14ac:dyDescent="0.25">
      <c r="D230" t="s">
        <v>325</v>
      </c>
    </row>
    <row r="231" spans="4:4" ht="15" hidden="1" customHeight="1" x14ac:dyDescent="0.25">
      <c r="D231" t="s">
        <v>326</v>
      </c>
    </row>
    <row r="232" spans="4:4" ht="15" hidden="1" customHeight="1" x14ac:dyDescent="0.25">
      <c r="D232" t="s">
        <v>327</v>
      </c>
    </row>
    <row r="233" spans="4:4" ht="15" hidden="1" customHeight="1" x14ac:dyDescent="0.25">
      <c r="D233" t="s">
        <v>91</v>
      </c>
    </row>
    <row r="234" spans="4:4" ht="15" hidden="1" customHeight="1" x14ac:dyDescent="0.25">
      <c r="D234" t="s">
        <v>56</v>
      </c>
    </row>
    <row r="235" spans="4:4" ht="15" hidden="1" customHeight="1" x14ac:dyDescent="0.25">
      <c r="D235" t="s">
        <v>29</v>
      </c>
    </row>
    <row r="236" spans="4:4" ht="15" hidden="1" customHeight="1" x14ac:dyDescent="0.25">
      <c r="D236" t="s">
        <v>491</v>
      </c>
    </row>
    <row r="237" spans="4:4" ht="15" hidden="1" customHeight="1" x14ac:dyDescent="0.25">
      <c r="D237" t="s">
        <v>328</v>
      </c>
    </row>
    <row r="238" spans="4:4" ht="15" hidden="1" customHeight="1" x14ac:dyDescent="0.25">
      <c r="D238" t="s">
        <v>329</v>
      </c>
    </row>
    <row r="239" spans="4:4" ht="15" hidden="1" customHeight="1" x14ac:dyDescent="0.25">
      <c r="D239" t="s">
        <v>96</v>
      </c>
    </row>
    <row r="240" spans="4:4" ht="15" hidden="1" customHeight="1" x14ac:dyDescent="0.25">
      <c r="D240" t="s">
        <v>330</v>
      </c>
    </row>
    <row r="241" spans="4:4" ht="15" hidden="1" customHeight="1" x14ac:dyDescent="0.25">
      <c r="D241" t="s">
        <v>331</v>
      </c>
    </row>
    <row r="242" spans="4:4" ht="15" hidden="1" customHeight="1" x14ac:dyDescent="0.25">
      <c r="D242" t="s">
        <v>332</v>
      </c>
    </row>
    <row r="243" spans="4:4" ht="15" hidden="1" customHeight="1" x14ac:dyDescent="0.25">
      <c r="D243" t="s">
        <v>333</v>
      </c>
    </row>
    <row r="244" spans="4:4" ht="15" hidden="1" customHeight="1" x14ac:dyDescent="0.25">
      <c r="D244" t="s">
        <v>334</v>
      </c>
    </row>
    <row r="245" spans="4:4" ht="15" hidden="1" customHeight="1" x14ac:dyDescent="0.25">
      <c r="D245" t="s">
        <v>335</v>
      </c>
    </row>
    <row r="246" spans="4:4" ht="15" hidden="1" customHeight="1" x14ac:dyDescent="0.25">
      <c r="D246" t="s">
        <v>336</v>
      </c>
    </row>
    <row r="247" spans="4:4" ht="15" hidden="1" customHeight="1" x14ac:dyDescent="0.25">
      <c r="D247" t="s">
        <v>337</v>
      </c>
    </row>
    <row r="248" spans="4:4" ht="15" hidden="1" customHeight="1" x14ac:dyDescent="0.25">
      <c r="D248" t="s">
        <v>338</v>
      </c>
    </row>
    <row r="249" spans="4:4" ht="15" hidden="1" customHeight="1" x14ac:dyDescent="0.25">
      <c r="D249" t="s">
        <v>339</v>
      </c>
    </row>
    <row r="250" spans="4:4" ht="15" hidden="1" customHeight="1" x14ac:dyDescent="0.25">
      <c r="D250" t="s">
        <v>340</v>
      </c>
    </row>
    <row r="251" spans="4:4" ht="15" hidden="1" customHeight="1" x14ac:dyDescent="0.25">
      <c r="D251" t="s">
        <v>341</v>
      </c>
    </row>
    <row r="252" spans="4:4" ht="15" hidden="1" customHeight="1" x14ac:dyDescent="0.25">
      <c r="D252" t="s">
        <v>342</v>
      </c>
    </row>
    <row r="253" spans="4:4" ht="15" hidden="1" customHeight="1" x14ac:dyDescent="0.25">
      <c r="D253" t="s">
        <v>343</v>
      </c>
    </row>
    <row r="254" spans="4:4" ht="15" hidden="1" customHeight="1" x14ac:dyDescent="0.25">
      <c r="D254" t="s">
        <v>344</v>
      </c>
    </row>
    <row r="255" spans="4:4" ht="15" hidden="1" customHeight="1" x14ac:dyDescent="0.25">
      <c r="D255" t="s">
        <v>345</v>
      </c>
    </row>
    <row r="256" spans="4:4" ht="15" hidden="1" customHeight="1" x14ac:dyDescent="0.25">
      <c r="D256" t="s">
        <v>346</v>
      </c>
    </row>
    <row r="257" spans="4:4" ht="15" hidden="1" customHeight="1" x14ac:dyDescent="0.25">
      <c r="D257" t="s">
        <v>347</v>
      </c>
    </row>
    <row r="258" spans="4:4" ht="15" hidden="1" customHeight="1" x14ac:dyDescent="0.25">
      <c r="D258" t="s">
        <v>348</v>
      </c>
    </row>
    <row r="259" spans="4:4" ht="15" hidden="1" customHeight="1" x14ac:dyDescent="0.25">
      <c r="D259" t="s">
        <v>349</v>
      </c>
    </row>
    <row r="260" spans="4:4" ht="15" hidden="1" customHeight="1" x14ac:dyDescent="0.25">
      <c r="D260" t="s">
        <v>87</v>
      </c>
    </row>
    <row r="261" spans="4:4" ht="15" hidden="1" customHeight="1" x14ac:dyDescent="0.25">
      <c r="D261" t="s">
        <v>350</v>
      </c>
    </row>
    <row r="262" spans="4:4" ht="15" hidden="1" customHeight="1" x14ac:dyDescent="0.25">
      <c r="D262" t="s">
        <v>351</v>
      </c>
    </row>
    <row r="263" spans="4:4" ht="15" hidden="1" customHeight="1" x14ac:dyDescent="0.25">
      <c r="D263" t="s">
        <v>352</v>
      </c>
    </row>
    <row r="264" spans="4:4" ht="15" hidden="1" customHeight="1" x14ac:dyDescent="0.25">
      <c r="D264" t="s">
        <v>353</v>
      </c>
    </row>
    <row r="265" spans="4:4" ht="15" hidden="1" customHeight="1" x14ac:dyDescent="0.25">
      <c r="D265" t="s">
        <v>354</v>
      </c>
    </row>
    <row r="266" spans="4:4" ht="15" hidden="1" customHeight="1" x14ac:dyDescent="0.25">
      <c r="D266" t="s">
        <v>355</v>
      </c>
    </row>
    <row r="267" spans="4:4" ht="15" hidden="1" customHeight="1" x14ac:dyDescent="0.25">
      <c r="D267" t="s">
        <v>356</v>
      </c>
    </row>
    <row r="268" spans="4:4" ht="15" hidden="1" customHeight="1" x14ac:dyDescent="0.25">
      <c r="D268" t="s">
        <v>357</v>
      </c>
    </row>
    <row r="269" spans="4:4" ht="15" hidden="1" customHeight="1" x14ac:dyDescent="0.25">
      <c r="D269" t="s">
        <v>358</v>
      </c>
    </row>
    <row r="270" spans="4:4" ht="15" hidden="1" customHeight="1" x14ac:dyDescent="0.25">
      <c r="D270" t="s">
        <v>359</v>
      </c>
    </row>
    <row r="271" spans="4:4" ht="15" hidden="1" customHeight="1" x14ac:dyDescent="0.25">
      <c r="D271" t="s">
        <v>360</v>
      </c>
    </row>
    <row r="272" spans="4:4" ht="15" hidden="1" customHeight="1" x14ac:dyDescent="0.25">
      <c r="D272" t="s">
        <v>361</v>
      </c>
    </row>
    <row r="273" spans="4:4" ht="15" hidden="1" customHeight="1" x14ac:dyDescent="0.25">
      <c r="D273" t="s">
        <v>362</v>
      </c>
    </row>
    <row r="274" spans="4:4" ht="15" hidden="1" customHeight="1" x14ac:dyDescent="0.25">
      <c r="D274" t="s">
        <v>363</v>
      </c>
    </row>
    <row r="275" spans="4:4" ht="15" hidden="1" customHeight="1" x14ac:dyDescent="0.25">
      <c r="D275" t="s">
        <v>364</v>
      </c>
    </row>
    <row r="276" spans="4:4" ht="15" hidden="1" customHeight="1" x14ac:dyDescent="0.25">
      <c r="D276" t="s">
        <v>365</v>
      </c>
    </row>
    <row r="277" spans="4:4" ht="15" hidden="1" customHeight="1" x14ac:dyDescent="0.25">
      <c r="D277" t="s">
        <v>366</v>
      </c>
    </row>
    <row r="278" spans="4:4" ht="15" hidden="1" customHeight="1" x14ac:dyDescent="0.25">
      <c r="D278" t="s">
        <v>367</v>
      </c>
    </row>
    <row r="279" spans="4:4" ht="15" hidden="1" customHeight="1" x14ac:dyDescent="0.25">
      <c r="D279" t="s">
        <v>368</v>
      </c>
    </row>
    <row r="280" spans="4:4" ht="15" hidden="1" customHeight="1" x14ac:dyDescent="0.25">
      <c r="D280" t="s">
        <v>369</v>
      </c>
    </row>
    <row r="281" spans="4:4" ht="15" hidden="1" customHeight="1" x14ac:dyDescent="0.25">
      <c r="D281" t="s">
        <v>370</v>
      </c>
    </row>
    <row r="282" spans="4:4" ht="15" hidden="1" customHeight="1" x14ac:dyDescent="0.25">
      <c r="D282" t="s">
        <v>371</v>
      </c>
    </row>
    <row r="283" spans="4:4" ht="15" hidden="1" customHeight="1" x14ac:dyDescent="0.25">
      <c r="D283" t="s">
        <v>90</v>
      </c>
    </row>
    <row r="284" spans="4:4" ht="15" hidden="1" customHeight="1" x14ac:dyDescent="0.25">
      <c r="D284" t="s">
        <v>86</v>
      </c>
    </row>
    <row r="285" spans="4:4" ht="15" hidden="1" customHeight="1" x14ac:dyDescent="0.25">
      <c r="D285" t="s">
        <v>372</v>
      </c>
    </row>
    <row r="286" spans="4:4" ht="15" hidden="1" customHeight="1" x14ac:dyDescent="0.25">
      <c r="D286" t="s">
        <v>373</v>
      </c>
    </row>
    <row r="287" spans="4:4" ht="15" hidden="1" customHeight="1" x14ac:dyDescent="0.25">
      <c r="D287" t="s">
        <v>374</v>
      </c>
    </row>
    <row r="288" spans="4:4" ht="15" hidden="1" customHeight="1" x14ac:dyDescent="0.25">
      <c r="D288" t="s">
        <v>375</v>
      </c>
    </row>
    <row r="289" spans="4:4" ht="15" hidden="1" customHeight="1" x14ac:dyDescent="0.25">
      <c r="D289" t="s">
        <v>376</v>
      </c>
    </row>
    <row r="290" spans="4:4" ht="15" hidden="1" customHeight="1" x14ac:dyDescent="0.25">
      <c r="D290" t="s">
        <v>377</v>
      </c>
    </row>
    <row r="291" spans="4:4" ht="15" hidden="1" customHeight="1" x14ac:dyDescent="0.25">
      <c r="D291" t="s">
        <v>34</v>
      </c>
    </row>
    <row r="292" spans="4:4" ht="15" hidden="1" customHeight="1" x14ac:dyDescent="0.25">
      <c r="D292" t="s">
        <v>79</v>
      </c>
    </row>
    <row r="293" spans="4:4" ht="15" hidden="1" customHeight="1" x14ac:dyDescent="0.25">
      <c r="D293" t="s">
        <v>378</v>
      </c>
    </row>
    <row r="294" spans="4:4" ht="15" hidden="1" customHeight="1" x14ac:dyDescent="0.25">
      <c r="D294" t="s">
        <v>379</v>
      </c>
    </row>
    <row r="295" spans="4:4" ht="15" hidden="1" customHeight="1" x14ac:dyDescent="0.25">
      <c r="D295" t="s">
        <v>380</v>
      </c>
    </row>
    <row r="296" spans="4:4" ht="15" hidden="1" customHeight="1" x14ac:dyDescent="0.25">
      <c r="D296" t="s">
        <v>92</v>
      </c>
    </row>
    <row r="297" spans="4:4" ht="15" hidden="1" customHeight="1" x14ac:dyDescent="0.25">
      <c r="D297" t="s">
        <v>381</v>
      </c>
    </row>
    <row r="298" spans="4:4" ht="15" hidden="1" customHeight="1" x14ac:dyDescent="0.25">
      <c r="D298" t="s">
        <v>382</v>
      </c>
    </row>
    <row r="299" spans="4:4" ht="15" hidden="1" customHeight="1" x14ac:dyDescent="0.25">
      <c r="D299" t="s">
        <v>383</v>
      </c>
    </row>
    <row r="300" spans="4:4" ht="15" hidden="1" customHeight="1" x14ac:dyDescent="0.25">
      <c r="D300" t="s">
        <v>384</v>
      </c>
    </row>
    <row r="301" spans="4:4" ht="15" hidden="1" customHeight="1" x14ac:dyDescent="0.25">
      <c r="D301" t="s">
        <v>385</v>
      </c>
    </row>
    <row r="302" spans="4:4" ht="15" hidden="1" customHeight="1" x14ac:dyDescent="0.25">
      <c r="D302" t="s">
        <v>94</v>
      </c>
    </row>
    <row r="303" spans="4:4" ht="15" hidden="1" customHeight="1" x14ac:dyDescent="0.25">
      <c r="D303" t="s">
        <v>68</v>
      </c>
    </row>
    <row r="304" spans="4:4" ht="15" hidden="1" customHeight="1" x14ac:dyDescent="0.25">
      <c r="D304" t="s">
        <v>386</v>
      </c>
    </row>
    <row r="305" spans="4:4" ht="15" hidden="1" customHeight="1" x14ac:dyDescent="0.25">
      <c r="D305" t="s">
        <v>55</v>
      </c>
    </row>
    <row r="306" spans="4:4" ht="15" hidden="1" customHeight="1" x14ac:dyDescent="0.25">
      <c r="D306" t="s">
        <v>387</v>
      </c>
    </row>
    <row r="307" spans="4:4" ht="15" hidden="1" customHeight="1" x14ac:dyDescent="0.25">
      <c r="D307" t="s">
        <v>388</v>
      </c>
    </row>
    <row r="308" spans="4:4" ht="15" hidden="1" customHeight="1" x14ac:dyDescent="0.25">
      <c r="D308" t="s">
        <v>389</v>
      </c>
    </row>
    <row r="309" spans="4:4" ht="15" hidden="1" customHeight="1" x14ac:dyDescent="0.25">
      <c r="D309" t="s">
        <v>67</v>
      </c>
    </row>
    <row r="310" spans="4:4" ht="15" hidden="1" customHeight="1" x14ac:dyDescent="0.25">
      <c r="D310" t="s">
        <v>390</v>
      </c>
    </row>
    <row r="311" spans="4:4" ht="15" hidden="1" customHeight="1" x14ac:dyDescent="0.25">
      <c r="D311" t="s">
        <v>391</v>
      </c>
    </row>
    <row r="312" spans="4:4" ht="15" hidden="1" customHeight="1" x14ac:dyDescent="0.25">
      <c r="D312" t="s">
        <v>392</v>
      </c>
    </row>
    <row r="313" spans="4:4" ht="15" hidden="1" customHeight="1" x14ac:dyDescent="0.25">
      <c r="D313" t="s">
        <v>393</v>
      </c>
    </row>
    <row r="314" spans="4:4" ht="15" hidden="1" customHeight="1" x14ac:dyDescent="0.25">
      <c r="D314" t="s">
        <v>394</v>
      </c>
    </row>
    <row r="315" spans="4:4" ht="15" hidden="1" customHeight="1" x14ac:dyDescent="0.25">
      <c r="D315" t="s">
        <v>395</v>
      </c>
    </row>
    <row r="316" spans="4:4" ht="15" hidden="1" customHeight="1" x14ac:dyDescent="0.25">
      <c r="D316" t="s">
        <v>396</v>
      </c>
    </row>
    <row r="317" spans="4:4" ht="15" hidden="1" customHeight="1" x14ac:dyDescent="0.25">
      <c r="D317" t="s">
        <v>85</v>
      </c>
    </row>
    <row r="318" spans="4:4" ht="15" hidden="1" customHeight="1" x14ac:dyDescent="0.25">
      <c r="D318" t="s">
        <v>397</v>
      </c>
    </row>
    <row r="319" spans="4:4" ht="15" hidden="1" customHeight="1" x14ac:dyDescent="0.25">
      <c r="D319" t="s">
        <v>398</v>
      </c>
    </row>
    <row r="320" spans="4:4" ht="15" hidden="1" customHeight="1" x14ac:dyDescent="0.25">
      <c r="D320" t="s">
        <v>399</v>
      </c>
    </row>
    <row r="321" spans="4:4" ht="15" hidden="1" customHeight="1" x14ac:dyDescent="0.25">
      <c r="D321" t="s">
        <v>65</v>
      </c>
    </row>
    <row r="322" spans="4:4" ht="15" hidden="1" customHeight="1" x14ac:dyDescent="0.25">
      <c r="D322" t="s">
        <v>400</v>
      </c>
    </row>
    <row r="323" spans="4:4" ht="15" hidden="1" customHeight="1" x14ac:dyDescent="0.25">
      <c r="D323" t="s">
        <v>401</v>
      </c>
    </row>
    <row r="324" spans="4:4" ht="15" hidden="1" customHeight="1" x14ac:dyDescent="0.25">
      <c r="D324" t="s">
        <v>402</v>
      </c>
    </row>
    <row r="325" spans="4:4" ht="15" hidden="1" customHeight="1" x14ac:dyDescent="0.25">
      <c r="D325" t="s">
        <v>403</v>
      </c>
    </row>
    <row r="326" spans="4:4" ht="15" hidden="1" customHeight="1" x14ac:dyDescent="0.25">
      <c r="D326" t="s">
        <v>32</v>
      </c>
    </row>
    <row r="327" spans="4:4" ht="15" hidden="1" customHeight="1" x14ac:dyDescent="0.25">
      <c r="D327" t="s">
        <v>78</v>
      </c>
    </row>
    <row r="328" spans="4:4" ht="15" hidden="1" customHeight="1" x14ac:dyDescent="0.25">
      <c r="D328" t="s">
        <v>47</v>
      </c>
    </row>
    <row r="329" spans="4:4" ht="15" hidden="1" customHeight="1" x14ac:dyDescent="0.25">
      <c r="D329" t="s">
        <v>404</v>
      </c>
    </row>
    <row r="330" spans="4:4" ht="15" hidden="1" customHeight="1" x14ac:dyDescent="0.25">
      <c r="D330" t="s">
        <v>50</v>
      </c>
    </row>
    <row r="331" spans="4:4" ht="15" hidden="1" customHeight="1" x14ac:dyDescent="0.25">
      <c r="D331" t="s">
        <v>61</v>
      </c>
    </row>
    <row r="332" spans="4:4" ht="15" hidden="1" customHeight="1" x14ac:dyDescent="0.25">
      <c r="D332" t="s">
        <v>405</v>
      </c>
    </row>
    <row r="333" spans="4:4" ht="15" hidden="1" customHeight="1" x14ac:dyDescent="0.25">
      <c r="D333" t="s">
        <v>406</v>
      </c>
    </row>
    <row r="334" spans="4:4" ht="15" hidden="1" customHeight="1" x14ac:dyDescent="0.25">
      <c r="D334" t="s">
        <v>407</v>
      </c>
    </row>
    <row r="335" spans="4:4" ht="15" hidden="1" customHeight="1" x14ac:dyDescent="0.25">
      <c r="D335" t="s">
        <v>408</v>
      </c>
    </row>
    <row r="336" spans="4:4" ht="15" hidden="1" customHeight="1" x14ac:dyDescent="0.25">
      <c r="D336" t="s">
        <v>409</v>
      </c>
    </row>
    <row r="337" spans="4:4" ht="15" hidden="1" customHeight="1" x14ac:dyDescent="0.25">
      <c r="D337" t="s">
        <v>410</v>
      </c>
    </row>
    <row r="338" spans="4:4" ht="15" hidden="1" customHeight="1" x14ac:dyDescent="0.25">
      <c r="D338" t="s">
        <v>411</v>
      </c>
    </row>
    <row r="339" spans="4:4" ht="15" hidden="1" customHeight="1" x14ac:dyDescent="0.25">
      <c r="D339" t="s">
        <v>412</v>
      </c>
    </row>
    <row r="340" spans="4:4" ht="15" hidden="1" customHeight="1" x14ac:dyDescent="0.25">
      <c r="D340" t="s">
        <v>413</v>
      </c>
    </row>
    <row r="341" spans="4:4" ht="15" hidden="1" customHeight="1" x14ac:dyDescent="0.25">
      <c r="D341" t="s">
        <v>414</v>
      </c>
    </row>
    <row r="342" spans="4:4" ht="15" hidden="1" customHeight="1" x14ac:dyDescent="0.25">
      <c r="D342" t="s">
        <v>415</v>
      </c>
    </row>
    <row r="343" spans="4:4" ht="15" hidden="1" customHeight="1" x14ac:dyDescent="0.25">
      <c r="D343" t="s">
        <v>416</v>
      </c>
    </row>
    <row r="344" spans="4:4" ht="15" hidden="1" customHeight="1" x14ac:dyDescent="0.25">
      <c r="D344" t="s">
        <v>417</v>
      </c>
    </row>
    <row r="345" spans="4:4" ht="15" hidden="1" customHeight="1" x14ac:dyDescent="0.25">
      <c r="D345" t="s">
        <v>418</v>
      </c>
    </row>
    <row r="346" spans="4:4" ht="15" hidden="1" customHeight="1" x14ac:dyDescent="0.25">
      <c r="D346" t="s">
        <v>419</v>
      </c>
    </row>
    <row r="347" spans="4:4" ht="15" hidden="1" customHeight="1" x14ac:dyDescent="0.25">
      <c r="D347" t="s">
        <v>39</v>
      </c>
    </row>
    <row r="348" spans="4:4" ht="15" hidden="1" customHeight="1" x14ac:dyDescent="0.25">
      <c r="D348" t="s">
        <v>42</v>
      </c>
    </row>
    <row r="349" spans="4:4" ht="15" hidden="1" customHeight="1" x14ac:dyDescent="0.25">
      <c r="D349" t="s">
        <v>420</v>
      </c>
    </row>
    <row r="350" spans="4:4" ht="15" hidden="1" customHeight="1" x14ac:dyDescent="0.25">
      <c r="D350" t="s">
        <v>53</v>
      </c>
    </row>
    <row r="351" spans="4:4" ht="15" hidden="1" customHeight="1" x14ac:dyDescent="0.25">
      <c r="D351" t="s">
        <v>44</v>
      </c>
    </row>
    <row r="352" spans="4:4" ht="15" hidden="1" customHeight="1" x14ac:dyDescent="0.25">
      <c r="D352" t="s">
        <v>93</v>
      </c>
    </row>
    <row r="353" spans="1:34" ht="15" hidden="1" customHeight="1" x14ac:dyDescent="0.25">
      <c r="D353" t="s">
        <v>421</v>
      </c>
    </row>
    <row r="354" spans="1:34" x14ac:dyDescent="0.25">
      <c r="A354" s="9">
        <v>400</v>
      </c>
      <c r="B354" s="12"/>
      <c r="D354" s="12" t="s">
        <v>440</v>
      </c>
      <c r="E354" s="104" t="s">
        <v>16</v>
      </c>
      <c r="F354" s="104"/>
      <c r="G354" s="104"/>
      <c r="H354" s="104"/>
      <c r="I354" s="104"/>
      <c r="J354" s="104"/>
      <c r="K354" s="49" t="s">
        <v>471</v>
      </c>
      <c r="L354" s="100" t="s">
        <v>18</v>
      </c>
      <c r="M354" s="100"/>
      <c r="N354" s="100"/>
      <c r="O354" s="100"/>
      <c r="P354" s="100"/>
      <c r="Q354" s="100"/>
      <c r="R354" s="75" t="s">
        <v>481</v>
      </c>
      <c r="S354" s="50" t="s">
        <v>436</v>
      </c>
      <c r="T354" s="103" t="s">
        <v>17</v>
      </c>
      <c r="U354" s="103"/>
      <c r="V354" s="103"/>
      <c r="W354" s="103"/>
      <c r="X354" s="103"/>
      <c r="Y354" s="103"/>
      <c r="Z354" s="99" t="s">
        <v>438</v>
      </c>
      <c r="AA354" s="99"/>
      <c r="AB354" s="99"/>
      <c r="AC354" s="99"/>
      <c r="AD354" s="99"/>
      <c r="AE354" s="99"/>
      <c r="AH354" s="5"/>
    </row>
    <row r="355" spans="1:34" x14ac:dyDescent="0.25">
      <c r="B355" s="12"/>
      <c r="D355" s="26" t="s">
        <v>11</v>
      </c>
      <c r="E355" s="51" t="s">
        <v>19</v>
      </c>
      <c r="F355" s="51" t="s">
        <v>20</v>
      </c>
      <c r="G355" s="51" t="s">
        <v>21</v>
      </c>
      <c r="H355" s="51" t="s">
        <v>22</v>
      </c>
      <c r="I355" s="51" t="s">
        <v>23</v>
      </c>
      <c r="J355" s="51" t="s">
        <v>24</v>
      </c>
      <c r="K355" s="46" t="s">
        <v>25</v>
      </c>
      <c r="L355" s="53" t="s">
        <v>19</v>
      </c>
      <c r="M355" s="53" t="s">
        <v>20</v>
      </c>
      <c r="N355" s="53" t="s">
        <v>21</v>
      </c>
      <c r="O355" s="53" t="s">
        <v>22</v>
      </c>
      <c r="P355" s="53" t="s">
        <v>23</v>
      </c>
      <c r="Q355" s="53" t="s">
        <v>24</v>
      </c>
      <c r="R355" s="51" t="s">
        <v>482</v>
      </c>
      <c r="S355" s="51" t="s">
        <v>25</v>
      </c>
      <c r="T355" s="51" t="s">
        <v>19</v>
      </c>
      <c r="U355" s="51" t="s">
        <v>20</v>
      </c>
      <c r="V355" s="51" t="s">
        <v>21</v>
      </c>
      <c r="W355" s="51" t="s">
        <v>22</v>
      </c>
      <c r="X355" s="51" t="s">
        <v>23</v>
      </c>
      <c r="Y355" s="51" t="s">
        <v>24</v>
      </c>
      <c r="Z355" s="51" t="s">
        <v>19</v>
      </c>
      <c r="AA355" s="51" t="s">
        <v>20</v>
      </c>
      <c r="AB355" s="51" t="s">
        <v>21</v>
      </c>
      <c r="AC355" s="51" t="s">
        <v>22</v>
      </c>
      <c r="AD355" s="51" t="s">
        <v>23</v>
      </c>
      <c r="AE355" s="51" t="s">
        <v>24</v>
      </c>
      <c r="AH355" s="5"/>
    </row>
    <row r="356" spans="1:34" ht="15.75" thickBot="1" x14ac:dyDescent="0.3">
      <c r="A356" s="101" t="s">
        <v>1042</v>
      </c>
      <c r="B356" s="42">
        <v>1</v>
      </c>
      <c r="C356">
        <v>1</v>
      </c>
      <c r="D356" s="13" t="s">
        <v>71</v>
      </c>
      <c r="E356" s="52">
        <f>($K356+L356+$R356)*($S356+T356+Z356)</f>
        <v>647.09698051936311</v>
      </c>
      <c r="F356" s="52">
        <f t="shared" ref="F356:F387" si="0">($K356+M356+$R356)*($S356+U356+AA356)</f>
        <v>499.02864099802525</v>
      </c>
      <c r="G356" s="52">
        <f t="shared" ref="G356:G387" si="1">($K356+N356+$R356)*($S356+V356+AB356)</f>
        <v>397.09932226546618</v>
      </c>
      <c r="H356" s="52">
        <f t="shared" ref="H356:H387" si="2">($K356+O356+$R356)*($S356+W356+AC356)</f>
        <v>253.12507811320785</v>
      </c>
      <c r="I356" s="52">
        <f t="shared" ref="I356:I387" si="3">($K356+P356+$R356)*($S356+X356+AD356)</f>
        <v>211.2796444019942</v>
      </c>
      <c r="J356" s="52">
        <f t="shared" ref="J356:J387" si="4">($K356+Q356+$R356)*($S356+Y356+AE356)</f>
        <v>185.14980053277003</v>
      </c>
      <c r="K356" s="46">
        <f>_xlfn.NORM.DIST(VLOOKUP('Value Matchup'!D356,Ranking!C:N,4),0,11.8,TRUE)</f>
        <v>0.99936357962468403</v>
      </c>
      <c r="L356" s="54">
        <f>(VLOOKUP($D356,'P Adv'!$B$3:$H$356,2))</f>
        <v>0.99</v>
      </c>
      <c r="M356" s="54">
        <f>(VLOOKUP($D356,'P Adv'!$B$3:$H$356,3))</f>
        <v>0.85</v>
      </c>
      <c r="N356" s="54">
        <f>(VLOOKUP($D356,'P Adv'!$B$3:$H$356,4))</f>
        <v>0.71</v>
      </c>
      <c r="O356" s="54">
        <f>(VLOOKUP($D356,'P Adv'!$B$3:$H$356,5))</f>
        <v>0.56000000000000005</v>
      </c>
      <c r="P356" s="54">
        <f>(VLOOKUP($D356,'P Adv'!$B$3:$H$356,6))</f>
        <v>0.42</v>
      </c>
      <c r="Q356" s="54">
        <f>(VLOOKUP($D356,'P Adv'!$B$3:$H$356,7))</f>
        <v>0.3</v>
      </c>
      <c r="R356" s="53">
        <f>_xlfn.NORM.DIST(VLOOKUP(D356,PASE!B:C,2,FALSE),0,0.25,TRUE)</f>
        <v>0.75249209772674397</v>
      </c>
      <c r="S356" s="51">
        <f>VLOOKUP('Value Matchup'!D356,'Team History'!$B$3:$I$354,8)</f>
        <v>76</v>
      </c>
      <c r="T356" s="52">
        <f>((VLOOKUP($C356,'Seed History'!$Y$2:$AE$19,2)))</f>
        <v>142.00694444444446</v>
      </c>
      <c r="U356" s="52">
        <f>((VLOOKUP($C356,'Seed History'!$Y$2:$AE$19,3)))</f>
        <v>105.7972027972028</v>
      </c>
      <c r="V356" s="52">
        <f>((VLOOKUP($C356,'Seed History'!$Y$2:$AE$19,4)))</f>
        <v>81.300813008130078</v>
      </c>
      <c r="W356" s="52">
        <f>((VLOOKUP($C356,'Seed History'!$Y$2:$AE$19,5)))</f>
        <v>32.49</v>
      </c>
      <c r="X356" s="52">
        <f>((VLOOKUP($C356,'Seed History'!$Y$2:$AE$19,6)))</f>
        <v>20.280701754385966</v>
      </c>
      <c r="Y356" s="52">
        <f>((VLOOKUP($C356,'Seed History'!$Y$2:$AE$19,7)))</f>
        <v>14.235294117647058</v>
      </c>
      <c r="Z356" s="52">
        <f>VLOOKUP('Value Matchup'!$D356,'Team History'!$B$3:$I$354,2)</f>
        <v>18</v>
      </c>
      <c r="AA356" s="52">
        <f>VLOOKUP('Value Matchup'!$D356,'Team History'!$B$3:$I$354,3)</f>
        <v>10</v>
      </c>
      <c r="AB356" s="52">
        <f>VLOOKUP('Value Matchup'!$D356,'Team History'!$B$3:$I$354,4)</f>
        <v>4</v>
      </c>
      <c r="AC356" s="52">
        <f>VLOOKUP('Value Matchup'!$D356,'Team History'!$B$3:$I$354,5)</f>
        <v>1</v>
      </c>
      <c r="AD356" s="52">
        <f>VLOOKUP('Value Matchup'!$D356,'Team History'!$B$3:$I$354,6)</f>
        <v>1</v>
      </c>
      <c r="AE356" s="52">
        <f>VLOOKUP('Value Matchup'!$D356,'Team History'!$B$3:$I$354,7)</f>
        <v>0</v>
      </c>
    </row>
    <row r="357" spans="1:34" ht="15.75" thickBot="1" x14ac:dyDescent="0.3">
      <c r="A357" s="101"/>
      <c r="B357" s="42">
        <v>2</v>
      </c>
      <c r="C357">
        <v>16</v>
      </c>
      <c r="D357" s="13" t="s">
        <v>297</v>
      </c>
      <c r="E357" s="52">
        <f t="shared" ref="E357:E387" si="5">($K357+L357+$R357)*($S357+T357+Z357)</f>
        <v>5.6951079598707812</v>
      </c>
      <c r="F357" s="52">
        <f t="shared" si="0"/>
        <v>4.2639283165756972</v>
      </c>
      <c r="G357" s="52">
        <f t="shared" si="1"/>
        <v>4.2639283165756972</v>
      </c>
      <c r="H357" s="52">
        <f t="shared" si="2"/>
        <v>4.2639283165756972</v>
      </c>
      <c r="I357" s="52">
        <f t="shared" si="3"/>
        <v>4.2639283165756972</v>
      </c>
      <c r="J357" s="52">
        <f t="shared" si="4"/>
        <v>4.2639283165756972</v>
      </c>
      <c r="K357" s="46">
        <f>_xlfn.NORM.DIST(VLOOKUP('Value Matchup'!D357,Ranking!C:N,4),0,11.8,TRUE)</f>
        <v>0.42140318681956335</v>
      </c>
      <c r="L357" s="54">
        <f>(VLOOKUP($D357,'P Adv'!$B$3:$H$356,2))</f>
        <v>0</v>
      </c>
      <c r="M357" s="54">
        <f>(VLOOKUP($D357,'P Adv'!$B$3:$H$356,3))</f>
        <v>0</v>
      </c>
      <c r="N357" s="54">
        <f>(VLOOKUP($D357,'P Adv'!$B$3:$H$356,4))</f>
        <v>0</v>
      </c>
      <c r="O357" s="54">
        <f>(VLOOKUP($D357,'P Adv'!$B$3:$H$356,5))</f>
        <v>0</v>
      </c>
      <c r="P357" s="54">
        <f>(VLOOKUP($D357,'P Adv'!$B$3:$H$356,6))</f>
        <v>0</v>
      </c>
      <c r="Q357" s="54">
        <f>(VLOOKUP($D357,'P Adv'!$B$3:$H$356,7))</f>
        <v>0</v>
      </c>
      <c r="R357" s="53">
        <f>_xlfn.NORM.DIST(VLOOKUP(D357,PASE!B:C,2,FALSE),0,0.25,TRUE)</f>
        <v>0.99990625203900263</v>
      </c>
      <c r="S357" s="51">
        <f>VLOOKUP('Value Matchup'!D357,'Team History'!$B$3:$I$354,8)</f>
        <v>3</v>
      </c>
      <c r="T357" s="52">
        <f>((VLOOKUP($C357,'Seed History'!$Y$2:$AE$19,2)))</f>
        <v>6.9444444444444441E-3</v>
      </c>
      <c r="U357" s="52">
        <f>((VLOOKUP($C357,'Seed History'!$Y$2:$AE$19,3)))</f>
        <v>0</v>
      </c>
      <c r="V357" s="52">
        <f>((VLOOKUP($C357,'Seed History'!$Y$2:$AE$19,4)))</f>
        <v>0</v>
      </c>
      <c r="W357" s="52">
        <f>((VLOOKUP($C357,'Seed History'!$Y$2:$AE$19,5)))</f>
        <v>0</v>
      </c>
      <c r="X357" s="52">
        <f>((VLOOKUP($C357,'Seed History'!$Y$2:$AE$19,6)))</f>
        <v>0</v>
      </c>
      <c r="Y357" s="52">
        <f>((VLOOKUP($C357,'Seed History'!$Y$2:$AE$19,7)))</f>
        <v>0</v>
      </c>
      <c r="Z357" s="52">
        <f>VLOOKUP('Value Matchup'!$D357,'Team History'!$B$3:$I$354,2)</f>
        <v>1</v>
      </c>
      <c r="AA357" s="52">
        <f>VLOOKUP('Value Matchup'!$D357,'Team History'!$B$3:$I$354,3)</f>
        <v>0</v>
      </c>
      <c r="AB357" s="52">
        <f>VLOOKUP('Value Matchup'!$D357,'Team History'!$B$3:$I$354,4)</f>
        <v>0</v>
      </c>
      <c r="AC357" s="52">
        <f>VLOOKUP('Value Matchup'!$D357,'Team History'!$B$3:$I$354,5)</f>
        <v>0</v>
      </c>
      <c r="AD357" s="52">
        <f>VLOOKUP('Value Matchup'!$D357,'Team History'!$B$3:$I$354,6)</f>
        <v>0</v>
      </c>
      <c r="AE357" s="52">
        <f>VLOOKUP('Value Matchup'!$D357,'Team History'!$B$3:$I$354,7)</f>
        <v>0</v>
      </c>
    </row>
    <row r="358" spans="1:34" ht="15.75" thickBot="1" x14ac:dyDescent="0.3">
      <c r="A358" s="101"/>
      <c r="B358" s="42">
        <v>3</v>
      </c>
      <c r="C358">
        <v>8</v>
      </c>
      <c r="D358" s="13" t="s">
        <v>58</v>
      </c>
      <c r="E358" s="52">
        <f t="shared" si="5"/>
        <v>195.88651735821233</v>
      </c>
      <c r="F358" s="52">
        <f t="shared" si="0"/>
        <v>104.02340744665177</v>
      </c>
      <c r="G358" s="52">
        <f t="shared" si="1"/>
        <v>90.098186152153019</v>
      </c>
      <c r="H358" s="52">
        <f t="shared" si="2"/>
        <v>81.307275390957741</v>
      </c>
      <c r="I358" s="52">
        <f t="shared" si="3"/>
        <v>76.272650556682407</v>
      </c>
      <c r="J358" s="52">
        <f t="shared" si="4"/>
        <v>72.958994038022013</v>
      </c>
      <c r="K358" s="46">
        <f>_xlfn.NORM.DIST(VLOOKUP('Value Matchup'!D358,Ranking!C:N,4),0,11.8,TRUE)</f>
        <v>0.93673952271485827</v>
      </c>
      <c r="L358" s="54">
        <f>(VLOOKUP($D358,'P Adv'!$B$3:$H$356,2))</f>
        <v>0.57999999999999996</v>
      </c>
      <c r="M358" s="54">
        <f>(VLOOKUP($D358,'P Adv'!$B$3:$H$356,3))</f>
        <v>0.22</v>
      </c>
      <c r="N358" s="54">
        <f>(VLOOKUP($D358,'P Adv'!$B$3:$H$356,4))</f>
        <v>0.08</v>
      </c>
      <c r="O358" s="54">
        <f>(VLOOKUP($D358,'P Adv'!$B$3:$H$356,5))</f>
        <v>0.03</v>
      </c>
      <c r="P358" s="54">
        <f>(VLOOKUP($D358,'P Adv'!$B$3:$H$356,6))</f>
        <v>0.01</v>
      </c>
      <c r="Q358" s="54">
        <f>(VLOOKUP($D358,'P Adv'!$B$3:$H$356,7))</f>
        <v>0</v>
      </c>
      <c r="R358" s="53">
        <f>_xlfn.NORM.DIST(VLOOKUP(D358,PASE!B:C,2,FALSE),0,0.25,TRUE)</f>
        <v>0.11555366052584391</v>
      </c>
      <c r="S358" s="51">
        <f>VLOOKUP('Value Matchup'!D358,'Team History'!$B$3:$I$354,8)</f>
        <v>69</v>
      </c>
      <c r="T358" s="52">
        <f>((VLOOKUP($C358,'Seed History'!$Y$2:$AE$19,2)))</f>
        <v>35.006944444444443</v>
      </c>
      <c r="U358" s="52">
        <f>((VLOOKUP($C358,'Seed History'!$Y$2:$AE$19,3)))</f>
        <v>2.76056338028169</v>
      </c>
      <c r="V358" s="52">
        <f>((VLOOKUP($C358,'Seed History'!$Y$2:$AE$19,4)))</f>
        <v>4.5714285714285712</v>
      </c>
      <c r="W358" s="52">
        <f>((VLOOKUP($C358,'Seed History'!$Y$2:$AE$19,5)))</f>
        <v>3.125</v>
      </c>
      <c r="X358" s="52">
        <f>((VLOOKUP($C358,'Seed History'!$Y$2:$AE$19,6)))</f>
        <v>1.8</v>
      </c>
      <c r="Y358" s="52">
        <f>((VLOOKUP($C358,'Seed History'!$Y$2:$AE$19,7)))</f>
        <v>0.33333333333333331</v>
      </c>
      <c r="Z358" s="52">
        <f>VLOOKUP('Value Matchup'!$D358,'Team History'!$B$3:$I$354,2)</f>
        <v>16</v>
      </c>
      <c r="AA358" s="52">
        <f>VLOOKUP('Value Matchup'!$D358,'Team History'!$B$3:$I$354,3)</f>
        <v>10</v>
      </c>
      <c r="AB358" s="52">
        <f>VLOOKUP('Value Matchup'!$D358,'Team History'!$B$3:$I$354,4)</f>
        <v>6</v>
      </c>
      <c r="AC358" s="52">
        <f>VLOOKUP('Value Matchup'!$D358,'Team History'!$B$3:$I$354,5)</f>
        <v>3</v>
      </c>
      <c r="AD358" s="52">
        <f>VLOOKUP('Value Matchup'!$D358,'Team History'!$B$3:$I$354,6)</f>
        <v>1</v>
      </c>
      <c r="AE358" s="52">
        <f>VLOOKUP('Value Matchup'!$D358,'Team History'!$B$3:$I$354,7)</f>
        <v>0</v>
      </c>
    </row>
    <row r="359" spans="1:34" ht="15.75" thickBot="1" x14ac:dyDescent="0.3">
      <c r="A359" s="101"/>
      <c r="B359" s="42">
        <v>4</v>
      </c>
      <c r="C359">
        <v>9</v>
      </c>
      <c r="D359" s="13" t="s">
        <v>277</v>
      </c>
      <c r="E359" s="52">
        <f t="shared" si="5"/>
        <v>128.02825828054924</v>
      </c>
      <c r="F359" s="52">
        <f t="shared" si="0"/>
        <v>49.687948326468202</v>
      </c>
      <c r="G359" s="52">
        <f t="shared" si="1"/>
        <v>44.500643723035829</v>
      </c>
      <c r="H359" s="52">
        <f t="shared" si="2"/>
        <v>37.711158279667544</v>
      </c>
      <c r="I359" s="52">
        <f t="shared" si="3"/>
        <v>37.088063257656351</v>
      </c>
      <c r="J359" s="52">
        <f t="shared" si="4"/>
        <v>37.088063257656351</v>
      </c>
      <c r="K359" s="46">
        <f>_xlfn.NORM.DIST(VLOOKUP('Value Matchup'!D359,Ranking!C:N,4),0,11.8,TRUE)</f>
        <v>0.91962332675732306</v>
      </c>
      <c r="L359" s="54">
        <f>(VLOOKUP($D359,'P Adv'!$B$3:$H$356,2))</f>
        <v>0.54</v>
      </c>
      <c r="M359" s="54">
        <f>(VLOOKUP($D359,'P Adv'!$B$3:$H$356,3))</f>
        <v>0.19</v>
      </c>
      <c r="N359" s="54">
        <f>(VLOOKUP($D359,'P Adv'!$B$3:$H$356,4))</f>
        <v>0.05</v>
      </c>
      <c r="O359" s="54">
        <f>(VLOOKUP($D359,'P Adv'!$B$3:$H$356,5))</f>
        <v>0.01</v>
      </c>
      <c r="P359" s="54">
        <f>(VLOOKUP($D359,'P Adv'!$B$3:$H$356,6))</f>
        <v>0</v>
      </c>
      <c r="Q359" s="54">
        <f>(VLOOKUP($D359,'P Adv'!$B$3:$H$356,7))</f>
        <v>0</v>
      </c>
      <c r="R359" s="53">
        <f>_xlfn.NORM.DIST(VLOOKUP(D359,PASE!B:C,2,FALSE),0,0.25,TRUE)</f>
        <v>8.2756761287443137E-2</v>
      </c>
      <c r="S359" s="51">
        <f>VLOOKUP('Value Matchup'!D359,'Team History'!$B$3:$I$354,8)</f>
        <v>37</v>
      </c>
      <c r="T359" s="52">
        <f>((VLOOKUP($C359,'Seed History'!$Y$2:$AE$19,2)))</f>
        <v>37.006944444444443</v>
      </c>
      <c r="U359" s="52">
        <f>((VLOOKUP($C359,'Seed History'!$Y$2:$AE$19,3)))</f>
        <v>0.67123287671232879</v>
      </c>
      <c r="V359" s="52">
        <f>((VLOOKUP($C359,'Seed History'!$Y$2:$AE$19,4)))</f>
        <v>2.2857142857142856</v>
      </c>
      <c r="W359" s="52">
        <f>((VLOOKUP($C359,'Seed History'!$Y$2:$AE$19,5)))</f>
        <v>0.25</v>
      </c>
      <c r="X359" s="52">
        <f>((VLOOKUP($C359,'Seed History'!$Y$2:$AE$19,6)))</f>
        <v>0</v>
      </c>
      <c r="Y359" s="52">
        <f>((VLOOKUP($C359,'Seed History'!$Y$2:$AE$19,7)))</f>
        <v>0</v>
      </c>
      <c r="Z359" s="52">
        <f>VLOOKUP('Value Matchup'!$D359,'Team History'!$B$3:$I$354,2)</f>
        <v>9</v>
      </c>
      <c r="AA359" s="52">
        <f>VLOOKUP('Value Matchup'!$D359,'Team History'!$B$3:$I$354,3)</f>
        <v>4</v>
      </c>
      <c r="AB359" s="52">
        <f>VLOOKUP('Value Matchup'!$D359,'Team History'!$B$3:$I$354,4)</f>
        <v>3</v>
      </c>
      <c r="AC359" s="52">
        <f>VLOOKUP('Value Matchup'!$D359,'Team History'!$B$3:$I$354,5)</f>
        <v>0</v>
      </c>
      <c r="AD359" s="52">
        <f>VLOOKUP('Value Matchup'!$D359,'Team History'!$B$3:$I$354,6)</f>
        <v>0</v>
      </c>
      <c r="AE359" s="52">
        <f>VLOOKUP('Value Matchup'!$D359,'Team History'!$B$3:$I$354,7)</f>
        <v>0</v>
      </c>
    </row>
    <row r="360" spans="1:34" ht="15.75" thickBot="1" x14ac:dyDescent="0.3">
      <c r="A360" s="101"/>
      <c r="B360" s="42">
        <v>5</v>
      </c>
      <c r="C360">
        <v>5</v>
      </c>
      <c r="D360" s="13" t="s">
        <v>88</v>
      </c>
      <c r="E360" s="52">
        <f>($K360+L360+$R360)*($S360+T360+Z360)</f>
        <v>154.12807927887269</v>
      </c>
      <c r="F360" s="52">
        <f t="shared" si="0"/>
        <v>67.883295067476411</v>
      </c>
      <c r="G360" s="52">
        <f t="shared" si="1"/>
        <v>30.0905623530548</v>
      </c>
      <c r="H360" s="52">
        <f t="shared" si="2"/>
        <v>32.158176430897655</v>
      </c>
      <c r="I360" s="52">
        <f t="shared" si="3"/>
        <v>26.485050189326682</v>
      </c>
      <c r="J360" s="52">
        <f t="shared" si="4"/>
        <v>24.622900473421154</v>
      </c>
      <c r="K360" s="46">
        <f>_xlfn.NORM.DIST(VLOOKUP('Value Matchup'!D360,Ranking!C:N,4),0,11.8,TRUE)</f>
        <v>0.97285880482162901</v>
      </c>
      <c r="L360" s="54">
        <f>(VLOOKUP($D360,'P Adv'!$B$3:$H$356,2))</f>
        <v>0.67</v>
      </c>
      <c r="M360" s="54">
        <f>(VLOOKUP($D360,'P Adv'!$B$3:$H$356,3))</f>
        <v>0.33</v>
      </c>
      <c r="N360" s="54">
        <f>(VLOOKUP($D360,'P Adv'!$B$3:$H$356,4))</f>
        <v>0.16</v>
      </c>
      <c r="O360" s="54">
        <f>(VLOOKUP($D360,'P Adv'!$B$3:$H$356,5))</f>
        <v>7.0000000000000007E-2</v>
      </c>
      <c r="P360" s="54">
        <f>(VLOOKUP($D360,'P Adv'!$B$3:$H$356,6))</f>
        <v>0.03</v>
      </c>
      <c r="Q360" s="54">
        <f>(VLOOKUP($D360,'P Adv'!$B$3:$H$356,7))</f>
        <v>0.01</v>
      </c>
      <c r="R360" s="53">
        <f>_xlfn.NORM.DIST(VLOOKUP(D360,PASE!B:C,2,FALSE),0,0.25,TRUE)</f>
        <v>8.7702085327116833E-2</v>
      </c>
      <c r="S360" s="51">
        <f>VLOOKUP('Value Matchup'!D360,'Team History'!$B$3:$I$354,8)</f>
        <v>23</v>
      </c>
      <c r="T360" s="52">
        <f>((VLOOKUP($C360,'Seed History'!$Y$2:$AE$19,2)))</f>
        <v>60.0625</v>
      </c>
      <c r="U360" s="52">
        <f>((VLOOKUP($C360,'Seed History'!$Y$2:$AE$19,3)))</f>
        <v>25.817204301075268</v>
      </c>
      <c r="V360" s="52">
        <f>((VLOOKUP($C360,'Seed History'!$Y$2:$AE$19,4)))</f>
        <v>1.653061224489796</v>
      </c>
      <c r="W360" s="52">
        <f>((VLOOKUP($C360,'Seed History'!$Y$2:$AE$19,5)))</f>
        <v>5.4444444444444446</v>
      </c>
      <c r="X360" s="52">
        <f>((VLOOKUP($C360,'Seed History'!$Y$2:$AE$19,6)))</f>
        <v>1.2857142857142858</v>
      </c>
      <c r="Y360" s="52">
        <f>((VLOOKUP($C360,'Seed History'!$Y$2:$AE$19,7)))</f>
        <v>0</v>
      </c>
      <c r="Z360" s="52">
        <f>VLOOKUP('Value Matchup'!$D360,'Team History'!$B$3:$I$354,2)</f>
        <v>6</v>
      </c>
      <c r="AA360" s="52">
        <f>VLOOKUP('Value Matchup'!$D360,'Team History'!$B$3:$I$354,3)</f>
        <v>0</v>
      </c>
      <c r="AB360" s="52">
        <f>VLOOKUP('Value Matchup'!$D360,'Team History'!$B$3:$I$354,4)</f>
        <v>0</v>
      </c>
      <c r="AC360" s="52">
        <f>VLOOKUP('Value Matchup'!$D360,'Team History'!$B$3:$I$354,5)</f>
        <v>0</v>
      </c>
      <c r="AD360" s="52">
        <f>VLOOKUP('Value Matchup'!$D360,'Team History'!$B$3:$I$354,6)</f>
        <v>0</v>
      </c>
      <c r="AE360" s="52">
        <f>VLOOKUP('Value Matchup'!$D360,'Team History'!$B$3:$I$354,7)</f>
        <v>0</v>
      </c>
      <c r="AF360" s="5"/>
    </row>
    <row r="361" spans="1:34" ht="15.75" thickBot="1" x14ac:dyDescent="0.3">
      <c r="A361" s="101"/>
      <c r="B361" s="42">
        <v>6</v>
      </c>
      <c r="C361">
        <v>12</v>
      </c>
      <c r="D361" s="13" t="s">
        <v>388</v>
      </c>
      <c r="E361" s="52">
        <f t="shared" si="5"/>
        <v>35.302036953345791</v>
      </c>
      <c r="F361" s="52">
        <f t="shared" si="0"/>
        <v>19.650244344545047</v>
      </c>
      <c r="G361" s="52">
        <f t="shared" si="1"/>
        <v>7.5947350272591736</v>
      </c>
      <c r="H361" s="52">
        <f t="shared" si="2"/>
        <v>7.3113604676339055</v>
      </c>
      <c r="I361" s="52">
        <f t="shared" si="3"/>
        <v>7.3113604676339055</v>
      </c>
      <c r="J361" s="52">
        <f t="shared" si="4"/>
        <v>7.3113604676339055</v>
      </c>
      <c r="K361" s="46">
        <f>_xlfn.NORM.DIST(VLOOKUP('Value Matchup'!D361,Ranking!C:N,4),0,11.8,TRUE)</f>
        <v>0.87614555543673622</v>
      </c>
      <c r="L361" s="54">
        <f>(VLOOKUP($D361,'P Adv'!$B$3:$H$356,2))</f>
        <v>0.19</v>
      </c>
      <c r="M361" s="54">
        <f>(VLOOKUP($D361,'P Adv'!$B$3:$H$356,3))</f>
        <v>0.05</v>
      </c>
      <c r="N361" s="54">
        <f>(VLOOKUP($D361,'P Adv'!$B$3:$H$356,4))</f>
        <v>0.01</v>
      </c>
      <c r="O361" s="54">
        <f>(VLOOKUP($D361,'P Adv'!$B$3:$H$356,5))</f>
        <v>0</v>
      </c>
      <c r="P361" s="54">
        <f>(VLOOKUP($D361,'P Adv'!$B$3:$H$356,6))</f>
        <v>0</v>
      </c>
      <c r="Q361" s="54">
        <f>(VLOOKUP($D361,'P Adv'!$B$3:$H$356,7))</f>
        <v>0</v>
      </c>
      <c r="R361" s="53">
        <f>_xlfn.NORM.DIST(VLOOKUP(D361,PASE!B:C,2,FALSE),0,0.25,TRUE)</f>
        <v>0.34241452250224791</v>
      </c>
      <c r="S361" s="51">
        <f>VLOOKUP('Value Matchup'!D361,'Team History'!$B$3:$I$354,8)</f>
        <v>6</v>
      </c>
      <c r="T361" s="52">
        <f>((VLOOKUP($C361,'Seed History'!$Y$2:$AE$19,2)))</f>
        <v>18.0625</v>
      </c>
      <c r="U361" s="52">
        <f>((VLOOKUP($C361,'Seed History'!$Y$2:$AE$19,3)))</f>
        <v>9.4901960784313726</v>
      </c>
      <c r="V361" s="52">
        <f>((VLOOKUP($C361,'Seed History'!$Y$2:$AE$19,4)))</f>
        <v>0.18181818181818182</v>
      </c>
      <c r="W361" s="52">
        <f>((VLOOKUP($C361,'Seed History'!$Y$2:$AE$19,5)))</f>
        <v>0</v>
      </c>
      <c r="X361" s="52">
        <f>((VLOOKUP($C361,'Seed History'!$Y$2:$AE$19,6)))</f>
        <v>0</v>
      </c>
      <c r="Y361" s="52">
        <f>((VLOOKUP($C361,'Seed History'!$Y$2:$AE$19,7)))</f>
        <v>0</v>
      </c>
      <c r="Z361" s="52">
        <f>VLOOKUP('Value Matchup'!$D361,'Team History'!$B$3:$I$354,2)</f>
        <v>1</v>
      </c>
      <c r="AA361" s="52">
        <f>VLOOKUP('Value Matchup'!$D361,'Team History'!$B$3:$I$354,3)</f>
        <v>0</v>
      </c>
      <c r="AB361" s="52">
        <f>VLOOKUP('Value Matchup'!$D361,'Team History'!$B$3:$I$354,4)</f>
        <v>0</v>
      </c>
      <c r="AC361" s="52">
        <f>VLOOKUP('Value Matchup'!$D361,'Team History'!$B$3:$I$354,5)</f>
        <v>0</v>
      </c>
      <c r="AD361" s="52">
        <f>VLOOKUP('Value Matchup'!$D361,'Team History'!$B$3:$I$354,6)</f>
        <v>0</v>
      </c>
      <c r="AE361" s="52">
        <f>VLOOKUP('Value Matchup'!$D361,'Team History'!$B$3:$I$354,7)</f>
        <v>0</v>
      </c>
      <c r="AF361" s="5"/>
    </row>
    <row r="362" spans="1:34" ht="15.75" thickBot="1" x14ac:dyDescent="0.3">
      <c r="A362" s="101"/>
      <c r="B362" s="42">
        <v>7</v>
      </c>
      <c r="C362">
        <v>4</v>
      </c>
      <c r="D362" s="13" t="s">
        <v>61</v>
      </c>
      <c r="E362" s="52">
        <f t="shared" si="5"/>
        <v>251.35059003235006</v>
      </c>
      <c r="F362" s="52">
        <f t="shared" si="0"/>
        <v>122.39334921521603</v>
      </c>
      <c r="G362" s="52">
        <f t="shared" si="1"/>
        <v>60.710248317477827</v>
      </c>
      <c r="H362" s="52">
        <f t="shared" si="2"/>
        <v>54.399946480542269</v>
      </c>
      <c r="I362" s="52">
        <f t="shared" si="3"/>
        <v>44.270374458809933</v>
      </c>
      <c r="J362" s="52">
        <f t="shared" si="4"/>
        <v>43.051464403300422</v>
      </c>
      <c r="K362" s="46">
        <f>_xlfn.NORM.DIST(VLOOKUP('Value Matchup'!D362,Ranking!C:N,4),0,11.8,TRUE)</f>
        <v>0.97923181277475824</v>
      </c>
      <c r="L362" s="54">
        <f>(VLOOKUP($D362,'P Adv'!$B$3:$H$356,2))</f>
        <v>0.76</v>
      </c>
      <c r="M362" s="54">
        <f>(VLOOKUP($D362,'P Adv'!$B$3:$H$356,3))</f>
        <v>0.41</v>
      </c>
      <c r="N362" s="54">
        <f>(VLOOKUP($D362,'P Adv'!$B$3:$H$356,4))</f>
        <v>0.17</v>
      </c>
      <c r="O362" s="54">
        <f>(VLOOKUP($D362,'P Adv'!$B$3:$H$356,5))</f>
        <v>0.08</v>
      </c>
      <c r="P362" s="54">
        <f>(VLOOKUP($D362,'P Adv'!$B$3:$H$356,6))</f>
        <v>0.03</v>
      </c>
      <c r="Q362" s="54">
        <f>(VLOOKUP($D362,'P Adv'!$B$3:$H$356,7))</f>
        <v>0.01</v>
      </c>
      <c r="R362" s="53">
        <f>_xlfn.NORM.DIST(VLOOKUP(D362,PASE!B:C,2,FALSE),0,0.25,TRUE)</f>
        <v>2.7731913287456444E-2</v>
      </c>
      <c r="S362" s="51">
        <f>VLOOKUP('Value Matchup'!D362,'Team History'!$B$3:$I$354,8)</f>
        <v>42</v>
      </c>
      <c r="T362" s="52">
        <f>((VLOOKUP($C362,'Seed History'!$Y$2:$AE$19,2)))</f>
        <v>90.25</v>
      </c>
      <c r="U362" s="52">
        <f>((VLOOKUP($C362,'Seed History'!$Y$2:$AE$19,3)))</f>
        <v>39.377192982456137</v>
      </c>
      <c r="V362" s="52">
        <f>((VLOOKUP($C362,'Seed History'!$Y$2:$AE$19,4)))</f>
        <v>6.5820895522388057</v>
      </c>
      <c r="W362" s="52">
        <f>((VLOOKUP($C362,'Seed History'!$Y$2:$AE$19,5)))</f>
        <v>8.0476190476190474</v>
      </c>
      <c r="X362" s="52">
        <f>((VLOOKUP($C362,'Seed History'!$Y$2:$AE$19,6)))</f>
        <v>0.69230769230769229</v>
      </c>
      <c r="Y362" s="52">
        <f>((VLOOKUP($C362,'Seed History'!$Y$2:$AE$19,7)))</f>
        <v>0.33333333333333331</v>
      </c>
      <c r="Z362" s="52">
        <f>VLOOKUP('Value Matchup'!$D362,'Team History'!$B$3:$I$354,2)</f>
        <v>10</v>
      </c>
      <c r="AA362" s="52">
        <f>VLOOKUP('Value Matchup'!$D362,'Team History'!$B$3:$I$354,3)</f>
        <v>5</v>
      </c>
      <c r="AB362" s="52">
        <f>VLOOKUP('Value Matchup'!$D362,'Team History'!$B$3:$I$354,4)</f>
        <v>3</v>
      </c>
      <c r="AC362" s="52">
        <f>VLOOKUP('Value Matchup'!$D362,'Team History'!$B$3:$I$354,5)</f>
        <v>0</v>
      </c>
      <c r="AD362" s="52">
        <f>VLOOKUP('Value Matchup'!$D362,'Team History'!$B$3:$I$354,6)</f>
        <v>0</v>
      </c>
      <c r="AE362" s="52">
        <f>VLOOKUP('Value Matchup'!$D362,'Team History'!$B$3:$I$354,7)</f>
        <v>0</v>
      </c>
    </row>
    <row r="363" spans="1:34" ht="15.75" thickBot="1" x14ac:dyDescent="0.3">
      <c r="A363" s="101"/>
      <c r="B363" s="42">
        <v>8</v>
      </c>
      <c r="C363">
        <v>13</v>
      </c>
      <c r="D363" s="13" t="s">
        <v>314</v>
      </c>
      <c r="E363" s="52">
        <f t="shared" si="5"/>
        <v>37.836767999105852</v>
      </c>
      <c r="F363" s="52">
        <f t="shared" si="0"/>
        <v>23.73275922575484</v>
      </c>
      <c r="G363" s="52">
        <f t="shared" si="1"/>
        <v>19.395467882309802</v>
      </c>
      <c r="H363" s="52">
        <f t="shared" si="2"/>
        <v>19.395467882309802</v>
      </c>
      <c r="I363" s="52">
        <f t="shared" si="3"/>
        <v>19.395467882309802</v>
      </c>
      <c r="J363" s="52">
        <f t="shared" si="4"/>
        <v>19.395467882309802</v>
      </c>
      <c r="K363" s="46">
        <f>_xlfn.NORM.DIST(VLOOKUP('Value Matchup'!D363,Ranking!C:N,4),0,11.8,TRUE)</f>
        <v>0.85508043221399221</v>
      </c>
      <c r="L363" s="54">
        <f>(VLOOKUP($D363,'P Adv'!$B$3:$H$356,2))</f>
        <v>0.16</v>
      </c>
      <c r="M363" s="54">
        <f>(VLOOKUP($D363,'P Adv'!$B$3:$H$356,3))</f>
        <v>0.04</v>
      </c>
      <c r="N363" s="54">
        <f>(VLOOKUP($D363,'P Adv'!$B$3:$H$356,4))</f>
        <v>0</v>
      </c>
      <c r="O363" s="54">
        <f>(VLOOKUP($D363,'P Adv'!$B$3:$H$356,5))</f>
        <v>0</v>
      </c>
      <c r="P363" s="54">
        <f>(VLOOKUP($D363,'P Adv'!$B$3:$H$356,6))</f>
        <v>0</v>
      </c>
      <c r="Q363" s="54">
        <f>(VLOOKUP($D363,'P Adv'!$B$3:$H$356,7))</f>
        <v>0</v>
      </c>
      <c r="R363" s="53">
        <f>_xlfn.NORM.DIST(VLOOKUP(D363,PASE!B:C,2,FALSE),0,0.25,TRUE)</f>
        <v>0.90814392072326267</v>
      </c>
      <c r="S363" s="51">
        <f>VLOOKUP('Value Matchup'!D363,'Team History'!$B$3:$I$354,8)</f>
        <v>11</v>
      </c>
      <c r="T363" s="52">
        <f>((VLOOKUP($C363,'Seed History'!$Y$2:$AE$19,2)))</f>
        <v>6.6736111111111107</v>
      </c>
      <c r="U363" s="52">
        <f>((VLOOKUP($C363,'Seed History'!$Y$2:$AE$19,3)))</f>
        <v>1.1612903225806452</v>
      </c>
      <c r="V363" s="52">
        <f>((VLOOKUP($C363,'Seed History'!$Y$2:$AE$19,4)))</f>
        <v>0</v>
      </c>
      <c r="W363" s="52">
        <f>((VLOOKUP($C363,'Seed History'!$Y$2:$AE$19,5)))</f>
        <v>0</v>
      </c>
      <c r="X363" s="52">
        <f>((VLOOKUP($C363,'Seed History'!$Y$2:$AE$19,6)))</f>
        <v>0</v>
      </c>
      <c r="Y363" s="52">
        <f>((VLOOKUP($C363,'Seed History'!$Y$2:$AE$19,7)))</f>
        <v>0</v>
      </c>
      <c r="Z363" s="52">
        <f>VLOOKUP('Value Matchup'!$D363,'Team History'!$B$3:$I$354,2)</f>
        <v>2</v>
      </c>
      <c r="AA363" s="52">
        <f>VLOOKUP('Value Matchup'!$D363,'Team History'!$B$3:$I$354,3)</f>
        <v>1</v>
      </c>
      <c r="AB363" s="52">
        <f>VLOOKUP('Value Matchup'!$D363,'Team History'!$B$3:$I$354,4)</f>
        <v>0</v>
      </c>
      <c r="AC363" s="52">
        <f>VLOOKUP('Value Matchup'!$D363,'Team History'!$B$3:$I$354,5)</f>
        <v>0</v>
      </c>
      <c r="AD363" s="52">
        <f>VLOOKUP('Value Matchup'!$D363,'Team History'!$B$3:$I$354,6)</f>
        <v>0</v>
      </c>
      <c r="AE363" s="52">
        <f>VLOOKUP('Value Matchup'!$D363,'Team History'!$B$3:$I$354,7)</f>
        <v>0</v>
      </c>
    </row>
    <row r="364" spans="1:34" ht="15.75" thickBot="1" x14ac:dyDescent="0.3">
      <c r="A364" s="101"/>
      <c r="B364" s="42">
        <v>9</v>
      </c>
      <c r="C364">
        <v>6</v>
      </c>
      <c r="D364" s="13" t="s">
        <v>85</v>
      </c>
      <c r="E364" s="52">
        <f t="shared" si="5"/>
        <v>140.46074722181811</v>
      </c>
      <c r="F364" s="52">
        <f t="shared" si="0"/>
        <v>61.019880512021743</v>
      </c>
      <c r="G364" s="52">
        <f t="shared" si="1"/>
        <v>33.058545718222589</v>
      </c>
      <c r="H364" s="52">
        <f t="shared" si="2"/>
        <v>24.708988269073565</v>
      </c>
      <c r="I364" s="52">
        <f t="shared" si="3"/>
        <v>24.654540339937171</v>
      </c>
      <c r="J364" s="52">
        <f t="shared" si="4"/>
        <v>23.519594804864891</v>
      </c>
      <c r="K364" s="46">
        <f>_xlfn.NORM.DIST(VLOOKUP('Value Matchup'!D364,Ranking!C:N,4),0,11.8,TRUE)</f>
        <v>0.97738678468510809</v>
      </c>
      <c r="L364" s="54">
        <f>(VLOOKUP($D364,'P Adv'!$B$3:$H$356,2))</f>
        <v>0.65</v>
      </c>
      <c r="M364" s="54">
        <f>(VLOOKUP($D364,'P Adv'!$B$3:$H$356,3))</f>
        <v>0.31</v>
      </c>
      <c r="N364" s="54">
        <f>(VLOOKUP($D364,'P Adv'!$B$3:$H$356,4))</f>
        <v>0.13</v>
      </c>
      <c r="O364" s="54">
        <f>(VLOOKUP($D364,'P Adv'!$B$3:$H$356,5))</f>
        <v>0.06</v>
      </c>
      <c r="P364" s="54">
        <f>(VLOOKUP($D364,'P Adv'!$B$3:$H$356,6))</f>
        <v>0.02</v>
      </c>
      <c r="Q364" s="54">
        <f>(VLOOKUP($D364,'P Adv'!$B$3:$H$356,7))</f>
        <v>0.01</v>
      </c>
      <c r="R364" s="53">
        <f>_xlfn.NORM.DIST(VLOOKUP(D364,PASE!B:C,2,FALSE),0,0.25,TRUE)</f>
        <v>0.10654785740163089</v>
      </c>
      <c r="S364" s="51">
        <f>VLOOKUP('Value Matchup'!D364,'Team History'!$B$3:$I$354,8)</f>
        <v>21</v>
      </c>
      <c r="T364" s="52">
        <f>((VLOOKUP($C364,'Seed History'!$Y$2:$AE$19,2)))</f>
        <v>55.006944444444443</v>
      </c>
      <c r="U364" s="52">
        <f>((VLOOKUP($C364,'Seed History'!$Y$2:$AE$19,3)))</f>
        <v>20.775280898876403</v>
      </c>
      <c r="V364" s="52">
        <f>((VLOOKUP($C364,'Seed History'!$Y$2:$AE$19,4)))</f>
        <v>5.2325581395348841</v>
      </c>
      <c r="W364" s="52">
        <f>((VLOOKUP($C364,'Seed History'!$Y$2:$AE$19,5)))</f>
        <v>0.6</v>
      </c>
      <c r="X364" s="52">
        <f>((VLOOKUP($C364,'Seed History'!$Y$2:$AE$19,6)))</f>
        <v>1.3333333333333333</v>
      </c>
      <c r="Y364" s="52">
        <f>((VLOOKUP($C364,'Seed History'!$Y$2:$AE$19,7)))</f>
        <v>0.5</v>
      </c>
      <c r="Z364" s="52">
        <f>VLOOKUP('Value Matchup'!$D364,'Team History'!$B$3:$I$354,2)</f>
        <v>5</v>
      </c>
      <c r="AA364" s="52">
        <f>VLOOKUP('Value Matchup'!$D364,'Team History'!$B$3:$I$354,3)</f>
        <v>2</v>
      </c>
      <c r="AB364" s="52">
        <f>VLOOKUP('Value Matchup'!$D364,'Team History'!$B$3:$I$354,4)</f>
        <v>1</v>
      </c>
      <c r="AC364" s="52">
        <f>VLOOKUP('Value Matchup'!$D364,'Team History'!$B$3:$I$354,5)</f>
        <v>0</v>
      </c>
      <c r="AD364" s="52">
        <f>VLOOKUP('Value Matchup'!$D364,'Team History'!$B$3:$I$354,6)</f>
        <v>0</v>
      </c>
      <c r="AE364" s="52">
        <f>VLOOKUP('Value Matchup'!$D364,'Team History'!$B$3:$I$354,7)</f>
        <v>0</v>
      </c>
    </row>
    <row r="365" spans="1:34" ht="15.75" thickBot="1" x14ac:dyDescent="0.3">
      <c r="A365" s="101"/>
      <c r="B365" s="42">
        <v>10</v>
      </c>
      <c r="C365" s="65">
        <v>11</v>
      </c>
      <c r="D365" s="13" t="s">
        <v>188</v>
      </c>
      <c r="E365" s="52">
        <f t="shared" si="5"/>
        <v>20.88550572003582</v>
      </c>
      <c r="F365" s="52">
        <f t="shared" si="0"/>
        <v>10.883218826686333</v>
      </c>
      <c r="G365" s="52">
        <f t="shared" si="1"/>
        <v>3.9937070600073747</v>
      </c>
      <c r="H365" s="52">
        <f t="shared" si="2"/>
        <v>2.5356870222269046</v>
      </c>
      <c r="I365" s="52">
        <f t="shared" si="3"/>
        <v>0.91284732800168567</v>
      </c>
      <c r="J365" s="52">
        <f t="shared" si="4"/>
        <v>0.91284732800168567</v>
      </c>
      <c r="K365" s="46">
        <f>_xlfn.NORM.DIST(VLOOKUP('Value Matchup'!D365,Ranking!C:N,4),0,11.8,TRUE)</f>
        <v>0.91284342776401883</v>
      </c>
      <c r="L365" s="54">
        <f>(VLOOKUP($D365,'P Adv'!$B$3:$H$356,2))</f>
        <v>7.0000000000000007E-2</v>
      </c>
      <c r="M365" s="54">
        <f>(VLOOKUP($D365,'P Adv'!$B$3:$H$356,3))</f>
        <v>0.02</v>
      </c>
      <c r="N365" s="54">
        <f>(VLOOKUP($D365,'P Adv'!$B$3:$H$356,4))</f>
        <v>0</v>
      </c>
      <c r="O365" s="54">
        <f>(VLOOKUP($D365,'P Adv'!$B$3:$H$356,5))</f>
        <v>0</v>
      </c>
      <c r="P365" s="54">
        <f>(VLOOKUP($D365,'P Adv'!$B$3:$H$356,6))</f>
        <v>0</v>
      </c>
      <c r="Q365" s="54">
        <f>(VLOOKUP($D365,'P Adv'!$B$3:$H$356,7))</f>
        <v>0</v>
      </c>
      <c r="R365" s="53">
        <f>_xlfn.NORM.DIST(VLOOKUP(D365,PASE!B:C,2,FALSE),0,0.25,TRUE)</f>
        <v>3.900237666850175E-6</v>
      </c>
      <c r="S365" s="51">
        <f>VLOOKUP('Value Matchup'!D365,'Team History'!$B$3:$I$354,8)</f>
        <v>1</v>
      </c>
      <c r="T365" s="52">
        <f>((VLOOKUP($C365,'Seed History'!$Y$2:$AE$19,2)))</f>
        <v>20.25</v>
      </c>
      <c r="U365" s="52">
        <f>((VLOOKUP($C365,'Seed History'!$Y$2:$AE$19,3)))</f>
        <v>10.666666666666666</v>
      </c>
      <c r="V365" s="52">
        <f>((VLOOKUP($C365,'Seed History'!$Y$2:$AE$19,4)))</f>
        <v>3.375</v>
      </c>
      <c r="W365" s="52">
        <f>((VLOOKUP($C365,'Seed History'!$Y$2:$AE$19,5)))</f>
        <v>1.7777777777777777</v>
      </c>
      <c r="X365" s="52">
        <f>((VLOOKUP($C365,'Seed History'!$Y$2:$AE$19,6)))</f>
        <v>0</v>
      </c>
      <c r="Y365" s="52">
        <f>((VLOOKUP($C365,'Seed History'!$Y$2:$AE$19,7)))</f>
        <v>0</v>
      </c>
      <c r="Z365" s="52">
        <f>VLOOKUP('Value Matchup'!$D365,'Team History'!$B$3:$I$354,2)</f>
        <v>0</v>
      </c>
      <c r="AA365" s="52">
        <f>VLOOKUP('Value Matchup'!$D365,'Team History'!$B$3:$I$354,3)</f>
        <v>0</v>
      </c>
      <c r="AB365" s="52">
        <f>VLOOKUP('Value Matchup'!$D365,'Team History'!$B$3:$I$354,4)</f>
        <v>0</v>
      </c>
      <c r="AC365" s="52">
        <f>VLOOKUP('Value Matchup'!$D365,'Team History'!$B$3:$I$354,5)</f>
        <v>0</v>
      </c>
      <c r="AD365" s="52">
        <f>VLOOKUP('Value Matchup'!$D365,'Team History'!$B$3:$I$354,6)</f>
        <v>0</v>
      </c>
      <c r="AE365" s="52">
        <f>VLOOKUP('Value Matchup'!$D365,'Team History'!$B$3:$I$354,7)</f>
        <v>0</v>
      </c>
    </row>
    <row r="366" spans="1:34" ht="15.75" thickBot="1" x14ac:dyDescent="0.3">
      <c r="A366" s="101"/>
      <c r="B366" s="42">
        <v>11</v>
      </c>
      <c r="C366">
        <v>3</v>
      </c>
      <c r="D366" s="13" t="s">
        <v>37</v>
      </c>
      <c r="E366" s="52">
        <f t="shared" si="5"/>
        <v>550.55544252874097</v>
      </c>
      <c r="F366" s="52">
        <f t="shared" si="0"/>
        <v>345.03899417370485</v>
      </c>
      <c r="G366" s="52">
        <f t="shared" si="1"/>
        <v>238.53137610037871</v>
      </c>
      <c r="H366" s="52">
        <f t="shared" si="2"/>
        <v>193.92375373509654</v>
      </c>
      <c r="I366" s="52">
        <f t="shared" si="3"/>
        <v>179.24813083110897</v>
      </c>
      <c r="J366" s="52">
        <f t="shared" si="4"/>
        <v>164.17239675667511</v>
      </c>
      <c r="K366" s="46">
        <f>_xlfn.NORM.DIST(VLOOKUP('Value Matchup'!D366,Ranking!C:N,4),0,11.8,TRUE)</f>
        <v>0.97122778877589044</v>
      </c>
      <c r="L366" s="54">
        <f>(VLOOKUP($D366,'P Adv'!$B$3:$H$356,2))</f>
        <v>0.86</v>
      </c>
      <c r="M366" s="54">
        <f>(VLOOKUP($D366,'P Adv'!$B$3:$H$356,3))</f>
        <v>0.53</v>
      </c>
      <c r="N366" s="54">
        <f>(VLOOKUP($D366,'P Adv'!$B$3:$H$356,4))</f>
        <v>0.25</v>
      </c>
      <c r="O366" s="54">
        <f>(VLOOKUP($D366,'P Adv'!$B$3:$H$356,5))</f>
        <v>0.11</v>
      </c>
      <c r="P366" s="54">
        <f>(VLOOKUP($D366,'P Adv'!$B$3:$H$356,6))</f>
        <v>0.05</v>
      </c>
      <c r="Q366" s="54">
        <f>(VLOOKUP($D366,'P Adv'!$B$3:$H$356,7))</f>
        <v>0.02</v>
      </c>
      <c r="R366" s="53">
        <f>_xlfn.NORM.DIST(VLOOKUP(D366,PASE!B:C,2,FALSE),0,0.25,TRUE)</f>
        <v>0.26723657660628802</v>
      </c>
      <c r="S366" s="51">
        <f>VLOOKUP('Value Matchup'!D366,'Team History'!$B$3:$I$354,8)</f>
        <v>129</v>
      </c>
      <c r="T366" s="52">
        <f>((VLOOKUP($C366,'Seed History'!$Y$2:$AE$19,2)))</f>
        <v>103.36111111111111</v>
      </c>
      <c r="U366" s="52">
        <f>((VLOOKUP($C366,'Seed History'!$Y$2:$AE$19,3)))</f>
        <v>46.106557377049178</v>
      </c>
      <c r="V366" s="52">
        <f>((VLOOKUP($C366,'Seed History'!$Y$2:$AE$19,4)))</f>
        <v>18.253333333333334</v>
      </c>
      <c r="W366" s="52">
        <f>((VLOOKUP($C366,'Seed History'!$Y$2:$AE$19,5)))</f>
        <v>7.8108108108108105</v>
      </c>
      <c r="X366" s="52">
        <f>((VLOOKUP($C366,'Seed History'!$Y$2:$AE$19,6)))</f>
        <v>7.117647058823529</v>
      </c>
      <c r="Y366" s="52">
        <f>((VLOOKUP($C366,'Seed History'!$Y$2:$AE$19,7)))</f>
        <v>1.4545454545454546</v>
      </c>
      <c r="Z366" s="52">
        <f>VLOOKUP('Value Matchup'!$D366,'Team History'!$B$3:$I$354,2)</f>
        <v>30</v>
      </c>
      <c r="AA366" s="52">
        <f>VLOOKUP('Value Matchup'!$D366,'Team History'!$B$3:$I$354,3)</f>
        <v>20</v>
      </c>
      <c r="AB366" s="52">
        <f>VLOOKUP('Value Matchup'!$D366,'Team History'!$B$3:$I$354,4)</f>
        <v>13</v>
      </c>
      <c r="AC366" s="52">
        <f>VLOOKUP('Value Matchup'!$D366,'Team History'!$B$3:$I$354,5)</f>
        <v>7</v>
      </c>
      <c r="AD366" s="52">
        <f>VLOOKUP('Value Matchup'!$D366,'Team History'!$B$3:$I$354,6)</f>
        <v>3</v>
      </c>
      <c r="AE366" s="52">
        <f>VLOOKUP('Value Matchup'!$D366,'Team History'!$B$3:$I$354,7)</f>
        <v>0</v>
      </c>
    </row>
    <row r="367" spans="1:34" ht="15.75" thickBot="1" x14ac:dyDescent="0.3">
      <c r="A367" s="101"/>
      <c r="B367" s="42">
        <v>12</v>
      </c>
      <c r="C367">
        <v>14</v>
      </c>
      <c r="D367" s="13" t="s">
        <v>196</v>
      </c>
      <c r="E367" s="52">
        <f t="shared" si="5"/>
        <v>6.0903453274764194</v>
      </c>
      <c r="F367" s="52">
        <f t="shared" si="0"/>
        <v>2.2822319184831028</v>
      </c>
      <c r="G367" s="52">
        <f t="shared" si="1"/>
        <v>2.0320459252761776</v>
      </c>
      <c r="H367" s="52">
        <f t="shared" si="2"/>
        <v>2.0320459252761776</v>
      </c>
      <c r="I367" s="52">
        <f t="shared" si="3"/>
        <v>2.0320459252761776</v>
      </c>
      <c r="J367" s="52">
        <f t="shared" si="4"/>
        <v>2.0320459252761776</v>
      </c>
      <c r="K367" s="46">
        <f>_xlfn.NORM.DIST(VLOOKUP('Value Matchup'!D367,Ranking!C:N,4),0,11.8,TRUE)</f>
        <v>0.75244482424475256</v>
      </c>
      <c r="L367" s="54">
        <f>(VLOOKUP($D367,'P Adv'!$B$3:$H$356,2))</f>
        <v>0.12</v>
      </c>
      <c r="M367" s="54">
        <f>(VLOOKUP($D367,'P Adv'!$B$3:$H$356,3))</f>
        <v>0.03</v>
      </c>
      <c r="N367" s="54">
        <f>(VLOOKUP($D367,'P Adv'!$B$3:$H$356,4))</f>
        <v>0</v>
      </c>
      <c r="O367" s="54">
        <f>(VLOOKUP($D367,'P Adv'!$B$3:$H$356,5))</f>
        <v>0</v>
      </c>
      <c r="P367" s="54">
        <f>(VLOOKUP($D367,'P Adv'!$B$3:$H$356,6))</f>
        <v>0</v>
      </c>
      <c r="Q367" s="54">
        <f>(VLOOKUP($D367,'P Adv'!$B$3:$H$356,7))</f>
        <v>0</v>
      </c>
      <c r="R367" s="53">
        <f>_xlfn.NORM.DIST(VLOOKUP(D367,PASE!B:C,2,FALSE),0,0.25,TRUE)</f>
        <v>0.26357813839333616</v>
      </c>
      <c r="S367" s="51">
        <f>VLOOKUP('Value Matchup'!D367,'Team History'!$B$3:$I$354,8)</f>
        <v>2</v>
      </c>
      <c r="T367" s="52">
        <f>((VLOOKUP($C367,'Seed History'!$Y$2:$AE$19,2)))</f>
        <v>3.3611111111111112</v>
      </c>
      <c r="U367" s="52">
        <f>((VLOOKUP($C367,'Seed History'!$Y$2:$AE$19,3)))</f>
        <v>0.18181818181818182</v>
      </c>
      <c r="V367" s="52">
        <f>((VLOOKUP($C367,'Seed History'!$Y$2:$AE$19,4)))</f>
        <v>0</v>
      </c>
      <c r="W367" s="52">
        <f>((VLOOKUP($C367,'Seed History'!$Y$2:$AE$19,5)))</f>
        <v>0</v>
      </c>
      <c r="X367" s="52">
        <f>((VLOOKUP($C367,'Seed History'!$Y$2:$AE$19,6)))</f>
        <v>0</v>
      </c>
      <c r="Y367" s="52">
        <f>((VLOOKUP($C367,'Seed History'!$Y$2:$AE$19,7)))</f>
        <v>0</v>
      </c>
      <c r="Z367" s="52">
        <f>VLOOKUP('Value Matchup'!$D367,'Team History'!$B$3:$I$354,2)</f>
        <v>0</v>
      </c>
      <c r="AA367" s="52">
        <f>VLOOKUP('Value Matchup'!$D367,'Team History'!$B$3:$I$354,3)</f>
        <v>0</v>
      </c>
      <c r="AB367" s="52">
        <f>VLOOKUP('Value Matchup'!$D367,'Team History'!$B$3:$I$354,4)</f>
        <v>0</v>
      </c>
      <c r="AC367" s="52">
        <f>VLOOKUP('Value Matchup'!$D367,'Team History'!$B$3:$I$354,5)</f>
        <v>0</v>
      </c>
      <c r="AD367" s="52">
        <f>VLOOKUP('Value Matchup'!$D367,'Team History'!$B$3:$I$354,6)</f>
        <v>0</v>
      </c>
      <c r="AE367" s="52">
        <f>VLOOKUP('Value Matchup'!$D367,'Team History'!$B$3:$I$354,7)</f>
        <v>0</v>
      </c>
    </row>
    <row r="368" spans="1:34" ht="15.75" thickBot="1" x14ac:dyDescent="0.3">
      <c r="A368" s="101"/>
      <c r="B368" s="42">
        <v>13</v>
      </c>
      <c r="C368">
        <v>7</v>
      </c>
      <c r="D368" s="13" t="s">
        <v>40</v>
      </c>
      <c r="E368" s="52">
        <f t="shared" si="5"/>
        <v>246.29655748821577</v>
      </c>
      <c r="F368" s="52">
        <f t="shared" si="0"/>
        <v>118.93743456459933</v>
      </c>
      <c r="G368" s="52">
        <f t="shared" si="1"/>
        <v>98.784868589525601</v>
      </c>
      <c r="H368" s="52">
        <f t="shared" si="2"/>
        <v>85.626269467630408</v>
      </c>
      <c r="I368" s="52">
        <f t="shared" si="3"/>
        <v>81.81699229625886</v>
      </c>
      <c r="J368" s="52">
        <f t="shared" si="4"/>
        <v>82.597323007480782</v>
      </c>
      <c r="K368" s="46">
        <f>_xlfn.NORM.DIST(VLOOKUP('Value Matchup'!D368,Ranking!C:N,4),0,11.8,TRUE)</f>
        <v>0.94705537141180918</v>
      </c>
      <c r="L368" s="54">
        <f>(VLOOKUP($D368,'P Adv'!$B$3:$H$356,2))</f>
        <v>0.52</v>
      </c>
      <c r="M368" s="54">
        <f>(VLOOKUP($D368,'P Adv'!$B$3:$H$356,3))</f>
        <v>0.18</v>
      </c>
      <c r="N368" s="54">
        <f>(VLOOKUP($D368,'P Adv'!$B$3:$H$356,4))</f>
        <v>0.08</v>
      </c>
      <c r="O368" s="54">
        <f>(VLOOKUP($D368,'P Adv'!$B$3:$H$356,5))</f>
        <v>0.03</v>
      </c>
      <c r="P368" s="54">
        <f>(VLOOKUP($D368,'P Adv'!$B$3:$H$356,6))</f>
        <v>0.01</v>
      </c>
      <c r="Q368" s="54">
        <f>(VLOOKUP($D368,'P Adv'!$B$3:$H$356,7))</f>
        <v>0</v>
      </c>
      <c r="R368" s="53">
        <f>_xlfn.NORM.DIST(VLOOKUP(D368,PASE!B:C,2,FALSE),0,0.25,TRUE)</f>
        <v>0.88844069542109727</v>
      </c>
      <c r="S368" s="51">
        <f>VLOOKUP('Value Matchup'!D368,'Team History'!$B$3:$I$354,8)</f>
        <v>44</v>
      </c>
      <c r="T368" s="52">
        <f>((VLOOKUP($C368,'Seed History'!$Y$2:$AE$19,2)))</f>
        <v>52.5625</v>
      </c>
      <c r="U368" s="52">
        <f>((VLOOKUP($C368,'Seed History'!$Y$2:$AE$19,3)))</f>
        <v>9.0114942528735629</v>
      </c>
      <c r="V368" s="52">
        <f>((VLOOKUP($C368,'Seed History'!$Y$2:$AE$19,4)))</f>
        <v>3.5714285714285716</v>
      </c>
      <c r="W368" s="52">
        <f>((VLOOKUP($C368,'Seed History'!$Y$2:$AE$19,5)))</f>
        <v>0.9</v>
      </c>
      <c r="X368" s="52">
        <f>((VLOOKUP($C368,'Seed History'!$Y$2:$AE$19,6)))</f>
        <v>0.33333333333333331</v>
      </c>
      <c r="Y368" s="52">
        <f>((VLOOKUP($C368,'Seed History'!$Y$2:$AE$19,7)))</f>
        <v>1</v>
      </c>
      <c r="Z368" s="52">
        <f>VLOOKUP('Value Matchup'!$D368,'Team History'!$B$3:$I$354,2)</f>
        <v>8</v>
      </c>
      <c r="AA368" s="52">
        <f>VLOOKUP('Value Matchup'!$D368,'Team History'!$B$3:$I$354,3)</f>
        <v>6</v>
      </c>
      <c r="AB368" s="52">
        <f>VLOOKUP('Value Matchup'!$D368,'Team History'!$B$3:$I$354,4)</f>
        <v>4</v>
      </c>
      <c r="AC368" s="52">
        <f>VLOOKUP('Value Matchup'!$D368,'Team History'!$B$3:$I$354,5)</f>
        <v>1</v>
      </c>
      <c r="AD368" s="52">
        <f>VLOOKUP('Value Matchup'!$D368,'Team History'!$B$3:$I$354,6)</f>
        <v>0</v>
      </c>
      <c r="AE368" s="52">
        <f>VLOOKUP('Value Matchup'!$D368,'Team History'!$B$3:$I$354,7)</f>
        <v>0</v>
      </c>
    </row>
    <row r="369" spans="1:31" ht="15.75" thickBot="1" x14ac:dyDescent="0.3">
      <c r="A369" s="101"/>
      <c r="B369" s="42">
        <v>14</v>
      </c>
      <c r="C369">
        <v>10</v>
      </c>
      <c r="D369" s="13" t="s">
        <v>47</v>
      </c>
      <c r="E369" s="52">
        <f t="shared" si="5"/>
        <v>94.097596776167279</v>
      </c>
      <c r="F369" s="52">
        <f t="shared" si="0"/>
        <v>52.820881134339423</v>
      </c>
      <c r="G369" s="52">
        <f t="shared" si="1"/>
        <v>41.788092692615869</v>
      </c>
      <c r="H369" s="52">
        <f t="shared" si="2"/>
        <v>37.797930668960504</v>
      </c>
      <c r="I369" s="52">
        <f t="shared" si="3"/>
        <v>36.096389689621731</v>
      </c>
      <c r="J369" s="52">
        <f t="shared" si="4"/>
        <v>36.096389689621731</v>
      </c>
      <c r="K369" s="46">
        <f>_xlfn.NORM.DIST(VLOOKUP('Value Matchup'!D369,Ranking!C:N,4),0,11.8,TRUE)</f>
        <v>0.93153063664440117</v>
      </c>
      <c r="L369" s="54">
        <f>(VLOOKUP($D369,'P Adv'!$B$3:$H$356,2))</f>
        <v>0.39</v>
      </c>
      <c r="M369" s="54">
        <f>(VLOOKUP($D369,'P Adv'!$B$3:$H$356,3))</f>
        <v>0.1</v>
      </c>
      <c r="N369" s="54">
        <f>(VLOOKUP($D369,'P Adv'!$B$3:$H$356,4))</f>
        <v>0.03</v>
      </c>
      <c r="O369" s="54">
        <f>(VLOOKUP($D369,'P Adv'!$B$3:$H$356,5))</f>
        <v>0.01</v>
      </c>
      <c r="P369" s="54">
        <f>(VLOOKUP($D369,'P Adv'!$B$3:$H$356,6))</f>
        <v>0</v>
      </c>
      <c r="Q369" s="54">
        <f>(VLOOKUP($D369,'P Adv'!$B$3:$H$356,7))</f>
        <v>0</v>
      </c>
      <c r="R369" s="53">
        <f>_xlfn.NORM.DIST(VLOOKUP(D369,PASE!B:C,2,FALSE),0,0.25,TRUE)</f>
        <v>0.31317245610117572</v>
      </c>
      <c r="S369" s="51">
        <f>VLOOKUP('Value Matchup'!D369,'Team History'!$B$3:$I$354,8)</f>
        <v>29</v>
      </c>
      <c r="T369" s="52">
        <f>((VLOOKUP($C369,'Seed History'!$Y$2:$AE$19,2)))</f>
        <v>22.5625</v>
      </c>
      <c r="U369" s="52">
        <f>((VLOOKUP($C369,'Seed History'!$Y$2:$AE$19,3)))</f>
        <v>9.2807017543859658</v>
      </c>
      <c r="V369" s="52">
        <f>((VLOOKUP($C369,'Seed History'!$Y$2:$AE$19,4)))</f>
        <v>2.7826086956521738</v>
      </c>
      <c r="W369" s="52">
        <f>((VLOOKUP($C369,'Seed History'!$Y$2:$AE$19,5)))</f>
        <v>0.125</v>
      </c>
      <c r="X369" s="52">
        <f>((VLOOKUP($C369,'Seed History'!$Y$2:$AE$19,6)))</f>
        <v>0</v>
      </c>
      <c r="Y369" s="52">
        <f>((VLOOKUP($C369,'Seed History'!$Y$2:$AE$19,7)))</f>
        <v>0</v>
      </c>
      <c r="Z369" s="52">
        <f>VLOOKUP('Value Matchup'!$D369,'Team History'!$B$3:$I$354,2)</f>
        <v>6</v>
      </c>
      <c r="AA369" s="52">
        <f>VLOOKUP('Value Matchup'!$D369,'Team History'!$B$3:$I$354,3)</f>
        <v>1</v>
      </c>
      <c r="AB369" s="52">
        <f>VLOOKUP('Value Matchup'!$D369,'Team History'!$B$3:$I$354,4)</f>
        <v>1</v>
      </c>
      <c r="AC369" s="52">
        <f>VLOOKUP('Value Matchup'!$D369,'Team History'!$B$3:$I$354,5)</f>
        <v>1</v>
      </c>
      <c r="AD369" s="52">
        <f>VLOOKUP('Value Matchup'!$D369,'Team History'!$B$3:$I$354,6)</f>
        <v>0</v>
      </c>
      <c r="AE369" s="52">
        <f>VLOOKUP('Value Matchup'!$D369,'Team History'!$B$3:$I$354,7)</f>
        <v>0</v>
      </c>
    </row>
    <row r="370" spans="1:31" ht="15.75" thickBot="1" x14ac:dyDescent="0.3">
      <c r="A370" s="101"/>
      <c r="B370" s="42">
        <v>15</v>
      </c>
      <c r="C370">
        <v>2</v>
      </c>
      <c r="D370" s="13" t="s">
        <v>69</v>
      </c>
      <c r="E370" s="52">
        <f t="shared" si="5"/>
        <v>404.45479428023987</v>
      </c>
      <c r="F370" s="52">
        <f t="shared" si="0"/>
        <v>208.55165125585069</v>
      </c>
      <c r="G370" s="52">
        <f t="shared" si="1"/>
        <v>151.87632481889349</v>
      </c>
      <c r="H370" s="52">
        <f t="shared" si="2"/>
        <v>79.862161058078073</v>
      </c>
      <c r="I370" s="52">
        <f t="shared" si="3"/>
        <v>63.892578820995006</v>
      </c>
      <c r="J370" s="52">
        <f t="shared" si="4"/>
        <v>55.405905334067405</v>
      </c>
      <c r="K370" s="46">
        <f>_xlfn.NORM.DIST(VLOOKUP('Value Matchup'!D370,Ranking!C:N,4),0,11.8,TRUE)</f>
        <v>0.99487011720508289</v>
      </c>
      <c r="L370" s="54">
        <f>(VLOOKUP($D370,'P Adv'!$B$3:$H$356,2))</f>
        <v>0.94</v>
      </c>
      <c r="M370" s="54">
        <f>(VLOOKUP($D370,'P Adv'!$B$3:$H$356,3))</f>
        <v>0.7</v>
      </c>
      <c r="N370" s="54">
        <f>(VLOOKUP($D370,'P Adv'!$B$3:$H$356,4))</f>
        <v>0.44</v>
      </c>
      <c r="O370" s="54">
        <f>(VLOOKUP($D370,'P Adv'!$B$3:$H$356,5))</f>
        <v>0.23</v>
      </c>
      <c r="P370" s="54">
        <f>(VLOOKUP($D370,'P Adv'!$B$3:$H$356,6))</f>
        <v>0.12</v>
      </c>
      <c r="Q370" s="54">
        <f>(VLOOKUP($D370,'P Adv'!$B$3:$H$356,7))</f>
        <v>0.05</v>
      </c>
      <c r="R370" s="53">
        <f>_xlfn.NORM.DIST(VLOOKUP(D370,PASE!B:C,2,FALSE),0,0.25,TRUE)</f>
        <v>0.34294639405286775</v>
      </c>
      <c r="S370" s="51">
        <f>VLOOKUP('Value Matchup'!D370,'Team History'!$B$3:$I$354,8)</f>
        <v>38</v>
      </c>
      <c r="T370" s="52">
        <f>((VLOOKUP($C370,'Seed History'!$Y$2:$AE$19,2)))</f>
        <v>126.5625</v>
      </c>
      <c r="U370" s="52">
        <f>((VLOOKUP($C370,'Seed History'!$Y$2:$AE$19,3)))</f>
        <v>61.340740740740742</v>
      </c>
      <c r="V370" s="52">
        <f>((VLOOKUP($C370,'Seed History'!$Y$2:$AE$19,4)))</f>
        <v>46.428571428571431</v>
      </c>
      <c r="W370" s="52">
        <f>((VLOOKUP($C370,'Seed History'!$Y$2:$AE$19,5)))</f>
        <v>12.938461538461539</v>
      </c>
      <c r="X370" s="52">
        <f>((VLOOKUP($C370,'Seed History'!$Y$2:$AE$19,6)))</f>
        <v>5.8275862068965516</v>
      </c>
      <c r="Y370" s="52">
        <f>((VLOOKUP($C370,'Seed History'!$Y$2:$AE$19,7)))</f>
        <v>1.9230769230769231</v>
      </c>
      <c r="Z370" s="52">
        <f>VLOOKUP('Value Matchup'!$D370,'Team History'!$B$3:$I$354,2)</f>
        <v>13</v>
      </c>
      <c r="AA370" s="52">
        <f>VLOOKUP('Value Matchup'!$D370,'Team History'!$B$3:$I$354,3)</f>
        <v>3</v>
      </c>
      <c r="AB370" s="52">
        <f>VLOOKUP('Value Matchup'!$D370,'Team History'!$B$3:$I$354,4)</f>
        <v>1</v>
      </c>
      <c r="AC370" s="52">
        <f>VLOOKUP('Value Matchup'!$D370,'Team History'!$B$3:$I$354,5)</f>
        <v>0</v>
      </c>
      <c r="AD370" s="52">
        <f>VLOOKUP('Value Matchup'!$D370,'Team History'!$B$3:$I$354,6)</f>
        <v>0</v>
      </c>
      <c r="AE370" s="52">
        <f>VLOOKUP('Value Matchup'!$D370,'Team History'!$B$3:$I$354,7)</f>
        <v>0</v>
      </c>
    </row>
    <row r="371" spans="1:31" ht="15.75" thickBot="1" x14ac:dyDescent="0.3">
      <c r="A371" s="101"/>
      <c r="B371" s="42">
        <v>16</v>
      </c>
      <c r="C371">
        <v>15</v>
      </c>
      <c r="D371" s="13" t="s">
        <v>218</v>
      </c>
      <c r="E371" s="52">
        <f t="shared" si="5"/>
        <v>0.76005027075289255</v>
      </c>
      <c r="F371" s="52">
        <f t="shared" si="0"/>
        <v>0.56942243615043353</v>
      </c>
      <c r="G371" s="52">
        <f t="shared" si="1"/>
        <v>0</v>
      </c>
      <c r="H371" s="52">
        <f t="shared" si="2"/>
        <v>0</v>
      </c>
      <c r="I371" s="52">
        <f t="shared" si="3"/>
        <v>0</v>
      </c>
      <c r="J371" s="52">
        <f t="shared" si="4"/>
        <v>0</v>
      </c>
      <c r="K371" s="46">
        <f>_xlfn.NORM.DIST(VLOOKUP('Value Matchup'!D371,Ranking!C:N,4),0,11.8,TRUE)</f>
        <v>0.76120048133847562</v>
      </c>
      <c r="L371" s="54">
        <f>(VLOOKUP($D371,'P Adv'!$B$3:$H$356,2))</f>
        <v>0.09</v>
      </c>
      <c r="M371" s="54">
        <f>(VLOOKUP($D371,'P Adv'!$B$3:$H$356,3))</f>
        <v>0.02</v>
      </c>
      <c r="N371" s="54">
        <f>(VLOOKUP($D371,'P Adv'!$B$3:$H$356,4))</f>
        <v>0</v>
      </c>
      <c r="O371" s="54">
        <f>(VLOOKUP($D371,'P Adv'!$B$3:$H$356,5))</f>
        <v>0</v>
      </c>
      <c r="P371" s="54">
        <f>(VLOOKUP($D371,'P Adv'!$B$3:$H$356,6))</f>
        <v>0</v>
      </c>
      <c r="Q371" s="54">
        <f>(VLOOKUP($D371,'P Adv'!$B$3:$H$356,7))</f>
        <v>0</v>
      </c>
      <c r="R371" s="53">
        <f>_xlfn.NORM.DIST(VLOOKUP(D371,PASE!B:C,2,FALSE),0,0.25,TRUE)</f>
        <v>0.5</v>
      </c>
      <c r="S371" s="51">
        <f>VLOOKUP('Value Matchup'!D371,'Team History'!$B$3:$I$354,8)</f>
        <v>0</v>
      </c>
      <c r="T371" s="52">
        <f>((VLOOKUP($C371,'Seed History'!$Y$2:$AE$19,2)))</f>
        <v>0.5625</v>
      </c>
      <c r="U371" s="52">
        <f>((VLOOKUP($C371,'Seed History'!$Y$2:$AE$19,3)))</f>
        <v>0.44444444444444442</v>
      </c>
      <c r="V371" s="52">
        <f>((VLOOKUP($C371,'Seed History'!$Y$2:$AE$19,4)))</f>
        <v>0</v>
      </c>
      <c r="W371" s="52">
        <f>((VLOOKUP($C371,'Seed History'!$Y$2:$AE$19,5)))</f>
        <v>0</v>
      </c>
      <c r="X371" s="52">
        <f>((VLOOKUP($C371,'Seed History'!$Y$2:$AE$19,6)))</f>
        <v>0</v>
      </c>
      <c r="Y371" s="52">
        <f>((VLOOKUP($C371,'Seed History'!$Y$2:$AE$19,7)))</f>
        <v>0</v>
      </c>
      <c r="Z371" s="52">
        <f>VLOOKUP('Value Matchup'!$D371,'Team History'!$B$3:$I$354,2)</f>
        <v>0</v>
      </c>
      <c r="AA371" s="52">
        <f>VLOOKUP('Value Matchup'!$D371,'Team History'!$B$3:$I$354,3)</f>
        <v>0</v>
      </c>
      <c r="AB371" s="52">
        <f>VLOOKUP('Value Matchup'!$D371,'Team History'!$B$3:$I$354,4)</f>
        <v>0</v>
      </c>
      <c r="AC371" s="52">
        <f>VLOOKUP('Value Matchup'!$D371,'Team History'!$B$3:$I$354,5)</f>
        <v>0</v>
      </c>
      <c r="AD371" s="52">
        <f>VLOOKUP('Value Matchup'!$D371,'Team History'!$B$3:$I$354,6)</f>
        <v>0</v>
      </c>
      <c r="AE371" s="52">
        <f>VLOOKUP('Value Matchup'!$D371,'Team History'!$B$3:$I$354,7)</f>
        <v>0</v>
      </c>
    </row>
    <row r="372" spans="1:31" ht="15.75" thickBot="1" x14ac:dyDescent="0.3">
      <c r="A372" s="102" t="s">
        <v>1043</v>
      </c>
      <c r="B372" s="42">
        <v>17</v>
      </c>
      <c r="C372">
        <v>1</v>
      </c>
      <c r="D372" s="13" t="s">
        <v>82</v>
      </c>
      <c r="E372" s="52">
        <f t="shared" si="5"/>
        <v>675.18237244788747</v>
      </c>
      <c r="F372" s="52">
        <f t="shared" si="0"/>
        <v>501.17214748908299</v>
      </c>
      <c r="G372" s="52">
        <f t="shared" si="1"/>
        <v>389.8910175661523</v>
      </c>
      <c r="H372" s="52">
        <f t="shared" si="2"/>
        <v>247.75225379190769</v>
      </c>
      <c r="I372" s="52">
        <f t="shared" si="3"/>
        <v>206.91967193039392</v>
      </c>
      <c r="J372" s="52">
        <f t="shared" si="4"/>
        <v>180.01011632600375</v>
      </c>
      <c r="K372" s="46">
        <f>_xlfn.NORM.DIST(VLOOKUP('Value Matchup'!D372,Ranking!C:N,4),0,11.8,TRUE)</f>
        <v>0.99680549689780906</v>
      </c>
      <c r="L372" s="54">
        <f>(VLOOKUP($D372,'P Adv'!$B$3:$H$356,2))</f>
        <v>0.96</v>
      </c>
      <c r="M372" s="54">
        <f>(VLOOKUP($D372,'P Adv'!$B$3:$H$356,3))</f>
        <v>0.7</v>
      </c>
      <c r="N372" s="54">
        <f>(VLOOKUP($D372,'P Adv'!$B$3:$H$356,4))</f>
        <v>0.46</v>
      </c>
      <c r="O372" s="54">
        <f>(VLOOKUP($D372,'P Adv'!$B$3:$H$356,5))</f>
        <v>0.27</v>
      </c>
      <c r="P372" s="54">
        <f>(VLOOKUP($D372,'P Adv'!$B$3:$H$356,6))</f>
        <v>0.13</v>
      </c>
      <c r="Q372" s="54">
        <f>(VLOOKUP($D372,'P Adv'!$B$3:$H$356,7))</f>
        <v>0.06</v>
      </c>
      <c r="R372" s="53">
        <f>_xlfn.NORM.DIST(VLOOKUP(D372,PASE!B:C,2,FALSE),0,0.25,TRUE)</f>
        <v>0.91622608114349569</v>
      </c>
      <c r="S372" s="51">
        <f>VLOOKUP('Value Matchup'!D372,'Team History'!$B$3:$I$354,8)</f>
        <v>77</v>
      </c>
      <c r="T372" s="52">
        <f>((VLOOKUP($C372,'Seed History'!$Y$2:$AE$19,2)))</f>
        <v>142.00694444444446</v>
      </c>
      <c r="U372" s="52">
        <f>((VLOOKUP($C372,'Seed History'!$Y$2:$AE$19,3)))</f>
        <v>105.7972027972028</v>
      </c>
      <c r="V372" s="52">
        <f>((VLOOKUP($C372,'Seed History'!$Y$2:$AE$19,4)))</f>
        <v>81.300813008130078</v>
      </c>
      <c r="W372" s="52">
        <f>((VLOOKUP($C372,'Seed History'!$Y$2:$AE$19,5)))</f>
        <v>32.49</v>
      </c>
      <c r="X372" s="52">
        <f>((VLOOKUP($C372,'Seed History'!$Y$2:$AE$19,6)))</f>
        <v>20.280701754385966</v>
      </c>
      <c r="Y372" s="52">
        <f>((VLOOKUP($C372,'Seed History'!$Y$2:$AE$19,7)))</f>
        <v>14.235294117647058</v>
      </c>
      <c r="Z372" s="52">
        <f>VLOOKUP('Value Matchup'!$D372,'Team History'!$B$3:$I$354,2)</f>
        <v>16</v>
      </c>
      <c r="AA372" s="52">
        <f>VLOOKUP('Value Matchup'!$D372,'Team History'!$B$3:$I$354,3)</f>
        <v>9</v>
      </c>
      <c r="AB372" s="52">
        <f>VLOOKUP('Value Matchup'!$D372,'Team History'!$B$3:$I$354,4)</f>
        <v>6</v>
      </c>
      <c r="AC372" s="52">
        <f>VLOOKUP('Value Matchup'!$D372,'Team History'!$B$3:$I$354,5)</f>
        <v>4</v>
      </c>
      <c r="AD372" s="52">
        <f>VLOOKUP('Value Matchup'!$D372,'Team History'!$B$3:$I$354,6)</f>
        <v>4</v>
      </c>
      <c r="AE372" s="52">
        <f>VLOOKUP('Value Matchup'!$D372,'Team History'!$B$3:$I$354,7)</f>
        <v>0</v>
      </c>
    </row>
    <row r="373" spans="1:31" ht="15.75" thickBot="1" x14ac:dyDescent="0.3">
      <c r="A373" s="102"/>
      <c r="B373" s="42">
        <v>18</v>
      </c>
      <c r="C373">
        <v>16</v>
      </c>
      <c r="D373" s="13" t="s">
        <v>379</v>
      </c>
      <c r="E373" s="52">
        <f t="shared" si="5"/>
        <v>6.1474769524812194</v>
      </c>
      <c r="F373" s="52">
        <f t="shared" si="0"/>
        <v>6.14214522919199</v>
      </c>
      <c r="G373" s="52">
        <f t="shared" si="1"/>
        <v>6.14214522919199</v>
      </c>
      <c r="H373" s="52">
        <f t="shared" si="2"/>
        <v>6.14214522919199</v>
      </c>
      <c r="I373" s="52">
        <f t="shared" si="3"/>
        <v>6.14214522919199</v>
      </c>
      <c r="J373" s="52">
        <f t="shared" si="4"/>
        <v>6.14214522919199</v>
      </c>
      <c r="K373" s="46">
        <f>_xlfn.NORM.DIST(VLOOKUP('Value Matchup'!D373,Ranking!C:N,4),0,11.8,TRUE)</f>
        <v>0.34645271593381582</v>
      </c>
      <c r="L373" s="54">
        <f>(VLOOKUP($D373,'P Adv'!$B$3:$H$356,2))</f>
        <v>0</v>
      </c>
      <c r="M373" s="54">
        <f>(VLOOKUP($D373,'P Adv'!$B$3:$H$356,3))</f>
        <v>0</v>
      </c>
      <c r="N373" s="54">
        <f>(VLOOKUP($D373,'P Adv'!$B$3:$H$356,4))</f>
        <v>0</v>
      </c>
      <c r="O373" s="54">
        <f>(VLOOKUP($D373,'P Adv'!$B$3:$H$356,5))</f>
        <v>0</v>
      </c>
      <c r="P373" s="54">
        <f>(VLOOKUP($D373,'P Adv'!$B$3:$H$356,6))</f>
        <v>0</v>
      </c>
      <c r="Q373" s="54">
        <f>(VLOOKUP($D373,'P Adv'!$B$3:$H$356,7))</f>
        <v>0</v>
      </c>
      <c r="R373" s="53">
        <f>_xlfn.NORM.DIST(VLOOKUP(D373,PASE!B:C,2,FALSE),0,0.25,TRUE)</f>
        <v>0.42131543771518293</v>
      </c>
      <c r="S373" s="51">
        <f>VLOOKUP('Value Matchup'!D373,'Team History'!$B$3:$I$354,8)</f>
        <v>8</v>
      </c>
      <c r="T373" s="52">
        <f>((VLOOKUP($C373,'Seed History'!$Y$2:$AE$19,2)))</f>
        <v>6.9444444444444441E-3</v>
      </c>
      <c r="U373" s="52">
        <f>((VLOOKUP($C373,'Seed History'!$Y$2:$AE$19,3)))</f>
        <v>0</v>
      </c>
      <c r="V373" s="52">
        <f>((VLOOKUP($C373,'Seed History'!$Y$2:$AE$19,4)))</f>
        <v>0</v>
      </c>
      <c r="W373" s="52">
        <f>((VLOOKUP($C373,'Seed History'!$Y$2:$AE$19,5)))</f>
        <v>0</v>
      </c>
      <c r="X373" s="52">
        <f>((VLOOKUP($C373,'Seed History'!$Y$2:$AE$19,6)))</f>
        <v>0</v>
      </c>
      <c r="Y373" s="52">
        <f>((VLOOKUP($C373,'Seed History'!$Y$2:$AE$19,7)))</f>
        <v>0</v>
      </c>
      <c r="Z373" s="52">
        <f>VLOOKUP('Value Matchup'!$D373,'Team History'!$B$3:$I$354,2)</f>
        <v>0</v>
      </c>
      <c r="AA373" s="52">
        <f>VLOOKUP('Value Matchup'!$D373,'Team History'!$B$3:$I$354,3)</f>
        <v>0</v>
      </c>
      <c r="AB373" s="52">
        <f>VLOOKUP('Value Matchup'!$D373,'Team History'!$B$3:$I$354,4)</f>
        <v>0</v>
      </c>
      <c r="AC373" s="52">
        <f>VLOOKUP('Value Matchup'!$D373,'Team History'!$B$3:$I$354,5)</f>
        <v>0</v>
      </c>
      <c r="AD373" s="52">
        <f>VLOOKUP('Value Matchup'!$D373,'Team History'!$B$3:$I$354,6)</f>
        <v>0</v>
      </c>
      <c r="AE373" s="52">
        <f>VLOOKUP('Value Matchup'!$D373,'Team History'!$B$3:$I$354,7)</f>
        <v>0</v>
      </c>
    </row>
    <row r="374" spans="1:31" ht="15.75" thickBot="1" x14ac:dyDescent="0.3">
      <c r="A374" s="102"/>
      <c r="B374" s="42">
        <v>19</v>
      </c>
      <c r="C374">
        <v>8</v>
      </c>
      <c r="D374" s="13" t="s">
        <v>52</v>
      </c>
      <c r="E374" s="52">
        <f t="shared" si="5"/>
        <v>184.05547121413585</v>
      </c>
      <c r="F374" s="52">
        <f t="shared" si="0"/>
        <v>87.066511760166094</v>
      </c>
      <c r="G374" s="52">
        <f t="shared" si="1"/>
        <v>77.975921291387976</v>
      </c>
      <c r="H374" s="52">
        <f t="shared" si="2"/>
        <v>70.719015054945274</v>
      </c>
      <c r="I374" s="52">
        <f t="shared" si="3"/>
        <v>63.867307454758219</v>
      </c>
      <c r="J374" s="52">
        <f t="shared" si="4"/>
        <v>61.025877535878706</v>
      </c>
      <c r="K374" s="46">
        <f>_xlfn.NORM.DIST(VLOOKUP('Value Matchup'!D374,Ranking!C:N,4),0,11.8,TRUE)</f>
        <v>0.96123947655865916</v>
      </c>
      <c r="L374" s="54">
        <f>(VLOOKUP($D374,'P Adv'!$B$3:$H$356,2))</f>
        <v>0.66</v>
      </c>
      <c r="M374" s="54">
        <f>(VLOOKUP($D374,'P Adv'!$B$3:$H$356,3))</f>
        <v>0.32</v>
      </c>
      <c r="N374" s="54">
        <f>(VLOOKUP($D374,'P Adv'!$B$3:$H$356,4))</f>
        <v>0.12</v>
      </c>
      <c r="O374" s="54">
        <f>(VLOOKUP($D374,'P Adv'!$B$3:$H$356,5))</f>
        <v>0.05</v>
      </c>
      <c r="P374" s="54">
        <f>(VLOOKUP($D374,'P Adv'!$B$3:$H$356,6))</f>
        <v>0.02</v>
      </c>
      <c r="Q374" s="54">
        <f>(VLOOKUP($D374,'P Adv'!$B$3:$H$356,7))</f>
        <v>0.01</v>
      </c>
      <c r="R374" s="53">
        <f>_xlfn.NORM.DIST(VLOOKUP(D374,PASE!B:C,2,FALSE),0,0.25,TRUE)</f>
        <v>0.70837183176827778</v>
      </c>
      <c r="S374" s="51">
        <f>VLOOKUP('Value Matchup'!D374,'Team History'!$B$3:$I$354,8)</f>
        <v>36</v>
      </c>
      <c r="T374" s="52">
        <f>((VLOOKUP($C374,'Seed History'!$Y$2:$AE$19,2)))</f>
        <v>35.006944444444443</v>
      </c>
      <c r="U374" s="52">
        <f>((VLOOKUP($C374,'Seed History'!$Y$2:$AE$19,3)))</f>
        <v>2.76056338028169</v>
      </c>
      <c r="V374" s="52">
        <f>((VLOOKUP($C374,'Seed History'!$Y$2:$AE$19,4)))</f>
        <v>4.5714285714285712</v>
      </c>
      <c r="W374" s="52">
        <f>((VLOOKUP($C374,'Seed History'!$Y$2:$AE$19,5)))</f>
        <v>3.125</v>
      </c>
      <c r="X374" s="52">
        <f>((VLOOKUP($C374,'Seed History'!$Y$2:$AE$19,6)))</f>
        <v>1.8</v>
      </c>
      <c r="Y374" s="52">
        <f>((VLOOKUP($C374,'Seed History'!$Y$2:$AE$19,7)))</f>
        <v>0.33333333333333331</v>
      </c>
      <c r="Z374" s="52">
        <f>VLOOKUP('Value Matchup'!$D374,'Team History'!$B$3:$I$354,2)</f>
        <v>8</v>
      </c>
      <c r="AA374" s="52">
        <f>VLOOKUP('Value Matchup'!$D374,'Team History'!$B$3:$I$354,3)</f>
        <v>5</v>
      </c>
      <c r="AB374" s="52">
        <f>VLOOKUP('Value Matchup'!$D374,'Team History'!$B$3:$I$354,4)</f>
        <v>3</v>
      </c>
      <c r="AC374" s="52">
        <f>VLOOKUP('Value Matchup'!$D374,'Team History'!$B$3:$I$354,5)</f>
        <v>2</v>
      </c>
      <c r="AD374" s="52">
        <f>VLOOKUP('Value Matchup'!$D374,'Team History'!$B$3:$I$354,6)</f>
        <v>0</v>
      </c>
      <c r="AE374" s="52">
        <f>VLOOKUP('Value Matchup'!$D374,'Team History'!$B$3:$I$354,7)</f>
        <v>0</v>
      </c>
    </row>
    <row r="375" spans="1:31" ht="15.75" thickBot="1" x14ac:dyDescent="0.3">
      <c r="A375" s="102"/>
      <c r="B375" s="42">
        <v>20</v>
      </c>
      <c r="C375">
        <v>9</v>
      </c>
      <c r="D375" s="13" t="s">
        <v>365</v>
      </c>
      <c r="E375" s="52">
        <f t="shared" si="5"/>
        <v>58.282967372886525</v>
      </c>
      <c r="F375" s="52">
        <f t="shared" si="0"/>
        <v>4.2102479279768223</v>
      </c>
      <c r="G375" s="52">
        <f t="shared" si="1"/>
        <v>5.6389123952374183</v>
      </c>
      <c r="H375" s="52">
        <f t="shared" si="2"/>
        <v>3.3371691078824668</v>
      </c>
      <c r="I375" s="52">
        <f t="shared" si="3"/>
        <v>3.0504637918915076</v>
      </c>
      <c r="J375" s="52">
        <f t="shared" si="4"/>
        <v>3.0204637918915074</v>
      </c>
      <c r="K375" s="46">
        <f>_xlfn.NORM.DIST(VLOOKUP('Value Matchup'!D375,Ranking!C:N,4),0,11.8,TRUE)</f>
        <v>0.96460167941480879</v>
      </c>
      <c r="L375" s="54">
        <f>(VLOOKUP($D375,'P Adv'!$B$3:$H$356,2))</f>
        <v>0.45</v>
      </c>
      <c r="M375" s="54">
        <f>(VLOOKUP($D375,'P Adv'!$B$3:$H$356,3))</f>
        <v>0.14000000000000001</v>
      </c>
      <c r="N375" s="54">
        <f>(VLOOKUP($D375,'P Adv'!$B$3:$H$356,4))</f>
        <v>0.06</v>
      </c>
      <c r="O375" s="54">
        <f>(VLOOKUP($D375,'P Adv'!$B$3:$H$356,5))</f>
        <v>0.02</v>
      </c>
      <c r="P375" s="54">
        <f>(VLOOKUP($D375,'P Adv'!$B$3:$H$356,6))</f>
        <v>0.01</v>
      </c>
      <c r="Q375" s="54">
        <f>(VLOOKUP($D375,'P Adv'!$B$3:$H$356,7))</f>
        <v>0</v>
      </c>
      <c r="R375" s="53">
        <f>_xlfn.NORM.DIST(VLOOKUP(D375,PASE!B:C,2,FALSE),0,0.25,TRUE)</f>
        <v>4.2219584549027113E-2</v>
      </c>
      <c r="S375" s="51">
        <f>VLOOKUP('Value Matchup'!D375,'Team History'!$B$3:$I$354,8)</f>
        <v>3</v>
      </c>
      <c r="T375" s="52">
        <f>((VLOOKUP($C375,'Seed History'!$Y$2:$AE$19,2)))</f>
        <v>37.006944444444443</v>
      </c>
      <c r="U375" s="52">
        <f>((VLOOKUP($C375,'Seed History'!$Y$2:$AE$19,3)))</f>
        <v>0.67123287671232879</v>
      </c>
      <c r="V375" s="52">
        <f>((VLOOKUP($C375,'Seed History'!$Y$2:$AE$19,4)))</f>
        <v>2.2857142857142856</v>
      </c>
      <c r="W375" s="52">
        <f>((VLOOKUP($C375,'Seed History'!$Y$2:$AE$19,5)))</f>
        <v>0.25</v>
      </c>
      <c r="X375" s="52">
        <f>((VLOOKUP($C375,'Seed History'!$Y$2:$AE$19,6)))</f>
        <v>0</v>
      </c>
      <c r="Y375" s="52">
        <f>((VLOOKUP($C375,'Seed History'!$Y$2:$AE$19,7)))</f>
        <v>0</v>
      </c>
      <c r="Z375" s="52">
        <f>VLOOKUP('Value Matchup'!$D375,'Team History'!$B$3:$I$354,2)</f>
        <v>0</v>
      </c>
      <c r="AA375" s="52">
        <f>VLOOKUP('Value Matchup'!$D375,'Team History'!$B$3:$I$354,3)</f>
        <v>0</v>
      </c>
      <c r="AB375" s="52">
        <f>VLOOKUP('Value Matchup'!$D375,'Team History'!$B$3:$I$354,4)</f>
        <v>0</v>
      </c>
      <c r="AC375" s="52">
        <f>VLOOKUP('Value Matchup'!$D375,'Team History'!$B$3:$I$354,5)</f>
        <v>0</v>
      </c>
      <c r="AD375" s="52">
        <f>VLOOKUP('Value Matchup'!$D375,'Team History'!$B$3:$I$354,6)</f>
        <v>0</v>
      </c>
      <c r="AE375" s="52">
        <f>VLOOKUP('Value Matchup'!$D375,'Team History'!$B$3:$I$354,7)</f>
        <v>0</v>
      </c>
    </row>
    <row r="376" spans="1:31" ht="15.75" thickBot="1" x14ac:dyDescent="0.3">
      <c r="A376" s="102"/>
      <c r="B376" s="42">
        <v>21</v>
      </c>
      <c r="C376">
        <v>5</v>
      </c>
      <c r="D376" s="13" t="s">
        <v>95</v>
      </c>
      <c r="E376" s="52">
        <f t="shared" si="5"/>
        <v>119.99851680164834</v>
      </c>
      <c r="F376" s="52">
        <f t="shared" si="0"/>
        <v>46.607475420695827</v>
      </c>
      <c r="G376" s="52">
        <f t="shared" si="1"/>
        <v>12.875646479768941</v>
      </c>
      <c r="H376" s="52">
        <f t="shared" si="2"/>
        <v>16.302483626251203</v>
      </c>
      <c r="I376" s="52">
        <f t="shared" si="3"/>
        <v>11.300230098693167</v>
      </c>
      <c r="J376" s="52">
        <f t="shared" si="4"/>
        <v>9.7977013363565195</v>
      </c>
      <c r="K376" s="46">
        <f>_xlfn.NORM.DIST(VLOOKUP('Value Matchup'!D376,Ranking!C:N,4),0,11.8,TRUE)</f>
        <v>0.97476342943235539</v>
      </c>
      <c r="L376" s="54">
        <f>(VLOOKUP($D376,'P Adv'!$B$3:$H$356,2))</f>
        <v>0.61</v>
      </c>
      <c r="M376" s="54">
        <f>(VLOOKUP($D376,'P Adv'!$B$3:$H$356,3))</f>
        <v>0.26</v>
      </c>
      <c r="N376" s="54">
        <f>(VLOOKUP($D376,'P Adv'!$B$3:$H$356,4))</f>
        <v>0.13</v>
      </c>
      <c r="O376" s="54">
        <f>(VLOOKUP($D376,'P Adv'!$B$3:$H$356,5))</f>
        <v>0.05</v>
      </c>
      <c r="P376" s="54">
        <f>(VLOOKUP($D376,'P Adv'!$B$3:$H$356,6))</f>
        <v>0.02</v>
      </c>
      <c r="Q376" s="54">
        <f>(VLOOKUP($D376,'P Adv'!$B$3:$H$356,7))</f>
        <v>0.01</v>
      </c>
      <c r="R376" s="53">
        <f>_xlfn.NORM.DIST(VLOOKUP(D376,PASE!B:C,2,FALSE),0,0.25,TRUE)</f>
        <v>0.10387005238503565</v>
      </c>
      <c r="S376" s="51">
        <f>VLOOKUP('Value Matchup'!D376,'Team History'!$B$3:$I$354,8)</f>
        <v>9</v>
      </c>
      <c r="T376" s="52">
        <f>((VLOOKUP($C376,'Seed History'!$Y$2:$AE$19,2)))</f>
        <v>60.0625</v>
      </c>
      <c r="U376" s="52">
        <f>((VLOOKUP($C376,'Seed History'!$Y$2:$AE$19,3)))</f>
        <v>25.817204301075268</v>
      </c>
      <c r="V376" s="52">
        <f>((VLOOKUP($C376,'Seed History'!$Y$2:$AE$19,4)))</f>
        <v>1.653061224489796</v>
      </c>
      <c r="W376" s="52">
        <f>((VLOOKUP($C376,'Seed History'!$Y$2:$AE$19,5)))</f>
        <v>5.4444444444444446</v>
      </c>
      <c r="X376" s="52">
        <f>((VLOOKUP($C376,'Seed History'!$Y$2:$AE$19,6)))</f>
        <v>1.2857142857142858</v>
      </c>
      <c r="Y376" s="52">
        <f>((VLOOKUP($C376,'Seed History'!$Y$2:$AE$19,7)))</f>
        <v>0</v>
      </c>
      <c r="Z376" s="52">
        <f>VLOOKUP('Value Matchup'!$D376,'Team History'!$B$3:$I$354,2)</f>
        <v>2</v>
      </c>
      <c r="AA376" s="52">
        <f>VLOOKUP('Value Matchup'!$D376,'Team History'!$B$3:$I$354,3)</f>
        <v>0</v>
      </c>
      <c r="AB376" s="52">
        <f>VLOOKUP('Value Matchup'!$D376,'Team History'!$B$3:$I$354,4)</f>
        <v>0</v>
      </c>
      <c r="AC376" s="52">
        <f>VLOOKUP('Value Matchup'!$D376,'Team History'!$B$3:$I$354,5)</f>
        <v>0</v>
      </c>
      <c r="AD376" s="52">
        <f>VLOOKUP('Value Matchup'!$D376,'Team History'!$B$3:$I$354,6)</f>
        <v>0</v>
      </c>
      <c r="AE376" s="52">
        <f>VLOOKUP('Value Matchup'!$D376,'Team History'!$B$3:$I$354,7)</f>
        <v>0</v>
      </c>
    </row>
    <row r="377" spans="1:31" ht="15.75" thickBot="1" x14ac:dyDescent="0.3">
      <c r="A377" s="102"/>
      <c r="B377" s="42">
        <v>22</v>
      </c>
      <c r="C377">
        <v>12</v>
      </c>
      <c r="D377" s="13" t="s">
        <v>66</v>
      </c>
      <c r="E377" s="52">
        <f t="shared" si="5"/>
        <v>141.36534382582161</v>
      </c>
      <c r="F377" s="52">
        <f t="shared" si="0"/>
        <v>99.388075666449566</v>
      </c>
      <c r="G377" s="52">
        <f t="shared" si="1"/>
        <v>76.624054552720224</v>
      </c>
      <c r="H377" s="52">
        <f t="shared" si="2"/>
        <v>71.479148298121103</v>
      </c>
      <c r="I377" s="52">
        <f t="shared" si="3"/>
        <v>69.676749189532799</v>
      </c>
      <c r="J377" s="52">
        <f t="shared" si="4"/>
        <v>68.454350080944508</v>
      </c>
      <c r="K377" s="46">
        <f>_xlfn.NORM.DIST(VLOOKUP('Value Matchup'!D377,Ranking!C:N,4),0,11.8,TRUE)</f>
        <v>0.90493074796464645</v>
      </c>
      <c r="L377" s="54">
        <f>(VLOOKUP($D377,'P Adv'!$B$3:$H$356,2))</f>
        <v>0.33</v>
      </c>
      <c r="M377" s="54">
        <f>(VLOOKUP($D377,'P Adv'!$B$3:$H$356,3))</f>
        <v>0.13</v>
      </c>
      <c r="N377" s="54">
        <f>(VLOOKUP($D377,'P Adv'!$B$3:$H$356,4))</f>
        <v>0.03</v>
      </c>
      <c r="O377" s="54">
        <f>(VLOOKUP($D377,'P Adv'!$B$3:$H$356,5))</f>
        <v>0.01</v>
      </c>
      <c r="P377" s="54">
        <f>(VLOOKUP($D377,'P Adv'!$B$3:$H$356,6))</f>
        <v>0</v>
      </c>
      <c r="Q377" s="54">
        <f>(VLOOKUP($D377,'P Adv'!$B$3:$H$356,7))</f>
        <v>0</v>
      </c>
      <c r="R377" s="53">
        <f>_xlfn.NORM.DIST(VLOOKUP(D377,PASE!B:C,2,FALSE),0,0.25,TRUE)</f>
        <v>0.31746836062364836</v>
      </c>
      <c r="S377" s="51">
        <f>VLOOKUP('Value Matchup'!D377,'Team History'!$B$3:$I$354,8)</f>
        <v>56</v>
      </c>
      <c r="T377" s="52">
        <f>((VLOOKUP($C377,'Seed History'!$Y$2:$AE$19,2)))</f>
        <v>18.0625</v>
      </c>
      <c r="U377" s="52">
        <f>((VLOOKUP($C377,'Seed History'!$Y$2:$AE$19,3)))</f>
        <v>9.4901960784313726</v>
      </c>
      <c r="V377" s="52">
        <f>((VLOOKUP($C377,'Seed History'!$Y$2:$AE$19,4)))</f>
        <v>0.18181818181818182</v>
      </c>
      <c r="W377" s="52">
        <f>((VLOOKUP($C377,'Seed History'!$Y$2:$AE$19,5)))</f>
        <v>0</v>
      </c>
      <c r="X377" s="52">
        <f>((VLOOKUP($C377,'Seed History'!$Y$2:$AE$19,6)))</f>
        <v>0</v>
      </c>
      <c r="Y377" s="52">
        <f>((VLOOKUP($C377,'Seed History'!$Y$2:$AE$19,7)))</f>
        <v>0</v>
      </c>
      <c r="Z377" s="52">
        <f>VLOOKUP('Value Matchup'!$D377,'Team History'!$B$3:$I$354,2)</f>
        <v>17</v>
      </c>
      <c r="AA377" s="52">
        <f>VLOOKUP('Value Matchup'!$D377,'Team History'!$B$3:$I$354,3)</f>
        <v>8</v>
      </c>
      <c r="AB377" s="52">
        <f>VLOOKUP('Value Matchup'!$D377,'Team History'!$B$3:$I$354,4)</f>
        <v>5</v>
      </c>
      <c r="AC377" s="52">
        <f>VLOOKUP('Value Matchup'!$D377,'Team History'!$B$3:$I$354,5)</f>
        <v>2</v>
      </c>
      <c r="AD377" s="52">
        <f>VLOOKUP('Value Matchup'!$D377,'Team History'!$B$3:$I$354,6)</f>
        <v>1</v>
      </c>
      <c r="AE377" s="52">
        <f>VLOOKUP('Value Matchup'!$D377,'Team History'!$B$3:$I$354,7)</f>
        <v>0</v>
      </c>
    </row>
    <row r="378" spans="1:31" ht="15.75" thickBot="1" x14ac:dyDescent="0.3">
      <c r="A378" s="102"/>
      <c r="B378" s="42">
        <v>23</v>
      </c>
      <c r="C378">
        <v>4</v>
      </c>
      <c r="D378" s="13" t="s">
        <v>207</v>
      </c>
      <c r="E378" s="52">
        <f t="shared" si="5"/>
        <v>321.01478536192053</v>
      </c>
      <c r="F378" s="52">
        <f t="shared" si="0"/>
        <v>165.48799935025696</v>
      </c>
      <c r="G378" s="52">
        <f t="shared" si="1"/>
        <v>81.933495377163794</v>
      </c>
      <c r="H378" s="52">
        <f t="shared" si="2"/>
        <v>76.388650340871592</v>
      </c>
      <c r="I378" s="52">
        <f t="shared" si="3"/>
        <v>62.252268200670315</v>
      </c>
      <c r="J378" s="52">
        <f t="shared" si="4"/>
        <v>60.524712365806579</v>
      </c>
      <c r="K378" s="46">
        <f>_xlfn.NORM.DIST(VLOOKUP('Value Matchup'!D378,Ranking!C:N,4),0,11.8,TRUE)</f>
        <v>0.9766484631011173</v>
      </c>
      <c r="L378" s="54">
        <f>(VLOOKUP($D378,'P Adv'!$B$3:$H$356,2))</f>
        <v>0.77</v>
      </c>
      <c r="M378" s="54">
        <f>(VLOOKUP($D378,'P Adv'!$B$3:$H$356,3))</f>
        <v>0.44</v>
      </c>
      <c r="N378" s="54">
        <f>(VLOOKUP($D378,'P Adv'!$B$3:$H$356,4))</f>
        <v>0.19</v>
      </c>
      <c r="O378" s="54">
        <f>(VLOOKUP($D378,'P Adv'!$B$3:$H$356,5))</f>
        <v>0.09</v>
      </c>
      <c r="P378" s="54">
        <f>(VLOOKUP($D378,'P Adv'!$B$3:$H$356,6))</f>
        <v>0.04</v>
      </c>
      <c r="Q378" s="54">
        <f>(VLOOKUP($D378,'P Adv'!$B$3:$H$356,7))</f>
        <v>0.01</v>
      </c>
      <c r="R378" s="53">
        <f>_xlfn.NORM.DIST(VLOOKUP(D378,PASE!B:C,2,FALSE),0,0.25,TRUE)</f>
        <v>0.59225707687644558</v>
      </c>
      <c r="S378" s="51">
        <f>VLOOKUP('Value Matchup'!D378,'Team History'!$B$3:$I$354,8)</f>
        <v>38</v>
      </c>
      <c r="T378" s="52">
        <f>((VLOOKUP($C378,'Seed History'!$Y$2:$AE$19,2)))</f>
        <v>90.25</v>
      </c>
      <c r="U378" s="52">
        <f>((VLOOKUP($C378,'Seed History'!$Y$2:$AE$19,3)))</f>
        <v>39.377192982456137</v>
      </c>
      <c r="V378" s="52">
        <f>((VLOOKUP($C378,'Seed History'!$Y$2:$AE$19,4)))</f>
        <v>6.5820895522388057</v>
      </c>
      <c r="W378" s="52">
        <f>((VLOOKUP($C378,'Seed History'!$Y$2:$AE$19,5)))</f>
        <v>8.0476190476190474</v>
      </c>
      <c r="X378" s="52">
        <f>((VLOOKUP($C378,'Seed History'!$Y$2:$AE$19,6)))</f>
        <v>0.69230769230769229</v>
      </c>
      <c r="Y378" s="52">
        <f>((VLOOKUP($C378,'Seed History'!$Y$2:$AE$19,7)))</f>
        <v>0.33333333333333331</v>
      </c>
      <c r="Z378" s="52">
        <f>VLOOKUP('Value Matchup'!$D378,'Team History'!$B$3:$I$354,2)</f>
        <v>9</v>
      </c>
      <c r="AA378" s="52">
        <f>VLOOKUP('Value Matchup'!$D378,'Team History'!$B$3:$I$354,3)</f>
        <v>5</v>
      </c>
      <c r="AB378" s="52">
        <f>VLOOKUP('Value Matchup'!$D378,'Team History'!$B$3:$I$354,4)</f>
        <v>2</v>
      </c>
      <c r="AC378" s="52">
        <f>VLOOKUP('Value Matchup'!$D378,'Team History'!$B$3:$I$354,5)</f>
        <v>0</v>
      </c>
      <c r="AD378" s="52">
        <f>VLOOKUP('Value Matchup'!$D378,'Team History'!$B$3:$I$354,6)</f>
        <v>0</v>
      </c>
      <c r="AE378" s="52">
        <f>VLOOKUP('Value Matchup'!$D378,'Team History'!$B$3:$I$354,7)</f>
        <v>0</v>
      </c>
    </row>
    <row r="379" spans="1:31" ht="15.75" thickBot="1" x14ac:dyDescent="0.3">
      <c r="A379" s="102"/>
      <c r="B379" s="42">
        <v>24</v>
      </c>
      <c r="C379">
        <v>13</v>
      </c>
      <c r="D379" s="13" t="s">
        <v>394</v>
      </c>
      <c r="E379" s="52">
        <f t="shared" si="5"/>
        <v>12.325896351116098</v>
      </c>
      <c r="F379" s="52">
        <f t="shared" si="0"/>
        <v>4.8028671147982465</v>
      </c>
      <c r="G379" s="52">
        <f t="shared" si="1"/>
        <v>3.3725321060173403</v>
      </c>
      <c r="H379" s="52">
        <f t="shared" si="2"/>
        <v>3.3725321060173403</v>
      </c>
      <c r="I379" s="52">
        <f t="shared" si="3"/>
        <v>3.3725321060173403</v>
      </c>
      <c r="J379" s="52">
        <f t="shared" si="4"/>
        <v>3.3725321060173403</v>
      </c>
      <c r="K379" s="46">
        <f>_xlfn.NORM.DIST(VLOOKUP('Value Matchup'!D379,Ranking!C:N,4),0,11.8,TRUE)</f>
        <v>0.79107861537761037</v>
      </c>
      <c r="L379" s="54">
        <f>(VLOOKUP($D379,'P Adv'!$B$3:$H$356,2))</f>
        <v>0.15</v>
      </c>
      <c r="M379" s="54">
        <f>(VLOOKUP($D379,'P Adv'!$B$3:$H$356,3))</f>
        <v>0.03</v>
      </c>
      <c r="N379" s="54">
        <f>(VLOOKUP($D379,'P Adv'!$B$3:$H$356,4))</f>
        <v>0</v>
      </c>
      <c r="O379" s="54">
        <f>(VLOOKUP($D379,'P Adv'!$B$3:$H$356,5))</f>
        <v>0</v>
      </c>
      <c r="P379" s="54">
        <f>(VLOOKUP($D379,'P Adv'!$B$3:$H$356,6))</f>
        <v>0</v>
      </c>
      <c r="Q379" s="54">
        <f>(VLOOKUP($D379,'P Adv'!$B$3:$H$356,7))</f>
        <v>0</v>
      </c>
      <c r="R379" s="53">
        <f>_xlfn.NORM.DIST(VLOOKUP(D379,PASE!B:C,2,FALSE),0,0.25,TRUE)</f>
        <v>0.3330987532948364</v>
      </c>
      <c r="S379" s="51">
        <f>VLOOKUP('Value Matchup'!D379,'Team History'!$B$3:$I$354,8)</f>
        <v>3</v>
      </c>
      <c r="T379" s="52">
        <f>((VLOOKUP($C379,'Seed History'!$Y$2:$AE$19,2)))</f>
        <v>6.6736111111111107</v>
      </c>
      <c r="U379" s="52">
        <f>((VLOOKUP($C379,'Seed History'!$Y$2:$AE$19,3)))</f>
        <v>1.1612903225806452</v>
      </c>
      <c r="V379" s="52">
        <f>((VLOOKUP($C379,'Seed History'!$Y$2:$AE$19,4)))</f>
        <v>0</v>
      </c>
      <c r="W379" s="52">
        <f>((VLOOKUP($C379,'Seed History'!$Y$2:$AE$19,5)))</f>
        <v>0</v>
      </c>
      <c r="X379" s="52">
        <f>((VLOOKUP($C379,'Seed History'!$Y$2:$AE$19,6)))</f>
        <v>0</v>
      </c>
      <c r="Y379" s="52">
        <f>((VLOOKUP($C379,'Seed History'!$Y$2:$AE$19,7)))</f>
        <v>0</v>
      </c>
      <c r="Z379" s="52">
        <f>VLOOKUP('Value Matchup'!$D379,'Team History'!$B$3:$I$354,2)</f>
        <v>0</v>
      </c>
      <c r="AA379" s="52">
        <f>VLOOKUP('Value Matchup'!$D379,'Team History'!$B$3:$I$354,3)</f>
        <v>0</v>
      </c>
      <c r="AB379" s="52">
        <f>VLOOKUP('Value Matchup'!$D379,'Team History'!$B$3:$I$354,4)</f>
        <v>0</v>
      </c>
      <c r="AC379" s="52">
        <f>VLOOKUP('Value Matchup'!$D379,'Team History'!$B$3:$I$354,5)</f>
        <v>0</v>
      </c>
      <c r="AD379" s="52">
        <f>VLOOKUP('Value Matchup'!$D379,'Team History'!$B$3:$I$354,6)</f>
        <v>0</v>
      </c>
      <c r="AE379" s="52">
        <f>VLOOKUP('Value Matchup'!$D379,'Team History'!$B$3:$I$354,7)</f>
        <v>0</v>
      </c>
    </row>
    <row r="380" spans="1:31" ht="15.75" thickBot="1" x14ac:dyDescent="0.3">
      <c r="A380" s="102"/>
      <c r="B380" s="42">
        <v>25</v>
      </c>
      <c r="C380">
        <v>6</v>
      </c>
      <c r="D380" s="13" t="s">
        <v>72</v>
      </c>
      <c r="E380" s="52">
        <f t="shared" si="5"/>
        <v>139.33761174605155</v>
      </c>
      <c r="F380" s="52">
        <f t="shared" si="0"/>
        <v>60.552263389748191</v>
      </c>
      <c r="G380" s="52">
        <f t="shared" si="1"/>
        <v>35.502677328549304</v>
      </c>
      <c r="H380" s="52">
        <f t="shared" si="2"/>
        <v>29.020128032844379</v>
      </c>
      <c r="I380" s="52">
        <f t="shared" si="3"/>
        <v>29.224527569948943</v>
      </c>
      <c r="J380" s="52">
        <f t="shared" si="4"/>
        <v>28.089982641421035</v>
      </c>
      <c r="K380" s="46">
        <f>_xlfn.NORM.DIST(VLOOKUP('Value Matchup'!D380,Ranking!C:N,4),0,11.8,TRUE)</f>
        <v>0.97083571314652473</v>
      </c>
      <c r="L380" s="54">
        <f>(VLOOKUP($D380,'P Adv'!$B$3:$H$356,2))</f>
        <v>0.57999999999999996</v>
      </c>
      <c r="M380" s="54">
        <f>(VLOOKUP($D380,'P Adv'!$B$3:$H$356,3))</f>
        <v>0.22</v>
      </c>
      <c r="N380" s="54">
        <f>(VLOOKUP($D380,'P Adv'!$B$3:$H$356,4))</f>
        <v>0.08</v>
      </c>
      <c r="O380" s="54">
        <f>(VLOOKUP($D380,'P Adv'!$B$3:$H$356,5))</f>
        <v>0.03</v>
      </c>
      <c r="P380" s="54">
        <f>(VLOOKUP($D380,'P Adv'!$B$3:$H$356,6))</f>
        <v>0.01</v>
      </c>
      <c r="Q380" s="54">
        <f>(VLOOKUP($D380,'P Adv'!$B$3:$H$356,7))</f>
        <v>0</v>
      </c>
      <c r="R380" s="53">
        <f>_xlfn.NORM.DIST(VLOOKUP(D380,PASE!B:C,2,FALSE),0,0.25,TRUE)</f>
        <v>5.06182010869674E-2</v>
      </c>
      <c r="S380" s="51">
        <f>VLOOKUP('Value Matchup'!D380,'Team History'!$B$3:$I$354,8)</f>
        <v>27</v>
      </c>
      <c r="T380" s="52">
        <f>((VLOOKUP($C380,'Seed History'!$Y$2:$AE$19,2)))</f>
        <v>55.006944444444443</v>
      </c>
      <c r="U380" s="52">
        <f>((VLOOKUP($C380,'Seed History'!$Y$2:$AE$19,3)))</f>
        <v>20.775280898876403</v>
      </c>
      <c r="V380" s="52">
        <f>((VLOOKUP($C380,'Seed History'!$Y$2:$AE$19,4)))</f>
        <v>5.2325581395348841</v>
      </c>
      <c r="W380" s="52">
        <f>((VLOOKUP($C380,'Seed History'!$Y$2:$AE$19,5)))</f>
        <v>0.6</v>
      </c>
      <c r="X380" s="52">
        <f>((VLOOKUP($C380,'Seed History'!$Y$2:$AE$19,6)))</f>
        <v>1.3333333333333333</v>
      </c>
      <c r="Y380" s="52">
        <f>((VLOOKUP($C380,'Seed History'!$Y$2:$AE$19,7)))</f>
        <v>0.5</v>
      </c>
      <c r="Z380" s="52">
        <f>VLOOKUP('Value Matchup'!$D380,'Team History'!$B$3:$I$354,2)</f>
        <v>5</v>
      </c>
      <c r="AA380" s="52">
        <f>VLOOKUP('Value Matchup'!$D380,'Team History'!$B$3:$I$354,3)</f>
        <v>1</v>
      </c>
      <c r="AB380" s="52">
        <f>VLOOKUP('Value Matchup'!$D380,'Team History'!$B$3:$I$354,4)</f>
        <v>0</v>
      </c>
      <c r="AC380" s="52">
        <f>VLOOKUP('Value Matchup'!$D380,'Team History'!$B$3:$I$354,5)</f>
        <v>0</v>
      </c>
      <c r="AD380" s="52">
        <f>VLOOKUP('Value Matchup'!$D380,'Team History'!$B$3:$I$354,6)</f>
        <v>0</v>
      </c>
      <c r="AE380" s="52">
        <f>VLOOKUP('Value Matchup'!$D380,'Team History'!$B$3:$I$354,7)</f>
        <v>0</v>
      </c>
    </row>
    <row r="381" spans="1:31" ht="15.75" thickBot="1" x14ac:dyDescent="0.3">
      <c r="A381" s="102"/>
      <c r="B381" s="42">
        <v>26</v>
      </c>
      <c r="C381">
        <v>11</v>
      </c>
      <c r="D381" s="13" t="s">
        <v>67</v>
      </c>
      <c r="E381" s="52">
        <f t="shared" si="5"/>
        <v>223.34455422741729</v>
      </c>
      <c r="F381" s="52">
        <f t="shared" si="0"/>
        <v>172.75495710738852</v>
      </c>
      <c r="G381" s="52">
        <f t="shared" si="1"/>
        <v>138.71125098438696</v>
      </c>
      <c r="H381" s="52">
        <f t="shared" si="2"/>
        <v>129.43205036144653</v>
      </c>
      <c r="I381" s="52">
        <f t="shared" si="3"/>
        <v>122.33346901225815</v>
      </c>
      <c r="J381" s="52">
        <f t="shared" si="4"/>
        <v>120.65766806688475</v>
      </c>
      <c r="K381" s="46">
        <f>_xlfn.NORM.DIST(VLOOKUP('Value Matchup'!D381,Ranking!C:N,4),0,11.8,TRUE)</f>
        <v>0.92892026072655287</v>
      </c>
      <c r="L381" s="54">
        <f>(VLOOKUP($D381,'P Adv'!$B$3:$H$356,2))</f>
        <v>0.35</v>
      </c>
      <c r="M381" s="54">
        <f>(VLOOKUP($D381,'P Adv'!$B$3:$H$356,3))</f>
        <v>0.13</v>
      </c>
      <c r="N381" s="54">
        <f>(VLOOKUP($D381,'P Adv'!$B$3:$H$356,4))</f>
        <v>0.05</v>
      </c>
      <c r="O381" s="54">
        <f>(VLOOKUP($D381,'P Adv'!$B$3:$H$356,5))</f>
        <v>0.01</v>
      </c>
      <c r="P381" s="54">
        <f>(VLOOKUP($D381,'P Adv'!$B$3:$H$356,6))</f>
        <v>0</v>
      </c>
      <c r="Q381" s="54">
        <f>(VLOOKUP($D381,'P Adv'!$B$3:$H$356,7))</f>
        <v>0</v>
      </c>
      <c r="R381" s="53">
        <f>_xlfn.NORM.DIST(VLOOKUP(D381,PASE!B:C,2,FALSE),0,0.25,TRUE)</f>
        <v>0.74688068464684632</v>
      </c>
      <c r="S381" s="51">
        <f>VLOOKUP('Value Matchup'!D381,'Team History'!$B$3:$I$354,8)</f>
        <v>72</v>
      </c>
      <c r="T381" s="52">
        <f>((VLOOKUP($C381,'Seed History'!$Y$2:$AE$19,2)))</f>
        <v>20.25</v>
      </c>
      <c r="U381" s="52">
        <f>((VLOOKUP($C381,'Seed History'!$Y$2:$AE$19,3)))</f>
        <v>10.666666666666666</v>
      </c>
      <c r="V381" s="52">
        <f>((VLOOKUP($C381,'Seed History'!$Y$2:$AE$19,4)))</f>
        <v>3.375</v>
      </c>
      <c r="W381" s="52">
        <f>((VLOOKUP($C381,'Seed History'!$Y$2:$AE$19,5)))</f>
        <v>1.7777777777777777</v>
      </c>
      <c r="X381" s="52">
        <f>((VLOOKUP($C381,'Seed History'!$Y$2:$AE$19,6)))</f>
        <v>0</v>
      </c>
      <c r="Y381" s="52">
        <f>((VLOOKUP($C381,'Seed History'!$Y$2:$AE$19,7)))</f>
        <v>0</v>
      </c>
      <c r="Z381" s="52">
        <f>VLOOKUP('Value Matchup'!$D381,'Team History'!$B$3:$I$354,2)</f>
        <v>18</v>
      </c>
      <c r="AA381" s="52">
        <f>VLOOKUP('Value Matchup'!$D381,'Team History'!$B$3:$I$354,3)</f>
        <v>13</v>
      </c>
      <c r="AB381" s="52">
        <f>VLOOKUP('Value Matchup'!$D381,'Team History'!$B$3:$I$354,4)</f>
        <v>5</v>
      </c>
      <c r="AC381" s="52">
        <f>VLOOKUP('Value Matchup'!$D381,'Team History'!$B$3:$I$354,5)</f>
        <v>3</v>
      </c>
      <c r="AD381" s="52">
        <f>VLOOKUP('Value Matchup'!$D381,'Team History'!$B$3:$I$354,6)</f>
        <v>1</v>
      </c>
      <c r="AE381" s="52">
        <f>VLOOKUP('Value Matchup'!$D381,'Team History'!$B$3:$I$354,7)</f>
        <v>0</v>
      </c>
    </row>
    <row r="382" spans="1:31" ht="15.75" thickBot="1" x14ac:dyDescent="0.3">
      <c r="A382" s="102"/>
      <c r="B382" s="42">
        <v>27</v>
      </c>
      <c r="C382">
        <v>3</v>
      </c>
      <c r="D382" s="13" t="s">
        <v>34</v>
      </c>
      <c r="E382" s="52">
        <f t="shared" si="5"/>
        <v>411.59694953342199</v>
      </c>
      <c r="F382" s="52">
        <f t="shared" si="0"/>
        <v>216.983900382516</v>
      </c>
      <c r="G382" s="52">
        <f t="shared" si="1"/>
        <v>134.78391824371658</v>
      </c>
      <c r="H382" s="52">
        <f t="shared" si="2"/>
        <v>102.05097608880516</v>
      </c>
      <c r="I382" s="52">
        <f t="shared" si="3"/>
        <v>95.578375786001033</v>
      </c>
      <c r="J382" s="52">
        <f t="shared" si="4"/>
        <v>85.382912903817939</v>
      </c>
      <c r="K382" s="46">
        <f>_xlfn.NORM.DIST(VLOOKUP('Value Matchup'!D382,Ranking!C:N,4),0,11.8,TRUE)</f>
        <v>0.96862910839533356</v>
      </c>
      <c r="L382" s="54">
        <f>(VLOOKUP($D382,'P Adv'!$B$3:$H$356,2))</f>
        <v>0.88</v>
      </c>
      <c r="M382" s="54">
        <f>(VLOOKUP($D382,'P Adv'!$B$3:$H$356,3))</f>
        <v>0.53</v>
      </c>
      <c r="N382" s="54">
        <f>(VLOOKUP($D382,'P Adv'!$B$3:$H$356,4))</f>
        <v>0.26</v>
      </c>
      <c r="O382" s="54">
        <f>(VLOOKUP($D382,'P Adv'!$B$3:$H$356,5))</f>
        <v>0.11</v>
      </c>
      <c r="P382" s="54">
        <f>(VLOOKUP($D382,'P Adv'!$B$3:$H$356,6))</f>
        <v>0.05</v>
      </c>
      <c r="Q382" s="54">
        <f>(VLOOKUP($D382,'P Adv'!$B$3:$H$356,7))</f>
        <v>0.02</v>
      </c>
      <c r="R382" s="53">
        <f>_xlfn.NORM.DIST(VLOOKUP(D382,PASE!B:C,2,FALSE),0,0.25,TRUE)</f>
        <v>0.47204280753312261</v>
      </c>
      <c r="S382" s="51">
        <f>VLOOKUP('Value Matchup'!D382,'Team History'!$B$3:$I$354,8)</f>
        <v>57</v>
      </c>
      <c r="T382" s="52">
        <f>((VLOOKUP($C382,'Seed History'!$Y$2:$AE$19,2)))</f>
        <v>103.36111111111111</v>
      </c>
      <c r="U382" s="52">
        <f>((VLOOKUP($C382,'Seed History'!$Y$2:$AE$19,3)))</f>
        <v>46.106557377049178</v>
      </c>
      <c r="V382" s="52">
        <f>((VLOOKUP($C382,'Seed History'!$Y$2:$AE$19,4)))</f>
        <v>18.253333333333334</v>
      </c>
      <c r="W382" s="52">
        <f>((VLOOKUP($C382,'Seed History'!$Y$2:$AE$19,5)))</f>
        <v>7.8108108108108105</v>
      </c>
      <c r="X382" s="52">
        <f>((VLOOKUP($C382,'Seed History'!$Y$2:$AE$19,6)))</f>
        <v>7.117647058823529</v>
      </c>
      <c r="Y382" s="52">
        <f>((VLOOKUP($C382,'Seed History'!$Y$2:$AE$19,7)))</f>
        <v>1.4545454545454546</v>
      </c>
      <c r="Z382" s="52">
        <f>VLOOKUP('Value Matchup'!$D382,'Team History'!$B$3:$I$354,2)</f>
        <v>17</v>
      </c>
      <c r="AA382" s="52">
        <f>VLOOKUP('Value Matchup'!$D382,'Team History'!$B$3:$I$354,3)</f>
        <v>7</v>
      </c>
      <c r="AB382" s="52">
        <f>VLOOKUP('Value Matchup'!$D382,'Team History'!$B$3:$I$354,4)</f>
        <v>4</v>
      </c>
      <c r="AC382" s="52">
        <f>VLOOKUP('Value Matchup'!$D382,'Team History'!$B$3:$I$354,5)</f>
        <v>1</v>
      </c>
      <c r="AD382" s="52">
        <f>VLOOKUP('Value Matchup'!$D382,'Team History'!$B$3:$I$354,6)</f>
        <v>0</v>
      </c>
      <c r="AE382" s="52">
        <f>VLOOKUP('Value Matchup'!$D382,'Team History'!$B$3:$I$354,7)</f>
        <v>0</v>
      </c>
    </row>
    <row r="383" spans="1:31" ht="15.75" thickBot="1" x14ac:dyDescent="0.3">
      <c r="A383" s="102"/>
      <c r="B383" s="42">
        <v>28</v>
      </c>
      <c r="C383">
        <v>14</v>
      </c>
      <c r="D383" s="13" t="s">
        <v>107</v>
      </c>
      <c r="E383" s="52">
        <f t="shared" si="5"/>
        <v>5.8669873969856425</v>
      </c>
      <c r="F383" s="52">
        <f t="shared" si="0"/>
        <v>1.4717140137749165</v>
      </c>
      <c r="G383" s="52">
        <f t="shared" si="1"/>
        <v>1.22529647319416</v>
      </c>
      <c r="H383" s="52">
        <f t="shared" si="2"/>
        <v>1.2152964731941602</v>
      </c>
      <c r="I383" s="52">
        <f t="shared" si="3"/>
        <v>1.2152964731941602</v>
      </c>
      <c r="J383" s="52">
        <f t="shared" si="4"/>
        <v>1.2152964731941602</v>
      </c>
      <c r="K383" s="46">
        <f>_xlfn.NORM.DIST(VLOOKUP('Value Matchup'!D383,Ranking!C:N,4),0,11.8,TRUE)</f>
        <v>0.83532494099069143</v>
      </c>
      <c r="L383" s="54">
        <f>(VLOOKUP($D383,'P Adv'!$B$3:$H$356,2))</f>
        <v>0.13</v>
      </c>
      <c r="M383" s="54">
        <f>(VLOOKUP($D383,'P Adv'!$B$3:$H$356,3))</f>
        <v>0.03</v>
      </c>
      <c r="N383" s="54">
        <f>(VLOOKUP($D383,'P Adv'!$B$3:$H$356,4))</f>
        <v>0.01</v>
      </c>
      <c r="O383" s="54">
        <f>(VLOOKUP($D383,'P Adv'!$B$3:$H$356,5))</f>
        <v>0</v>
      </c>
      <c r="P383" s="54">
        <f>(VLOOKUP($D383,'P Adv'!$B$3:$H$356,6))</f>
        <v>0</v>
      </c>
      <c r="Q383" s="54">
        <f>(VLOOKUP($D383,'P Adv'!$B$3:$H$356,7))</f>
        <v>0</v>
      </c>
      <c r="R383" s="53">
        <f>_xlfn.NORM.DIST(VLOOKUP(D383,PASE!B:C,2,FALSE),0,0.25,TRUE)</f>
        <v>0.37997153220346869</v>
      </c>
      <c r="S383" s="51">
        <f>VLOOKUP('Value Matchup'!D383,'Team History'!$B$3:$I$354,8)</f>
        <v>1</v>
      </c>
      <c r="T383" s="52">
        <f>((VLOOKUP($C383,'Seed History'!$Y$2:$AE$19,2)))</f>
        <v>3.3611111111111112</v>
      </c>
      <c r="U383" s="52">
        <f>((VLOOKUP($C383,'Seed History'!$Y$2:$AE$19,3)))</f>
        <v>0.18181818181818182</v>
      </c>
      <c r="V383" s="52">
        <f>((VLOOKUP($C383,'Seed History'!$Y$2:$AE$19,4)))</f>
        <v>0</v>
      </c>
      <c r="W383" s="52">
        <f>((VLOOKUP($C383,'Seed History'!$Y$2:$AE$19,5)))</f>
        <v>0</v>
      </c>
      <c r="X383" s="52">
        <f>((VLOOKUP($C383,'Seed History'!$Y$2:$AE$19,6)))</f>
        <v>0</v>
      </c>
      <c r="Y383" s="52">
        <f>((VLOOKUP($C383,'Seed History'!$Y$2:$AE$19,7)))</f>
        <v>0</v>
      </c>
      <c r="Z383" s="52">
        <f>VLOOKUP('Value Matchup'!$D383,'Team History'!$B$3:$I$354,2)</f>
        <v>0</v>
      </c>
      <c r="AA383" s="52">
        <f>VLOOKUP('Value Matchup'!$D383,'Team History'!$B$3:$I$354,3)</f>
        <v>0</v>
      </c>
      <c r="AB383" s="52">
        <f>VLOOKUP('Value Matchup'!$D383,'Team History'!$B$3:$I$354,4)</f>
        <v>0</v>
      </c>
      <c r="AC383" s="52">
        <f>VLOOKUP('Value Matchup'!$D383,'Team History'!$B$3:$I$354,5)</f>
        <v>0</v>
      </c>
      <c r="AD383" s="52">
        <f>VLOOKUP('Value Matchup'!$D383,'Team History'!$B$3:$I$354,6)</f>
        <v>0</v>
      </c>
      <c r="AE383" s="52">
        <f>VLOOKUP('Value Matchup'!$D383,'Team History'!$B$3:$I$354,7)</f>
        <v>0</v>
      </c>
    </row>
    <row r="384" spans="1:31" ht="15.75" thickBot="1" x14ac:dyDescent="0.3">
      <c r="A384" s="102"/>
      <c r="B384" s="42">
        <v>29</v>
      </c>
      <c r="C384">
        <v>7</v>
      </c>
      <c r="D384" s="13" t="s">
        <v>80</v>
      </c>
      <c r="E384" s="52">
        <f t="shared" si="5"/>
        <v>225.77230460077135</v>
      </c>
      <c r="F384" s="52">
        <f t="shared" si="0"/>
        <v>109.94809008007695</v>
      </c>
      <c r="G384" s="52">
        <f t="shared" si="1"/>
        <v>88.126588735544672</v>
      </c>
      <c r="H384" s="52">
        <f t="shared" si="2"/>
        <v>73.88866611743363</v>
      </c>
      <c r="I384" s="52">
        <f t="shared" si="3"/>
        <v>70.118848276739328</v>
      </c>
      <c r="J384" s="52">
        <f t="shared" si="4"/>
        <v>70.596004804694346</v>
      </c>
      <c r="K384" s="46">
        <f>_xlfn.NORM.DIST(VLOOKUP('Value Matchup'!D384,Ranking!C:N,4),0,11.8,TRUE)</f>
        <v>0.97588995890654306</v>
      </c>
      <c r="L384" s="54">
        <f>(VLOOKUP($D384,'P Adv'!$B$3:$H$356,2))</f>
        <v>0.53</v>
      </c>
      <c r="M384" s="54">
        <f>(VLOOKUP($D384,'P Adv'!$B$3:$H$356,3))</f>
        <v>0.2</v>
      </c>
      <c r="N384" s="54">
        <f>(VLOOKUP($D384,'P Adv'!$B$3:$H$356,4))</f>
        <v>0.09</v>
      </c>
      <c r="O384" s="54">
        <f>(VLOOKUP($D384,'P Adv'!$B$3:$H$356,5))</f>
        <v>0.04</v>
      </c>
      <c r="P384" s="54">
        <f>(VLOOKUP($D384,'P Adv'!$B$3:$H$356,6))</f>
        <v>0.01</v>
      </c>
      <c r="Q384" s="54">
        <f>(VLOOKUP($D384,'P Adv'!$B$3:$H$356,7))</f>
        <v>0</v>
      </c>
      <c r="R384" s="53">
        <f>_xlfn.NORM.DIST(VLOOKUP(D384,PASE!B:C,2,FALSE),0,0.25,TRUE)</f>
        <v>0.46484483302599472</v>
      </c>
      <c r="S384" s="51">
        <f>VLOOKUP('Value Matchup'!D384,'Team History'!$B$3:$I$354,8)</f>
        <v>48</v>
      </c>
      <c r="T384" s="52">
        <f>((VLOOKUP($C384,'Seed History'!$Y$2:$AE$19,2)))</f>
        <v>52.5625</v>
      </c>
      <c r="U384" s="52">
        <f>((VLOOKUP($C384,'Seed History'!$Y$2:$AE$19,3)))</f>
        <v>9.0114942528735629</v>
      </c>
      <c r="V384" s="52">
        <f>((VLOOKUP($C384,'Seed History'!$Y$2:$AE$19,4)))</f>
        <v>3.5714285714285716</v>
      </c>
      <c r="W384" s="52">
        <f>((VLOOKUP($C384,'Seed History'!$Y$2:$AE$19,5)))</f>
        <v>0.9</v>
      </c>
      <c r="X384" s="52">
        <f>((VLOOKUP($C384,'Seed History'!$Y$2:$AE$19,6)))</f>
        <v>0.33333333333333331</v>
      </c>
      <c r="Y384" s="52">
        <f>((VLOOKUP($C384,'Seed History'!$Y$2:$AE$19,7)))</f>
        <v>1</v>
      </c>
      <c r="Z384" s="52">
        <f>VLOOKUP('Value Matchup'!$D384,'Team History'!$B$3:$I$354,2)</f>
        <v>14</v>
      </c>
      <c r="AA384" s="52">
        <f>VLOOKUP('Value Matchup'!$D384,'Team History'!$B$3:$I$354,3)</f>
        <v>10</v>
      </c>
      <c r="AB384" s="52">
        <f>VLOOKUP('Value Matchup'!$D384,'Team History'!$B$3:$I$354,4)</f>
        <v>6</v>
      </c>
      <c r="AC384" s="52">
        <f>VLOOKUP('Value Matchup'!$D384,'Team History'!$B$3:$I$354,5)</f>
        <v>1</v>
      </c>
      <c r="AD384" s="52">
        <f>VLOOKUP('Value Matchup'!$D384,'Team History'!$B$3:$I$354,6)</f>
        <v>0</v>
      </c>
      <c r="AE384" s="52">
        <f>VLOOKUP('Value Matchup'!$D384,'Team History'!$B$3:$I$354,7)</f>
        <v>0</v>
      </c>
    </row>
    <row r="385" spans="1:31" ht="15.75" thickBot="1" x14ac:dyDescent="0.3">
      <c r="A385" s="102"/>
      <c r="B385" s="42">
        <v>30</v>
      </c>
      <c r="C385">
        <v>10</v>
      </c>
      <c r="D385" s="13" t="s">
        <v>31</v>
      </c>
      <c r="E385" s="52">
        <f t="shared" si="5"/>
        <v>179.11813332484166</v>
      </c>
      <c r="F385" s="52">
        <f t="shared" si="0"/>
        <v>113.3597860726519</v>
      </c>
      <c r="G385" s="52">
        <f t="shared" si="1"/>
        <v>86.811071105278216</v>
      </c>
      <c r="H385" s="52">
        <f t="shared" si="2"/>
        <v>80.550196809635082</v>
      </c>
      <c r="I385" s="52">
        <f t="shared" si="3"/>
        <v>78.324427936019305</v>
      </c>
      <c r="J385" s="52">
        <f t="shared" si="4"/>
        <v>78.324427936019305</v>
      </c>
      <c r="K385" s="46">
        <f>_xlfn.NORM.DIST(VLOOKUP('Value Matchup'!D385,Ranking!C:N,4),0,11.8,TRUE)</f>
        <v>0.95575243022099088</v>
      </c>
      <c r="L385" s="54">
        <f>(VLOOKUP($D385,'P Adv'!$B$3:$H$356,2))</f>
        <v>0.45</v>
      </c>
      <c r="M385" s="54">
        <f>(VLOOKUP($D385,'P Adv'!$B$3:$H$356,3))</f>
        <v>0.13</v>
      </c>
      <c r="N385" s="54">
        <f>(VLOOKUP($D385,'P Adv'!$B$3:$H$356,4))</f>
        <v>0.05</v>
      </c>
      <c r="O385" s="54">
        <f>(VLOOKUP($D385,'P Adv'!$B$3:$H$356,5))</f>
        <v>0.01</v>
      </c>
      <c r="P385" s="54">
        <f>(VLOOKUP($D385,'P Adv'!$B$3:$H$356,6))</f>
        <v>0</v>
      </c>
      <c r="Q385" s="54">
        <f>(VLOOKUP($D385,'P Adv'!$B$3:$H$356,7))</f>
        <v>0</v>
      </c>
      <c r="R385" s="53">
        <f>_xlfn.NORM.DIST(VLOOKUP(D385,PASE!B:C,2,FALSE),0,0.25,TRUE)</f>
        <v>0.55048656854861089</v>
      </c>
      <c r="S385" s="51">
        <f>VLOOKUP('Value Matchup'!D385,'Team History'!$B$3:$I$354,8)</f>
        <v>52</v>
      </c>
      <c r="T385" s="52">
        <f>((VLOOKUP($C385,'Seed History'!$Y$2:$AE$19,2)))</f>
        <v>22.5625</v>
      </c>
      <c r="U385" s="52">
        <f>((VLOOKUP($C385,'Seed History'!$Y$2:$AE$19,3)))</f>
        <v>9.2807017543859658</v>
      </c>
      <c r="V385" s="52">
        <f>((VLOOKUP($C385,'Seed History'!$Y$2:$AE$19,4)))</f>
        <v>2.7826086956521738</v>
      </c>
      <c r="W385" s="52">
        <f>((VLOOKUP($C385,'Seed History'!$Y$2:$AE$19,5)))</f>
        <v>0.125</v>
      </c>
      <c r="X385" s="52">
        <f>((VLOOKUP($C385,'Seed History'!$Y$2:$AE$19,6)))</f>
        <v>0</v>
      </c>
      <c r="Y385" s="52">
        <f>((VLOOKUP($C385,'Seed History'!$Y$2:$AE$19,7)))</f>
        <v>0</v>
      </c>
      <c r="Z385" s="52">
        <f>VLOOKUP('Value Matchup'!$D385,'Team History'!$B$3:$I$354,2)</f>
        <v>17</v>
      </c>
      <c r="AA385" s="52">
        <f>VLOOKUP('Value Matchup'!$D385,'Team History'!$B$3:$I$354,3)</f>
        <v>8</v>
      </c>
      <c r="AB385" s="52">
        <f>VLOOKUP('Value Matchup'!$D385,'Team History'!$B$3:$I$354,4)</f>
        <v>1</v>
      </c>
      <c r="AC385" s="52">
        <f>VLOOKUP('Value Matchup'!$D385,'Team History'!$B$3:$I$354,5)</f>
        <v>1</v>
      </c>
      <c r="AD385" s="52">
        <f>VLOOKUP('Value Matchup'!$D385,'Team History'!$B$3:$I$354,6)</f>
        <v>0</v>
      </c>
      <c r="AE385" s="52">
        <f>VLOOKUP('Value Matchup'!$D385,'Team History'!$B$3:$I$354,7)</f>
        <v>0</v>
      </c>
    </row>
    <row r="386" spans="1:31" ht="15.75" thickBot="1" x14ac:dyDescent="0.3">
      <c r="A386" s="102"/>
      <c r="B386" s="42">
        <v>31</v>
      </c>
      <c r="C386">
        <v>2</v>
      </c>
      <c r="D386" s="13" t="s">
        <v>113</v>
      </c>
      <c r="E386" s="52">
        <f t="shared" si="5"/>
        <v>449.33969657663215</v>
      </c>
      <c r="F386" s="52">
        <f t="shared" si="0"/>
        <v>232.93939597949776</v>
      </c>
      <c r="G386" s="52">
        <f t="shared" si="1"/>
        <v>168.03270445563152</v>
      </c>
      <c r="H386" s="52">
        <f t="shared" si="2"/>
        <v>89.268189412896376</v>
      </c>
      <c r="I386" s="52">
        <f t="shared" si="3"/>
        <v>71.696273826922948</v>
      </c>
      <c r="J386" s="52">
        <f t="shared" si="4"/>
        <v>63.486667949997916</v>
      </c>
      <c r="K386" s="46">
        <f>_xlfn.NORM.DIST(VLOOKUP('Value Matchup'!D386,Ranking!C:N,4),0,11.8,TRUE)</f>
        <v>0.98772162864304958</v>
      </c>
      <c r="L386" s="54">
        <f>(VLOOKUP($D386,'P Adv'!$B$3:$H$356,2))</f>
        <v>0.93</v>
      </c>
      <c r="M386" s="54">
        <f>(VLOOKUP($D386,'P Adv'!$B$3:$H$356,3))</f>
        <v>0.61</v>
      </c>
      <c r="N386" s="54">
        <f>(VLOOKUP($D386,'P Adv'!$B$3:$H$356,4))</f>
        <v>0.37</v>
      </c>
      <c r="O386" s="54">
        <f>(VLOOKUP($D386,'P Adv'!$B$3:$H$356,5))</f>
        <v>0.18</v>
      </c>
      <c r="P386" s="54">
        <f>(VLOOKUP($D386,'P Adv'!$B$3:$H$356,6))</f>
        <v>7.0000000000000007E-2</v>
      </c>
      <c r="Q386" s="54">
        <f>(VLOOKUP($D386,'P Adv'!$B$3:$H$356,7))</f>
        <v>0.03</v>
      </c>
      <c r="R386" s="53">
        <f>_xlfn.NORM.DIST(VLOOKUP(D386,PASE!B:C,2,FALSE),0,0.25,TRUE)</f>
        <v>0.656369006955273</v>
      </c>
      <c r="S386" s="51">
        <f>VLOOKUP('Value Matchup'!D386,'Team History'!$B$3:$I$354,8)</f>
        <v>36</v>
      </c>
      <c r="T386" s="52">
        <f>((VLOOKUP($C386,'Seed History'!$Y$2:$AE$19,2)))</f>
        <v>126.5625</v>
      </c>
      <c r="U386" s="52">
        <f>((VLOOKUP($C386,'Seed History'!$Y$2:$AE$19,3)))</f>
        <v>61.340740740740742</v>
      </c>
      <c r="V386" s="52">
        <f>((VLOOKUP($C386,'Seed History'!$Y$2:$AE$19,4)))</f>
        <v>46.428571428571431</v>
      </c>
      <c r="W386" s="52">
        <f>((VLOOKUP($C386,'Seed History'!$Y$2:$AE$19,5)))</f>
        <v>12.938461538461539</v>
      </c>
      <c r="X386" s="52">
        <f>((VLOOKUP($C386,'Seed History'!$Y$2:$AE$19,6)))</f>
        <v>5.8275862068965516</v>
      </c>
      <c r="Y386" s="52">
        <f>((VLOOKUP($C386,'Seed History'!$Y$2:$AE$19,7)))</f>
        <v>1.9230769230769231</v>
      </c>
      <c r="Z386" s="52">
        <f>VLOOKUP('Value Matchup'!$D386,'Team History'!$B$3:$I$354,2)</f>
        <v>12</v>
      </c>
      <c r="AA386" s="52">
        <f>VLOOKUP('Value Matchup'!$D386,'Team History'!$B$3:$I$354,3)</f>
        <v>6</v>
      </c>
      <c r="AB386" s="52">
        <f>VLOOKUP('Value Matchup'!$D386,'Team History'!$B$3:$I$354,4)</f>
        <v>1</v>
      </c>
      <c r="AC386" s="52">
        <f>VLOOKUP('Value Matchup'!$D386,'Team History'!$B$3:$I$354,5)</f>
        <v>0</v>
      </c>
      <c r="AD386" s="52">
        <f>VLOOKUP('Value Matchup'!$D386,'Team History'!$B$3:$I$354,6)</f>
        <v>0</v>
      </c>
      <c r="AE386" s="52">
        <f>VLOOKUP('Value Matchup'!$D386,'Team History'!$B$3:$I$354,7)</f>
        <v>0</v>
      </c>
    </row>
    <row r="387" spans="1:31" ht="15.75" thickBot="1" x14ac:dyDescent="0.3">
      <c r="A387" s="102"/>
      <c r="B387" s="42">
        <v>32</v>
      </c>
      <c r="C387">
        <v>15</v>
      </c>
      <c r="D387" s="13" t="s">
        <v>236</v>
      </c>
      <c r="E387" s="52">
        <f t="shared" si="5"/>
        <v>9.2356058948214415</v>
      </c>
      <c r="F387" s="52">
        <f t="shared" si="0"/>
        <v>8.569086194994437</v>
      </c>
      <c r="G387" s="52">
        <f t="shared" si="1"/>
        <v>8.1263061485868846</v>
      </c>
      <c r="H387" s="52">
        <f t="shared" si="2"/>
        <v>8.1263061485868846</v>
      </c>
      <c r="I387" s="52">
        <f t="shared" si="3"/>
        <v>8.1263061485868846</v>
      </c>
      <c r="J387" s="52">
        <f t="shared" si="4"/>
        <v>8.1263061485868846</v>
      </c>
      <c r="K387" s="46">
        <f>_xlfn.NORM.DIST(VLOOKUP('Value Matchup'!D387,Ranking!C:N,4),0,11.8,TRUE)</f>
        <v>0.51250715756903475</v>
      </c>
      <c r="L387" s="54">
        <f>(VLOOKUP($D387,'P Adv'!$B$3:$H$356,2))</f>
        <v>0.06</v>
      </c>
      <c r="M387" s="54">
        <f>(VLOOKUP($D387,'P Adv'!$B$3:$H$356,3))</f>
        <v>0.01</v>
      </c>
      <c r="N387" s="54">
        <f>(VLOOKUP($D387,'P Adv'!$B$3:$H$356,4))</f>
        <v>0</v>
      </c>
      <c r="O387" s="54">
        <f>(VLOOKUP($D387,'P Adv'!$B$3:$H$356,5))</f>
        <v>0</v>
      </c>
      <c r="P387" s="54">
        <f>(VLOOKUP($D387,'P Adv'!$B$3:$H$356,6))</f>
        <v>0</v>
      </c>
      <c r="Q387" s="54">
        <f>(VLOOKUP($D387,'P Adv'!$B$3:$H$356,7))</f>
        <v>0</v>
      </c>
      <c r="R387" s="53">
        <f>_xlfn.NORM.DIST(VLOOKUP(D387,PASE!B:C,2,FALSE),0,0.25,TRUE)</f>
        <v>0.2262479468479548</v>
      </c>
      <c r="S387" s="51">
        <f>VLOOKUP('Value Matchup'!D387,'Team History'!$B$3:$I$354,8)</f>
        <v>11</v>
      </c>
      <c r="T387" s="52">
        <f>((VLOOKUP($C387,'Seed History'!$Y$2:$AE$19,2)))</f>
        <v>0.5625</v>
      </c>
      <c r="U387" s="52">
        <f>((VLOOKUP($C387,'Seed History'!$Y$2:$AE$19,3)))</f>
        <v>0.44444444444444442</v>
      </c>
      <c r="V387" s="52">
        <f>((VLOOKUP($C387,'Seed History'!$Y$2:$AE$19,4)))</f>
        <v>0</v>
      </c>
      <c r="W387" s="52">
        <f>((VLOOKUP($C387,'Seed History'!$Y$2:$AE$19,5)))</f>
        <v>0</v>
      </c>
      <c r="X387" s="52">
        <f>((VLOOKUP($C387,'Seed History'!$Y$2:$AE$19,6)))</f>
        <v>0</v>
      </c>
      <c r="Y387" s="52">
        <f>((VLOOKUP($C387,'Seed History'!$Y$2:$AE$19,7)))</f>
        <v>0</v>
      </c>
      <c r="Z387" s="52">
        <f>VLOOKUP('Value Matchup'!$D387,'Team History'!$B$3:$I$354,2)</f>
        <v>0</v>
      </c>
      <c r="AA387" s="52">
        <f>VLOOKUP('Value Matchup'!$D387,'Team History'!$B$3:$I$354,3)</f>
        <v>0</v>
      </c>
      <c r="AB387" s="52">
        <f>VLOOKUP('Value Matchup'!$D387,'Team History'!$B$3:$I$354,4)</f>
        <v>0</v>
      </c>
      <c r="AC387" s="52">
        <f>VLOOKUP('Value Matchup'!$D387,'Team History'!$B$3:$I$354,5)</f>
        <v>0</v>
      </c>
      <c r="AD387" s="52">
        <f>VLOOKUP('Value Matchup'!$D387,'Team History'!$B$3:$I$354,6)</f>
        <v>0</v>
      </c>
      <c r="AE387" s="52">
        <f>VLOOKUP('Value Matchup'!$D387,'Team History'!$B$3:$I$354,7)</f>
        <v>0</v>
      </c>
    </row>
    <row r="388" spans="1:31" ht="15.75" thickBot="1" x14ac:dyDescent="0.3">
      <c r="A388" s="101" t="s">
        <v>1044</v>
      </c>
      <c r="B388" s="42">
        <v>33</v>
      </c>
      <c r="C388">
        <v>1</v>
      </c>
      <c r="D388" s="13" t="s">
        <v>46</v>
      </c>
      <c r="E388" s="52">
        <f t="shared" ref="E388:E423" si="6">($K388+L388+$R388)*($S388+T388+Z388)</f>
        <v>426.01329466329287</v>
      </c>
      <c r="F388" s="52">
        <f t="shared" ref="F388:F423" si="7">($K388+M388+$R388)*($S388+U388+AA388)</f>
        <v>307.39404939494415</v>
      </c>
      <c r="G388" s="52">
        <f t="shared" ref="G388:G423" si="8">($K388+N388+$R388)*($S388+V388+AB388)</f>
        <v>225.54290732717755</v>
      </c>
      <c r="H388" s="52">
        <f t="shared" ref="H388:H423" si="9">($K388+O388+$R388)*($S388+W388+AC388)</f>
        <v>113.85279152876504</v>
      </c>
      <c r="I388" s="52">
        <f t="shared" ref="I388:I423" si="10">($K388+P388+$R388)*($S388+X388+AD388)</f>
        <v>85.292101405271794</v>
      </c>
      <c r="J388" s="52">
        <f t="shared" ref="J388:J423" si="11">($K388+Q388+$R388)*($S388+Y388+AE388)</f>
        <v>70.261256784876082</v>
      </c>
      <c r="K388" s="46">
        <f>_xlfn.NORM.DIST(VLOOKUP('Value Matchup'!D388,Ranking!C:N,4),0,11.8,TRUE)</f>
        <v>0.99556402218912055</v>
      </c>
      <c r="L388" s="54">
        <f>(VLOOKUP($D388,'P Adv'!$B$3:$H$356,2))</f>
        <v>0.98</v>
      </c>
      <c r="M388" s="54">
        <f>(VLOOKUP($D388,'P Adv'!$B$3:$H$356,3))</f>
        <v>0.77</v>
      </c>
      <c r="N388" s="54">
        <f>(VLOOKUP($D388,'P Adv'!$B$3:$H$356,4))</f>
        <v>0.56000000000000005</v>
      </c>
      <c r="O388" s="54">
        <f>(VLOOKUP($D388,'P Adv'!$B$3:$H$356,5))</f>
        <v>0.38</v>
      </c>
      <c r="P388" s="54">
        <f>(VLOOKUP($D388,'P Adv'!$B$3:$H$356,6))</f>
        <v>0.25</v>
      </c>
      <c r="Q388" s="54">
        <f>(VLOOKUP($D388,'P Adv'!$B$3:$H$356,7))</f>
        <v>0.14000000000000001</v>
      </c>
      <c r="R388" s="53">
        <f>_xlfn.NORM.DIST(VLOOKUP(D388,PASE!B:C,2,FALSE),0,0.25,TRUE)</f>
        <v>0.41767572468070202</v>
      </c>
      <c r="S388" s="51">
        <f>VLOOKUP('Value Matchup'!D388,'Team History'!$B$3:$I$354,8)</f>
        <v>31</v>
      </c>
      <c r="T388" s="52">
        <f>((VLOOKUP($C388,'Seed History'!$Y$2:$AE$19,2)))</f>
        <v>142.00694444444446</v>
      </c>
      <c r="U388" s="52">
        <f>((VLOOKUP($C388,'Seed History'!$Y$2:$AE$19,3)))</f>
        <v>105.7972027972028</v>
      </c>
      <c r="V388" s="52">
        <f>((VLOOKUP($C388,'Seed History'!$Y$2:$AE$19,4)))</f>
        <v>81.300813008130078</v>
      </c>
      <c r="W388" s="52">
        <f>((VLOOKUP($C388,'Seed History'!$Y$2:$AE$19,5)))</f>
        <v>32.49</v>
      </c>
      <c r="X388" s="52">
        <f>((VLOOKUP($C388,'Seed History'!$Y$2:$AE$19,6)))</f>
        <v>20.280701754385966</v>
      </c>
      <c r="Y388" s="52">
        <f>((VLOOKUP($C388,'Seed History'!$Y$2:$AE$19,7)))</f>
        <v>14.235294117647058</v>
      </c>
      <c r="Z388" s="52">
        <f>VLOOKUP('Value Matchup'!$D388,'Team History'!$B$3:$I$354,2)</f>
        <v>5</v>
      </c>
      <c r="AA388" s="52">
        <f>VLOOKUP('Value Matchup'!$D388,'Team History'!$B$3:$I$354,3)</f>
        <v>4</v>
      </c>
      <c r="AB388" s="52">
        <f>VLOOKUP('Value Matchup'!$D388,'Team History'!$B$3:$I$354,4)</f>
        <v>2</v>
      </c>
      <c r="AC388" s="52">
        <f>VLOOKUP('Value Matchup'!$D388,'Team History'!$B$3:$I$354,5)</f>
        <v>0</v>
      </c>
      <c r="AD388" s="52">
        <f>VLOOKUP('Value Matchup'!$D388,'Team History'!$B$3:$I$354,6)</f>
        <v>0</v>
      </c>
      <c r="AE388" s="52">
        <f>VLOOKUP('Value Matchup'!$D388,'Team History'!$B$3:$I$354,7)</f>
        <v>0</v>
      </c>
    </row>
    <row r="389" spans="1:31" ht="15.75" thickBot="1" x14ac:dyDescent="0.3">
      <c r="A389" s="101"/>
      <c r="B389" s="42">
        <v>34</v>
      </c>
      <c r="C389" s="10">
        <v>16</v>
      </c>
      <c r="D389" s="13" t="s">
        <v>220</v>
      </c>
      <c r="E389" s="52">
        <f t="shared" si="6"/>
        <v>6.7717326206848836E-3</v>
      </c>
      <c r="F389" s="52">
        <f t="shared" si="7"/>
        <v>0</v>
      </c>
      <c r="G389" s="52">
        <f t="shared" si="8"/>
        <v>0</v>
      </c>
      <c r="H389" s="52">
        <f t="shared" si="9"/>
        <v>0</v>
      </c>
      <c r="I389" s="52">
        <f t="shared" si="10"/>
        <v>0</v>
      </c>
      <c r="J389" s="52">
        <f t="shared" si="11"/>
        <v>0</v>
      </c>
      <c r="K389" s="46">
        <f>_xlfn.NORM.DIST(VLOOKUP('Value Matchup'!D389,Ranking!C:N,4),0,11.8,TRUE)</f>
        <v>0.45512949737862329</v>
      </c>
      <c r="L389" s="54">
        <f>(VLOOKUP($D389,'P Adv'!$B$3:$H$356,2))</f>
        <v>0.02</v>
      </c>
      <c r="M389" s="54">
        <f>(VLOOKUP($D389,'P Adv'!$B$3:$H$356,3))</f>
        <v>0</v>
      </c>
      <c r="N389" s="54">
        <f>(VLOOKUP($D389,'P Adv'!$B$3:$H$356,4))</f>
        <v>0</v>
      </c>
      <c r="O389" s="54">
        <f>(VLOOKUP($D389,'P Adv'!$B$3:$H$356,5))</f>
        <v>0</v>
      </c>
      <c r="P389" s="54">
        <f>(VLOOKUP($D389,'P Adv'!$B$3:$H$356,6))</f>
        <v>0</v>
      </c>
      <c r="Q389" s="54">
        <f>(VLOOKUP($D389,'P Adv'!$B$3:$H$356,7))</f>
        <v>0</v>
      </c>
      <c r="R389" s="53">
        <f>_xlfn.NORM.DIST(VLOOKUP(D389,PASE!B:C,2,FALSE),0,0.25,TRUE)</f>
        <v>0.5</v>
      </c>
      <c r="S389" s="51">
        <f>VLOOKUP('Value Matchup'!D389,'Team History'!$B$3:$I$354,8)</f>
        <v>0</v>
      </c>
      <c r="T389" s="52">
        <f>((VLOOKUP($C389,'Seed History'!$Y$2:$AE$19,2)))</f>
        <v>6.9444444444444441E-3</v>
      </c>
      <c r="U389" s="52">
        <f>((VLOOKUP($C389,'Seed History'!$Y$2:$AE$19,3)))</f>
        <v>0</v>
      </c>
      <c r="V389" s="52">
        <f>((VLOOKUP($C389,'Seed History'!$Y$2:$AE$19,4)))</f>
        <v>0</v>
      </c>
      <c r="W389" s="52">
        <f>((VLOOKUP($C389,'Seed History'!$Y$2:$AE$19,5)))</f>
        <v>0</v>
      </c>
      <c r="X389" s="52">
        <f>((VLOOKUP($C389,'Seed History'!$Y$2:$AE$19,6)))</f>
        <v>0</v>
      </c>
      <c r="Y389" s="52">
        <f>((VLOOKUP($C389,'Seed History'!$Y$2:$AE$19,7)))</f>
        <v>0</v>
      </c>
      <c r="Z389" s="52">
        <f>VLOOKUP('Value Matchup'!$D389,'Team History'!$B$3:$I$354,2)</f>
        <v>0</v>
      </c>
      <c r="AA389" s="52">
        <f>VLOOKUP('Value Matchup'!$D389,'Team History'!$B$3:$I$354,3)</f>
        <v>0</v>
      </c>
      <c r="AB389" s="52">
        <f>VLOOKUP('Value Matchup'!$D389,'Team History'!$B$3:$I$354,4)</f>
        <v>0</v>
      </c>
      <c r="AC389" s="52">
        <f>VLOOKUP('Value Matchup'!$D389,'Team History'!$B$3:$I$354,5)</f>
        <v>0</v>
      </c>
      <c r="AD389" s="52">
        <f>VLOOKUP('Value Matchup'!$D389,'Team History'!$B$3:$I$354,6)</f>
        <v>0</v>
      </c>
      <c r="AE389" s="52">
        <f>VLOOKUP('Value Matchup'!$D389,'Team History'!$B$3:$I$354,7)</f>
        <v>0</v>
      </c>
    </row>
    <row r="390" spans="1:31" ht="15.75" thickBot="1" x14ac:dyDescent="0.3">
      <c r="A390" s="101"/>
      <c r="B390" s="42">
        <v>35</v>
      </c>
      <c r="C390">
        <v>8</v>
      </c>
      <c r="D390" s="13" t="s">
        <v>298</v>
      </c>
      <c r="E390" s="52">
        <f t="shared" si="6"/>
        <v>373.32640989390217</v>
      </c>
      <c r="F390" s="52">
        <f t="shared" si="7"/>
        <v>245.69668812635936</v>
      </c>
      <c r="G390" s="52">
        <f t="shared" si="8"/>
        <v>225.00187648220199</v>
      </c>
      <c r="H390" s="52">
        <f t="shared" si="9"/>
        <v>204.78262285896926</v>
      </c>
      <c r="I390" s="52">
        <f t="shared" si="10"/>
        <v>190.28361605741026</v>
      </c>
      <c r="J390" s="52">
        <f t="shared" si="11"/>
        <v>185.09703356223224</v>
      </c>
      <c r="K390" s="46">
        <f>_xlfn.NORM.DIST(VLOOKUP('Value Matchup'!D390,Ranking!C:N,4),0,11.8,TRUE)</f>
        <v>0.96564630087234871</v>
      </c>
      <c r="L390" s="54">
        <f>(VLOOKUP($D390,'P Adv'!$B$3:$H$356,2))</f>
        <v>0.5</v>
      </c>
      <c r="M390" s="54">
        <f>(VLOOKUP($D390,'P Adv'!$B$3:$H$356,3))</f>
        <v>0.19</v>
      </c>
      <c r="N390" s="54">
        <f>(VLOOKUP($D390,'P Adv'!$B$3:$H$356,4))</f>
        <v>0.09</v>
      </c>
      <c r="O390" s="54">
        <f>(VLOOKUP($D390,'P Adv'!$B$3:$H$356,5))</f>
        <v>0.03</v>
      </c>
      <c r="P390" s="54">
        <f>(VLOOKUP($D390,'P Adv'!$B$3:$H$356,6))</f>
        <v>0.01</v>
      </c>
      <c r="Q390" s="54">
        <f>(VLOOKUP($D390,'P Adv'!$B$3:$H$356,7))</f>
        <v>0</v>
      </c>
      <c r="R390" s="53">
        <f>_xlfn.NORM.DIST(VLOOKUP(D390,PASE!B:C,2,FALSE),0,0.25,TRUE)</f>
        <v>0.66756281879440649</v>
      </c>
      <c r="S390" s="51">
        <f>VLOOKUP('Value Matchup'!D390,'Team History'!$B$3:$I$354,8)</f>
        <v>113</v>
      </c>
      <c r="T390" s="52">
        <f>((VLOOKUP($C390,'Seed History'!$Y$2:$AE$19,2)))</f>
        <v>35.006944444444443</v>
      </c>
      <c r="U390" s="52">
        <f>((VLOOKUP($C390,'Seed History'!$Y$2:$AE$19,3)))</f>
        <v>2.76056338028169</v>
      </c>
      <c r="V390" s="52">
        <f>((VLOOKUP($C390,'Seed History'!$Y$2:$AE$19,4)))</f>
        <v>4.5714285714285712</v>
      </c>
      <c r="W390" s="52">
        <f>((VLOOKUP($C390,'Seed History'!$Y$2:$AE$19,5)))</f>
        <v>3.125</v>
      </c>
      <c r="X390" s="52">
        <f>((VLOOKUP($C390,'Seed History'!$Y$2:$AE$19,6)))</f>
        <v>1.8</v>
      </c>
      <c r="Y390" s="52">
        <f>((VLOOKUP($C390,'Seed History'!$Y$2:$AE$19,7)))</f>
        <v>0.33333333333333331</v>
      </c>
      <c r="Z390" s="52">
        <f>VLOOKUP('Value Matchup'!$D390,'Team History'!$B$3:$I$354,2)</f>
        <v>27</v>
      </c>
      <c r="AA390" s="52">
        <f>VLOOKUP('Value Matchup'!$D390,'Team History'!$B$3:$I$354,3)</f>
        <v>19</v>
      </c>
      <c r="AB390" s="52">
        <f>VLOOKUP('Value Matchup'!$D390,'Team History'!$B$3:$I$354,4)</f>
        <v>13</v>
      </c>
      <c r="AC390" s="52">
        <f>VLOOKUP('Value Matchup'!$D390,'Team History'!$B$3:$I$354,5)</f>
        <v>7</v>
      </c>
      <c r="AD390" s="52">
        <f>VLOOKUP('Value Matchup'!$D390,'Team History'!$B$3:$I$354,6)</f>
        <v>1</v>
      </c>
      <c r="AE390" s="52">
        <f>VLOOKUP('Value Matchup'!$D390,'Team History'!$B$3:$I$354,7)</f>
        <v>0</v>
      </c>
    </row>
    <row r="391" spans="1:31" ht="15.75" thickBot="1" x14ac:dyDescent="0.3">
      <c r="A391" s="101"/>
      <c r="B391" s="42">
        <v>36</v>
      </c>
      <c r="C391">
        <v>9</v>
      </c>
      <c r="D391" s="13" t="s">
        <v>39</v>
      </c>
      <c r="E391" s="52">
        <f t="shared" si="6"/>
        <v>304.09756896959505</v>
      </c>
      <c r="F391" s="52">
        <f t="shared" si="7"/>
        <v>173.94334162038686</v>
      </c>
      <c r="G391" s="52">
        <f t="shared" si="8"/>
        <v>156.10257501832785</v>
      </c>
      <c r="H391" s="52">
        <f t="shared" si="9"/>
        <v>145.56512000206544</v>
      </c>
      <c r="I391" s="52">
        <f t="shared" si="10"/>
        <v>139.07535922530627</v>
      </c>
      <c r="J391" s="52">
        <f t="shared" si="11"/>
        <v>136.48102110230218</v>
      </c>
      <c r="K391" s="46">
        <f>_xlfn.NORM.DIST(VLOOKUP('Value Matchup'!D391,Ranking!C:N,4),0,11.8,TRUE)</f>
        <v>0.97923181277475824</v>
      </c>
      <c r="L391" s="54">
        <f>(VLOOKUP($D391,'P Adv'!$B$3:$H$356,2))</f>
        <v>0.55000000000000004</v>
      </c>
      <c r="M391" s="54">
        <f>(VLOOKUP($D391,'P Adv'!$B$3:$H$356,3))</f>
        <v>0.21</v>
      </c>
      <c r="N391" s="54">
        <f>(VLOOKUP($D391,'P Adv'!$B$3:$H$356,4))</f>
        <v>0.1</v>
      </c>
      <c r="O391" s="54">
        <f>(VLOOKUP($D391,'P Adv'!$B$3:$H$356,5))</f>
        <v>0.04</v>
      </c>
      <c r="P391" s="54">
        <f>(VLOOKUP($D391,'P Adv'!$B$3:$H$356,6))</f>
        <v>0.01</v>
      </c>
      <c r="Q391" s="54">
        <f>(VLOOKUP($D391,'P Adv'!$B$3:$H$356,7))</f>
        <v>0</v>
      </c>
      <c r="R391" s="53">
        <f>_xlfn.NORM.DIST(VLOOKUP(D391,PASE!B:C,2,FALSE),0,0.25,TRUE)</f>
        <v>0.86510631022932538</v>
      </c>
      <c r="S391" s="51">
        <f>VLOOKUP('Value Matchup'!D391,'Team History'!$B$3:$I$354,8)</f>
        <v>74</v>
      </c>
      <c r="T391" s="52">
        <f>((VLOOKUP($C391,'Seed History'!$Y$2:$AE$19,2)))</f>
        <v>37.006944444444443</v>
      </c>
      <c r="U391" s="52">
        <f>((VLOOKUP($C391,'Seed History'!$Y$2:$AE$19,3)))</f>
        <v>0.67123287671232879</v>
      </c>
      <c r="V391" s="52">
        <f>((VLOOKUP($C391,'Seed History'!$Y$2:$AE$19,4)))</f>
        <v>2.2857142857142856</v>
      </c>
      <c r="W391" s="52">
        <f>((VLOOKUP($C391,'Seed History'!$Y$2:$AE$19,5)))</f>
        <v>0.25</v>
      </c>
      <c r="X391" s="52">
        <f>((VLOOKUP($C391,'Seed History'!$Y$2:$AE$19,6)))</f>
        <v>0</v>
      </c>
      <c r="Y391" s="52">
        <f>((VLOOKUP($C391,'Seed History'!$Y$2:$AE$19,7)))</f>
        <v>0</v>
      </c>
      <c r="Z391" s="52">
        <f>VLOOKUP('Value Matchup'!$D391,'Team History'!$B$3:$I$354,2)</f>
        <v>16</v>
      </c>
      <c r="AA391" s="52">
        <f>VLOOKUP('Value Matchup'!$D391,'Team History'!$B$3:$I$354,3)</f>
        <v>10</v>
      </c>
      <c r="AB391" s="52">
        <f>VLOOKUP('Value Matchup'!$D391,'Team History'!$B$3:$I$354,4)</f>
        <v>4</v>
      </c>
      <c r="AC391" s="52">
        <f>VLOOKUP('Value Matchup'!$D391,'Team History'!$B$3:$I$354,5)</f>
        <v>3</v>
      </c>
      <c r="AD391" s="52">
        <f>VLOOKUP('Value Matchup'!$D391,'Team History'!$B$3:$I$354,6)</f>
        <v>1</v>
      </c>
      <c r="AE391" s="52">
        <f>VLOOKUP('Value Matchup'!$D391,'Team History'!$B$3:$I$354,7)</f>
        <v>0</v>
      </c>
    </row>
    <row r="392" spans="1:31" ht="15.75" thickBot="1" x14ac:dyDescent="0.3">
      <c r="A392" s="101"/>
      <c r="B392" s="42">
        <v>37</v>
      </c>
      <c r="C392">
        <v>5</v>
      </c>
      <c r="D392" s="13" t="s">
        <v>50</v>
      </c>
      <c r="E392" s="52">
        <f t="shared" si="6"/>
        <v>237.7098870838027</v>
      </c>
      <c r="F392" s="52">
        <f t="shared" si="7"/>
        <v>126.69424462606952</v>
      </c>
      <c r="G392" s="52">
        <f t="shared" si="8"/>
        <v>70.420522470081352</v>
      </c>
      <c r="H392" s="52">
        <f t="shared" si="9"/>
        <v>64.649730598908405</v>
      </c>
      <c r="I392" s="52">
        <f t="shared" si="10"/>
        <v>55.566884405134296</v>
      </c>
      <c r="J392" s="52">
        <f t="shared" si="11"/>
        <v>52.197313507609053</v>
      </c>
      <c r="K392" s="46">
        <f>_xlfn.NORM.DIST(VLOOKUP('Value Matchup'!D392,Ranking!C:N,4),0,11.8,TRUE)</f>
        <v>0.97910439042746744</v>
      </c>
      <c r="L392" s="54">
        <f>(VLOOKUP($D392,'P Adv'!$B$3:$H$356,2))</f>
        <v>0.88</v>
      </c>
      <c r="M392" s="54">
        <f>(VLOOKUP($D392,'P Adv'!$B$3:$H$356,3))</f>
        <v>0.54</v>
      </c>
      <c r="N392" s="54">
        <f>(VLOOKUP($D392,'P Adv'!$B$3:$H$356,4))</f>
        <v>0.27</v>
      </c>
      <c r="O392" s="54">
        <f>(VLOOKUP($D392,'P Adv'!$B$3:$H$356,5))</f>
        <v>0.12</v>
      </c>
      <c r="P392" s="54">
        <f>(VLOOKUP($D392,'P Adv'!$B$3:$H$356,6))</f>
        <v>0.06</v>
      </c>
      <c r="Q392" s="54">
        <f>(VLOOKUP($D392,'P Adv'!$B$3:$H$356,7))</f>
        <v>0.02</v>
      </c>
      <c r="R392" s="53">
        <f>_xlfn.NORM.DIST(VLOOKUP(D392,PASE!B:C,2,FALSE),0,0.25,TRUE)</f>
        <v>8.8339640981054415E-2</v>
      </c>
      <c r="S392" s="51">
        <f>VLOOKUP('Value Matchup'!D392,'Team History'!$B$3:$I$354,8)</f>
        <v>48</v>
      </c>
      <c r="T392" s="52">
        <f>((VLOOKUP($C392,'Seed History'!$Y$2:$AE$19,2)))</f>
        <v>60.0625</v>
      </c>
      <c r="U392" s="52">
        <f>((VLOOKUP($C392,'Seed History'!$Y$2:$AE$19,3)))</f>
        <v>25.817204301075268</v>
      </c>
      <c r="V392" s="52">
        <f>((VLOOKUP($C392,'Seed History'!$Y$2:$AE$19,4)))</f>
        <v>1.653061224489796</v>
      </c>
      <c r="W392" s="52">
        <f>((VLOOKUP($C392,'Seed History'!$Y$2:$AE$19,5)))</f>
        <v>5.4444444444444446</v>
      </c>
      <c r="X392" s="52">
        <f>((VLOOKUP($C392,'Seed History'!$Y$2:$AE$19,6)))</f>
        <v>1.2857142857142858</v>
      </c>
      <c r="Y392" s="52">
        <f>((VLOOKUP($C392,'Seed History'!$Y$2:$AE$19,7)))</f>
        <v>0</v>
      </c>
      <c r="Z392" s="52">
        <f>VLOOKUP('Value Matchup'!$D392,'Team History'!$B$3:$I$354,2)</f>
        <v>14</v>
      </c>
      <c r="AA392" s="52">
        <f>VLOOKUP('Value Matchup'!$D392,'Team History'!$B$3:$I$354,3)</f>
        <v>5</v>
      </c>
      <c r="AB392" s="52">
        <f>VLOOKUP('Value Matchup'!$D392,'Team History'!$B$3:$I$354,4)</f>
        <v>3</v>
      </c>
      <c r="AC392" s="52">
        <f>VLOOKUP('Value Matchup'!$D392,'Team History'!$B$3:$I$354,5)</f>
        <v>1</v>
      </c>
      <c r="AD392" s="52">
        <f>VLOOKUP('Value Matchup'!$D392,'Team History'!$B$3:$I$354,6)</f>
        <v>0</v>
      </c>
      <c r="AE392" s="52">
        <f>VLOOKUP('Value Matchup'!$D392,'Team History'!$B$3:$I$354,7)</f>
        <v>0</v>
      </c>
    </row>
    <row r="393" spans="1:31" ht="15.75" thickBot="1" x14ac:dyDescent="0.3">
      <c r="A393" s="101"/>
      <c r="B393" s="42">
        <v>38</v>
      </c>
      <c r="C393">
        <v>12</v>
      </c>
      <c r="D393" s="13" t="s">
        <v>419</v>
      </c>
      <c r="E393" s="52">
        <f t="shared" si="6"/>
        <v>41.82055807277527</v>
      </c>
      <c r="F393" s="52">
        <f t="shared" si="7"/>
        <v>25.840604988659347</v>
      </c>
      <c r="G393" s="52">
        <f t="shared" si="8"/>
        <v>13.654346680631585</v>
      </c>
      <c r="H393" s="52">
        <f t="shared" si="9"/>
        <v>13.432324783385543</v>
      </c>
      <c r="I393" s="52">
        <f t="shared" si="10"/>
        <v>13.432324783385543</v>
      </c>
      <c r="J393" s="52">
        <f t="shared" si="11"/>
        <v>13.432324783385543</v>
      </c>
      <c r="K393" s="46">
        <f>_xlfn.NORM.DIST(VLOOKUP('Value Matchup'!D393,Ranking!C:N,4),0,11.8,TRUE)</f>
        <v>0.80955868741801229</v>
      </c>
      <c r="L393" s="54">
        <f>(VLOOKUP($D393,'P Adv'!$B$3:$H$356,2))</f>
        <v>0.17</v>
      </c>
      <c r="M393" s="54">
        <f>(VLOOKUP($D393,'P Adv'!$B$3:$H$356,3))</f>
        <v>0.04</v>
      </c>
      <c r="N393" s="54">
        <f>(VLOOKUP($D393,'P Adv'!$B$3:$H$356,4))</f>
        <v>0</v>
      </c>
      <c r="O393" s="54">
        <f>(VLOOKUP($D393,'P Adv'!$B$3:$H$356,5))</f>
        <v>0</v>
      </c>
      <c r="P393" s="54">
        <f>(VLOOKUP($D393,'P Adv'!$B$3:$H$356,6))</f>
        <v>0</v>
      </c>
      <c r="Q393" s="54">
        <f>(VLOOKUP($D393,'P Adv'!$B$3:$H$356,7))</f>
        <v>0</v>
      </c>
      <c r="R393" s="53">
        <f>_xlfn.NORM.DIST(VLOOKUP(D393,PASE!B:C,2,FALSE),0,0.25,TRUE)</f>
        <v>0.41156174743521895</v>
      </c>
      <c r="S393" s="51">
        <f>VLOOKUP('Value Matchup'!D393,'Team History'!$B$3:$I$354,8)</f>
        <v>11</v>
      </c>
      <c r="T393" s="52">
        <f>((VLOOKUP($C393,'Seed History'!$Y$2:$AE$19,2)))</f>
        <v>18.0625</v>
      </c>
      <c r="U393" s="52">
        <f>((VLOOKUP($C393,'Seed History'!$Y$2:$AE$19,3)))</f>
        <v>9.4901960784313726</v>
      </c>
      <c r="V393" s="52">
        <f>((VLOOKUP($C393,'Seed History'!$Y$2:$AE$19,4)))</f>
        <v>0.18181818181818182</v>
      </c>
      <c r="W393" s="52">
        <f>((VLOOKUP($C393,'Seed History'!$Y$2:$AE$19,5)))</f>
        <v>0</v>
      </c>
      <c r="X393" s="52">
        <f>((VLOOKUP($C393,'Seed History'!$Y$2:$AE$19,6)))</f>
        <v>0</v>
      </c>
      <c r="Y393" s="52">
        <f>((VLOOKUP($C393,'Seed History'!$Y$2:$AE$19,7)))</f>
        <v>0</v>
      </c>
      <c r="Z393" s="52">
        <f>VLOOKUP('Value Matchup'!$D393,'Team History'!$B$3:$I$354,2)</f>
        <v>1</v>
      </c>
      <c r="AA393" s="52">
        <f>VLOOKUP('Value Matchup'!$D393,'Team History'!$B$3:$I$354,3)</f>
        <v>0</v>
      </c>
      <c r="AB393" s="52">
        <f>VLOOKUP('Value Matchup'!$D393,'Team History'!$B$3:$I$354,4)</f>
        <v>0</v>
      </c>
      <c r="AC393" s="52">
        <f>VLOOKUP('Value Matchup'!$D393,'Team History'!$B$3:$I$354,5)</f>
        <v>0</v>
      </c>
      <c r="AD393" s="52">
        <f>VLOOKUP('Value Matchup'!$D393,'Team History'!$B$3:$I$354,6)</f>
        <v>0</v>
      </c>
      <c r="AE393" s="52">
        <f>VLOOKUP('Value Matchup'!$D393,'Team History'!$B$3:$I$354,7)</f>
        <v>0</v>
      </c>
    </row>
    <row r="394" spans="1:31" ht="15.75" thickBot="1" x14ac:dyDescent="0.3">
      <c r="A394" s="101"/>
      <c r="B394" s="42">
        <v>39</v>
      </c>
      <c r="C394">
        <v>4</v>
      </c>
      <c r="D394" s="13" t="s">
        <v>29</v>
      </c>
      <c r="E394" s="52">
        <f t="shared" si="6"/>
        <v>353.57168131255355</v>
      </c>
      <c r="F394" s="52">
        <f t="shared" si="7"/>
        <v>188.80251872314483</v>
      </c>
      <c r="G394" s="52">
        <f t="shared" si="8"/>
        <v>104.37690229230014</v>
      </c>
      <c r="H394" s="52">
        <f t="shared" si="9"/>
        <v>93.779109879473026</v>
      </c>
      <c r="I394" s="52">
        <f t="shared" si="10"/>
        <v>82.113549611111381</v>
      </c>
      <c r="J394" s="52">
        <f t="shared" si="11"/>
        <v>80.993245042901165</v>
      </c>
      <c r="K394" s="46">
        <f>_xlfn.NORM.DIST(VLOOKUP('Value Matchup'!D394,Ranking!C:N,4),0,11.8,TRUE)</f>
        <v>0.97752300601897579</v>
      </c>
      <c r="L394" s="54">
        <f>(VLOOKUP($D394,'P Adv'!$B$3:$H$356,2))</f>
        <v>0.82</v>
      </c>
      <c r="M394" s="54">
        <f>(VLOOKUP($D394,'P Adv'!$B$3:$H$356,3))</f>
        <v>0.44</v>
      </c>
      <c r="N394" s="54">
        <f>(VLOOKUP($D394,'P Adv'!$B$3:$H$356,4))</f>
        <v>0.17</v>
      </c>
      <c r="O394" s="54">
        <f>(VLOOKUP($D394,'P Adv'!$B$3:$H$356,5))</f>
        <v>0.06</v>
      </c>
      <c r="P394" s="54">
        <f>(VLOOKUP($D394,'P Adv'!$B$3:$H$356,6))</f>
        <v>0.02</v>
      </c>
      <c r="Q394" s="54">
        <f>(VLOOKUP($D394,'P Adv'!$B$3:$H$356,7))</f>
        <v>0.01</v>
      </c>
      <c r="R394" s="53">
        <f>_xlfn.NORM.DIST(VLOOKUP(D394,PASE!B:C,2,FALSE),0,0.25,TRUE)</f>
        <v>0.16403971970947678</v>
      </c>
      <c r="S394" s="51">
        <f>VLOOKUP('Value Matchup'!D394,'Team History'!$B$3:$I$354,8)</f>
        <v>70</v>
      </c>
      <c r="T394" s="52">
        <f>((VLOOKUP($C394,'Seed History'!$Y$2:$AE$19,2)))</f>
        <v>90.25</v>
      </c>
      <c r="U394" s="52">
        <f>((VLOOKUP($C394,'Seed History'!$Y$2:$AE$19,3)))</f>
        <v>39.377192982456137</v>
      </c>
      <c r="V394" s="52">
        <f>((VLOOKUP($C394,'Seed History'!$Y$2:$AE$19,4)))</f>
        <v>6.5820895522388057</v>
      </c>
      <c r="W394" s="52">
        <f>((VLOOKUP($C394,'Seed History'!$Y$2:$AE$19,5)))</f>
        <v>8.0476190476190474</v>
      </c>
      <c r="X394" s="52">
        <f>((VLOOKUP($C394,'Seed History'!$Y$2:$AE$19,6)))</f>
        <v>0.69230769230769229</v>
      </c>
      <c r="Y394" s="52">
        <f>((VLOOKUP($C394,'Seed History'!$Y$2:$AE$19,7)))</f>
        <v>0.33333333333333331</v>
      </c>
      <c r="Z394" s="52">
        <f>VLOOKUP('Value Matchup'!$D394,'Team History'!$B$3:$I$354,2)</f>
        <v>20</v>
      </c>
      <c r="AA394" s="52">
        <f>VLOOKUP('Value Matchup'!$D394,'Team History'!$B$3:$I$354,3)</f>
        <v>10</v>
      </c>
      <c r="AB394" s="52">
        <f>VLOOKUP('Value Matchup'!$D394,'Team History'!$B$3:$I$354,4)</f>
        <v>3</v>
      </c>
      <c r="AC394" s="52">
        <f>VLOOKUP('Value Matchup'!$D394,'Team History'!$B$3:$I$354,5)</f>
        <v>0</v>
      </c>
      <c r="AD394" s="52">
        <f>VLOOKUP('Value Matchup'!$D394,'Team History'!$B$3:$I$354,6)</f>
        <v>0</v>
      </c>
      <c r="AE394" s="52">
        <f>VLOOKUP('Value Matchup'!$D394,'Team History'!$B$3:$I$354,7)</f>
        <v>0</v>
      </c>
    </row>
    <row r="395" spans="1:31" ht="15.75" thickBot="1" x14ac:dyDescent="0.3">
      <c r="A395" s="101"/>
      <c r="B395" s="42">
        <v>40</v>
      </c>
      <c r="C395">
        <v>13</v>
      </c>
      <c r="D395" s="13" t="s">
        <v>305</v>
      </c>
      <c r="E395" s="52">
        <f t="shared" si="6"/>
        <v>14.430992124023598</v>
      </c>
      <c r="F395" s="52">
        <f t="shared" si="7"/>
        <v>5.5419630339685142</v>
      </c>
      <c r="G395" s="52">
        <f t="shared" si="8"/>
        <v>3.8153686989075339</v>
      </c>
      <c r="H395" s="52">
        <f t="shared" si="9"/>
        <v>3.7853686989075341</v>
      </c>
      <c r="I395" s="52">
        <f t="shared" si="10"/>
        <v>3.7853686989075341</v>
      </c>
      <c r="J395" s="52">
        <f t="shared" si="11"/>
        <v>3.7853686989075341</v>
      </c>
      <c r="K395" s="46">
        <f>_xlfn.NORM.DIST(VLOOKUP('Value Matchup'!D395,Ranking!C:N,4),0,11.8,TRUE)</f>
        <v>0.8661715434841083</v>
      </c>
      <c r="L395" s="54">
        <f>(VLOOKUP($D395,'P Adv'!$B$3:$H$356,2))</f>
        <v>0.23</v>
      </c>
      <c r="M395" s="54">
        <f>(VLOOKUP($D395,'P Adv'!$B$3:$H$356,3))</f>
        <v>7.0000000000000007E-2</v>
      </c>
      <c r="N395" s="54">
        <f>(VLOOKUP($D395,'P Adv'!$B$3:$H$356,4))</f>
        <v>0.01</v>
      </c>
      <c r="O395" s="54">
        <f>(VLOOKUP($D395,'P Adv'!$B$3:$H$356,5))</f>
        <v>0</v>
      </c>
      <c r="P395" s="54">
        <f>(VLOOKUP($D395,'P Adv'!$B$3:$H$356,6))</f>
        <v>0</v>
      </c>
      <c r="Q395" s="54">
        <f>(VLOOKUP($D395,'P Adv'!$B$3:$H$356,7))</f>
        <v>0</v>
      </c>
      <c r="R395" s="53">
        <f>_xlfn.NORM.DIST(VLOOKUP(D395,PASE!B:C,2,FALSE),0,0.25,TRUE)</f>
        <v>0.39561802281840308</v>
      </c>
      <c r="S395" s="51">
        <f>VLOOKUP('Value Matchup'!D395,'Team History'!$B$3:$I$354,8)</f>
        <v>3</v>
      </c>
      <c r="T395" s="52">
        <f>((VLOOKUP($C395,'Seed History'!$Y$2:$AE$19,2)))</f>
        <v>6.6736111111111107</v>
      </c>
      <c r="U395" s="52">
        <f>((VLOOKUP($C395,'Seed History'!$Y$2:$AE$19,3)))</f>
        <v>1.1612903225806452</v>
      </c>
      <c r="V395" s="52">
        <f>((VLOOKUP($C395,'Seed History'!$Y$2:$AE$19,4)))</f>
        <v>0</v>
      </c>
      <c r="W395" s="52">
        <f>((VLOOKUP($C395,'Seed History'!$Y$2:$AE$19,5)))</f>
        <v>0</v>
      </c>
      <c r="X395" s="52">
        <f>((VLOOKUP($C395,'Seed History'!$Y$2:$AE$19,6)))</f>
        <v>0</v>
      </c>
      <c r="Y395" s="52">
        <f>((VLOOKUP($C395,'Seed History'!$Y$2:$AE$19,7)))</f>
        <v>0</v>
      </c>
      <c r="Z395" s="52">
        <f>VLOOKUP('Value Matchup'!$D395,'Team History'!$B$3:$I$354,2)</f>
        <v>0</v>
      </c>
      <c r="AA395" s="52">
        <f>VLOOKUP('Value Matchup'!$D395,'Team History'!$B$3:$I$354,3)</f>
        <v>0</v>
      </c>
      <c r="AB395" s="52">
        <f>VLOOKUP('Value Matchup'!$D395,'Team History'!$B$3:$I$354,4)</f>
        <v>0</v>
      </c>
      <c r="AC395" s="52">
        <f>VLOOKUP('Value Matchup'!$D395,'Team History'!$B$3:$I$354,5)</f>
        <v>0</v>
      </c>
      <c r="AD395" s="52">
        <f>VLOOKUP('Value Matchup'!$D395,'Team History'!$B$3:$I$354,6)</f>
        <v>0</v>
      </c>
      <c r="AE395" s="52">
        <f>VLOOKUP('Value Matchup'!$D395,'Team History'!$B$3:$I$354,7)</f>
        <v>0</v>
      </c>
    </row>
    <row r="396" spans="1:31" ht="15.75" thickBot="1" x14ac:dyDescent="0.3">
      <c r="A396" s="101"/>
      <c r="B396" s="42">
        <v>41</v>
      </c>
      <c r="C396">
        <v>6</v>
      </c>
      <c r="D396" s="13" t="s">
        <v>92</v>
      </c>
      <c r="E396" s="52">
        <f t="shared" si="6"/>
        <v>212.352999774887</v>
      </c>
      <c r="F396" s="52">
        <f t="shared" si="7"/>
        <v>110.0310941781492</v>
      </c>
      <c r="G396" s="52">
        <f t="shared" si="8"/>
        <v>70.932879584266573</v>
      </c>
      <c r="H396" s="52">
        <f t="shared" si="9"/>
        <v>58.061154963454854</v>
      </c>
      <c r="I396" s="52">
        <f t="shared" si="10"/>
        <v>57.955029377339791</v>
      </c>
      <c r="J396" s="52">
        <f t="shared" si="11"/>
        <v>54.535343342627463</v>
      </c>
      <c r="K396" s="46">
        <f>_xlfn.NORM.DIST(VLOOKUP('Value Matchup'!D396,Ranking!C:N,4),0,11.8,TRUE)</f>
        <v>0.97049612519872908</v>
      </c>
      <c r="L396" s="54">
        <f>(VLOOKUP($D396,'P Adv'!$B$3:$H$356,2))</f>
        <v>0.64</v>
      </c>
      <c r="M396" s="54">
        <f>(VLOOKUP($D396,'P Adv'!$B$3:$H$356,3))</f>
        <v>0.27</v>
      </c>
      <c r="N396" s="54">
        <f>(VLOOKUP($D396,'P Adv'!$B$3:$H$356,4))</f>
        <v>0.14000000000000001</v>
      </c>
      <c r="O396" s="54">
        <f>(VLOOKUP($D396,'P Adv'!$B$3:$H$356,5))</f>
        <v>0.06</v>
      </c>
      <c r="P396" s="54">
        <f>(VLOOKUP($D396,'P Adv'!$B$3:$H$356,6))</f>
        <v>0.02</v>
      </c>
      <c r="Q396" s="54">
        <f>(VLOOKUP($D396,'P Adv'!$B$3:$H$356,7))</f>
        <v>0.01</v>
      </c>
      <c r="R396" s="53">
        <f>_xlfn.NORM.DIST(VLOOKUP(D396,PASE!B:C,2,FALSE),0,0.25,TRUE)</f>
        <v>0.69751443918980827</v>
      </c>
      <c r="S396" s="51">
        <f>VLOOKUP('Value Matchup'!D396,'Team History'!$B$3:$I$354,8)</f>
        <v>32</v>
      </c>
      <c r="T396" s="52">
        <f>((VLOOKUP($C396,'Seed History'!$Y$2:$AE$19,2)))</f>
        <v>55.006944444444443</v>
      </c>
      <c r="U396" s="52">
        <f>((VLOOKUP($C396,'Seed History'!$Y$2:$AE$19,3)))</f>
        <v>20.775280898876403</v>
      </c>
      <c r="V396" s="52">
        <f>((VLOOKUP($C396,'Seed History'!$Y$2:$AE$19,4)))</f>
        <v>5.2325581395348841</v>
      </c>
      <c r="W396" s="52">
        <f>((VLOOKUP($C396,'Seed History'!$Y$2:$AE$19,5)))</f>
        <v>0.6</v>
      </c>
      <c r="X396" s="52">
        <f>((VLOOKUP($C396,'Seed History'!$Y$2:$AE$19,6)))</f>
        <v>1.3333333333333333</v>
      </c>
      <c r="Y396" s="52">
        <f>((VLOOKUP($C396,'Seed History'!$Y$2:$AE$19,7)))</f>
        <v>0.5</v>
      </c>
      <c r="Z396" s="52">
        <f>VLOOKUP('Value Matchup'!$D396,'Team History'!$B$3:$I$354,2)</f>
        <v>5</v>
      </c>
      <c r="AA396" s="52">
        <f>VLOOKUP('Value Matchup'!$D396,'Team History'!$B$3:$I$354,3)</f>
        <v>4</v>
      </c>
      <c r="AB396" s="52">
        <f>VLOOKUP('Value Matchup'!$D396,'Team History'!$B$3:$I$354,4)</f>
        <v>2</v>
      </c>
      <c r="AC396" s="52">
        <f>VLOOKUP('Value Matchup'!$D396,'Team History'!$B$3:$I$354,5)</f>
        <v>1</v>
      </c>
      <c r="AD396" s="52">
        <f>VLOOKUP('Value Matchup'!$D396,'Team History'!$B$3:$I$354,6)</f>
        <v>1</v>
      </c>
      <c r="AE396" s="52">
        <f>VLOOKUP('Value Matchup'!$D396,'Team History'!$B$3:$I$354,7)</f>
        <v>0</v>
      </c>
    </row>
    <row r="397" spans="1:31" ht="15.75" thickBot="1" x14ac:dyDescent="0.3">
      <c r="A397" s="101"/>
      <c r="B397" s="42">
        <v>42</v>
      </c>
      <c r="C397">
        <v>11</v>
      </c>
      <c r="D397" s="13" t="s">
        <v>400</v>
      </c>
      <c r="E397" s="52">
        <f t="shared" si="6"/>
        <v>33.647567779688522</v>
      </c>
      <c r="F397" s="52">
        <f t="shared" si="7"/>
        <v>22.937690315978138</v>
      </c>
      <c r="G397" s="52">
        <f t="shared" si="8"/>
        <v>15.558837732713112</v>
      </c>
      <c r="H397" s="52">
        <f t="shared" si="9"/>
        <v>13.942517643045537</v>
      </c>
      <c r="I397" s="52">
        <f t="shared" si="10"/>
        <v>12.143483108459016</v>
      </c>
      <c r="J397" s="52">
        <f t="shared" si="11"/>
        <v>12.143483108459016</v>
      </c>
      <c r="K397" s="46">
        <f>_xlfn.NORM.DIST(VLOOKUP('Value Matchup'!D397,Ranking!C:N,4),0,11.8,TRUE)</f>
        <v>0.93536023883434194</v>
      </c>
      <c r="L397" s="54">
        <f>(VLOOKUP($D397,'P Adv'!$B$3:$H$356,2))</f>
        <v>0</v>
      </c>
      <c r="M397" s="54">
        <f>(VLOOKUP($D397,'P Adv'!$B$3:$H$356,3))</f>
        <v>0</v>
      </c>
      <c r="N397" s="54">
        <f>(VLOOKUP($D397,'P Adv'!$B$3:$H$356,4))</f>
        <v>0</v>
      </c>
      <c r="O397" s="54">
        <f>(VLOOKUP($D397,'P Adv'!$B$3:$H$356,5))</f>
        <v>0</v>
      </c>
      <c r="P397" s="54">
        <f>(VLOOKUP($D397,'P Adv'!$B$3:$H$356,6))</f>
        <v>0</v>
      </c>
      <c r="Q397" s="54">
        <f>(VLOOKUP($D397,'P Adv'!$B$3:$H$356,7))</f>
        <v>0</v>
      </c>
      <c r="R397" s="53">
        <f>_xlfn.NORM.DIST(VLOOKUP(D397,PASE!B:C,2,FALSE),0,0.25,TRUE)</f>
        <v>7.6596686870575997E-2</v>
      </c>
      <c r="S397" s="51">
        <f>VLOOKUP('Value Matchup'!D397,'Team History'!$B$3:$I$354,8)</f>
        <v>12</v>
      </c>
      <c r="T397" s="52">
        <f>((VLOOKUP($C397,'Seed History'!$Y$2:$AE$19,2)))</f>
        <v>20.25</v>
      </c>
      <c r="U397" s="52">
        <f>((VLOOKUP($C397,'Seed History'!$Y$2:$AE$19,3)))</f>
        <v>10.666666666666666</v>
      </c>
      <c r="V397" s="52">
        <f>((VLOOKUP($C397,'Seed History'!$Y$2:$AE$19,4)))</f>
        <v>3.375</v>
      </c>
      <c r="W397" s="52">
        <f>((VLOOKUP($C397,'Seed History'!$Y$2:$AE$19,5)))</f>
        <v>1.7777777777777777</v>
      </c>
      <c r="X397" s="52">
        <f>((VLOOKUP($C397,'Seed History'!$Y$2:$AE$19,6)))</f>
        <v>0</v>
      </c>
      <c r="Y397" s="52">
        <f>((VLOOKUP($C397,'Seed History'!$Y$2:$AE$19,7)))</f>
        <v>0</v>
      </c>
      <c r="Z397" s="52">
        <f>VLOOKUP('Value Matchup'!$D397,'Team History'!$B$3:$I$354,2)</f>
        <v>1</v>
      </c>
      <c r="AA397" s="52">
        <f>VLOOKUP('Value Matchup'!$D397,'Team History'!$B$3:$I$354,3)</f>
        <v>0</v>
      </c>
      <c r="AB397" s="52">
        <f>VLOOKUP('Value Matchup'!$D397,'Team History'!$B$3:$I$354,4)</f>
        <v>0</v>
      </c>
      <c r="AC397" s="52">
        <f>VLOOKUP('Value Matchup'!$D397,'Team History'!$B$3:$I$354,5)</f>
        <v>0</v>
      </c>
      <c r="AD397" s="52">
        <f>VLOOKUP('Value Matchup'!$D397,'Team History'!$B$3:$I$354,6)</f>
        <v>0</v>
      </c>
      <c r="AE397" s="52">
        <f>VLOOKUP('Value Matchup'!$D397,'Team History'!$B$3:$I$354,7)</f>
        <v>0</v>
      </c>
    </row>
    <row r="398" spans="1:31" ht="15.75" thickBot="1" x14ac:dyDescent="0.3">
      <c r="A398" s="101"/>
      <c r="B398" s="42">
        <v>43</v>
      </c>
      <c r="C398">
        <v>3</v>
      </c>
      <c r="D398" s="13" t="s">
        <v>41</v>
      </c>
      <c r="E398" s="52">
        <f t="shared" si="6"/>
        <v>401.97160370625033</v>
      </c>
      <c r="F398" s="52">
        <f t="shared" si="7"/>
        <v>202.89349543022311</v>
      </c>
      <c r="G398" s="52">
        <f t="shared" si="8"/>
        <v>121.98104024189794</v>
      </c>
      <c r="H398" s="52">
        <f t="shared" si="9"/>
        <v>93.788456325394066</v>
      </c>
      <c r="I398" s="52">
        <f t="shared" si="10"/>
        <v>87.704173172286261</v>
      </c>
      <c r="J398" s="52">
        <f t="shared" si="11"/>
        <v>75.773431223965659</v>
      </c>
      <c r="K398" s="46">
        <f>_xlfn.NORM.DIST(VLOOKUP('Value Matchup'!D398,Ranking!C:N,4),0,11.8,TRUE)</f>
        <v>0.97395401209185339</v>
      </c>
      <c r="L398" s="54">
        <f>(VLOOKUP($D398,'P Adv'!$B$3:$H$356,2))</f>
        <v>0.87</v>
      </c>
      <c r="M398" s="54">
        <f>(VLOOKUP($D398,'P Adv'!$B$3:$H$356,3))</f>
        <v>0.49</v>
      </c>
      <c r="N398" s="54">
        <f>(VLOOKUP($D398,'P Adv'!$B$3:$H$356,4))</f>
        <v>0.22</v>
      </c>
      <c r="O398" s="54">
        <f>(VLOOKUP($D398,'P Adv'!$B$3:$H$356,5))</f>
        <v>0.09</v>
      </c>
      <c r="P398" s="54">
        <f>(VLOOKUP($D398,'P Adv'!$B$3:$H$356,6))</f>
        <v>0.03</v>
      </c>
      <c r="Q398" s="54">
        <f>(VLOOKUP($D398,'P Adv'!$B$3:$H$356,7))</f>
        <v>0.01</v>
      </c>
      <c r="R398" s="53">
        <f>_xlfn.NORM.DIST(VLOOKUP(D398,PASE!B:C,2,FALSE),0,0.25,TRUE)</f>
        <v>0.64717660133989252</v>
      </c>
      <c r="S398" s="51">
        <f>VLOOKUP('Value Matchup'!D398,'Team History'!$B$3:$I$354,8)</f>
        <v>45</v>
      </c>
      <c r="T398" s="52">
        <f>((VLOOKUP($C398,'Seed History'!$Y$2:$AE$19,2)))</f>
        <v>103.36111111111111</v>
      </c>
      <c r="U398" s="52">
        <f>((VLOOKUP($C398,'Seed History'!$Y$2:$AE$19,3)))</f>
        <v>46.106557377049178</v>
      </c>
      <c r="V398" s="52">
        <f>((VLOOKUP($C398,'Seed History'!$Y$2:$AE$19,4)))</f>
        <v>18.253333333333334</v>
      </c>
      <c r="W398" s="52">
        <f>((VLOOKUP($C398,'Seed History'!$Y$2:$AE$19,5)))</f>
        <v>7.8108108108108105</v>
      </c>
      <c r="X398" s="52">
        <f>((VLOOKUP($C398,'Seed History'!$Y$2:$AE$19,6)))</f>
        <v>7.117647058823529</v>
      </c>
      <c r="Y398" s="52">
        <f>((VLOOKUP($C398,'Seed History'!$Y$2:$AE$19,7)))</f>
        <v>1.4545454545454546</v>
      </c>
      <c r="Z398" s="52">
        <f>VLOOKUP('Value Matchup'!$D398,'Team History'!$B$3:$I$354,2)</f>
        <v>13</v>
      </c>
      <c r="AA398" s="52">
        <f>VLOOKUP('Value Matchup'!$D398,'Team History'!$B$3:$I$354,3)</f>
        <v>5</v>
      </c>
      <c r="AB398" s="52">
        <f>VLOOKUP('Value Matchup'!$D398,'Team History'!$B$3:$I$354,4)</f>
        <v>3</v>
      </c>
      <c r="AC398" s="52">
        <f>VLOOKUP('Value Matchup'!$D398,'Team History'!$B$3:$I$354,5)</f>
        <v>2</v>
      </c>
      <c r="AD398" s="52">
        <f>VLOOKUP('Value Matchup'!$D398,'Team History'!$B$3:$I$354,6)</f>
        <v>1</v>
      </c>
      <c r="AE398" s="52">
        <f>VLOOKUP('Value Matchup'!$D398,'Team History'!$B$3:$I$354,7)</f>
        <v>0</v>
      </c>
    </row>
    <row r="399" spans="1:31" ht="15.75" thickBot="1" x14ac:dyDescent="0.3">
      <c r="A399" s="101"/>
      <c r="B399" s="42">
        <v>44</v>
      </c>
      <c r="C399">
        <v>14</v>
      </c>
      <c r="D399" s="13" t="s">
        <v>174</v>
      </c>
      <c r="E399" s="52">
        <f t="shared" si="6"/>
        <v>9.5516360803608258</v>
      </c>
      <c r="F399" s="52">
        <f t="shared" si="7"/>
        <v>4.3004412311451539</v>
      </c>
      <c r="G399" s="52">
        <f t="shared" si="8"/>
        <v>3.8747017322225736</v>
      </c>
      <c r="H399" s="52">
        <f t="shared" si="9"/>
        <v>3.8447017322225738</v>
      </c>
      <c r="I399" s="52">
        <f t="shared" si="10"/>
        <v>3.8447017322225738</v>
      </c>
      <c r="J399" s="52">
        <f t="shared" si="11"/>
        <v>3.8447017322225738</v>
      </c>
      <c r="K399" s="46">
        <f>_xlfn.NORM.DIST(VLOOKUP('Value Matchup'!D399,Ranking!C:N,4),0,11.8,TRUE)</f>
        <v>0.82350714190203034</v>
      </c>
      <c r="L399" s="54">
        <f>(VLOOKUP($D399,'P Adv'!$B$3:$H$356,2))</f>
        <v>0.22</v>
      </c>
      <c r="M399" s="54">
        <f>(VLOOKUP($D399,'P Adv'!$B$3:$H$356,3))</f>
        <v>7.0000000000000007E-2</v>
      </c>
      <c r="N399" s="54">
        <f>(VLOOKUP($D399,'P Adv'!$B$3:$H$356,4))</f>
        <v>0.01</v>
      </c>
      <c r="O399" s="54">
        <f>(VLOOKUP($D399,'P Adv'!$B$3:$H$356,5))</f>
        <v>0</v>
      </c>
      <c r="P399" s="54">
        <f>(VLOOKUP($D399,'P Adv'!$B$3:$H$356,6))</f>
        <v>0</v>
      </c>
      <c r="Q399" s="54">
        <f>(VLOOKUP($D399,'P Adv'!$B$3:$H$356,7))</f>
        <v>0</v>
      </c>
      <c r="R399" s="53">
        <f>_xlfn.NORM.DIST(VLOOKUP(D399,PASE!B:C,2,FALSE),0,0.25,TRUE)</f>
        <v>0.45806010217216092</v>
      </c>
      <c r="S399" s="51">
        <f>VLOOKUP('Value Matchup'!D399,'Team History'!$B$3:$I$354,8)</f>
        <v>3</v>
      </c>
      <c r="T399" s="52">
        <f>((VLOOKUP($C399,'Seed History'!$Y$2:$AE$19,2)))</f>
        <v>3.3611111111111112</v>
      </c>
      <c r="U399" s="52">
        <f>((VLOOKUP($C399,'Seed History'!$Y$2:$AE$19,3)))</f>
        <v>0.18181818181818182</v>
      </c>
      <c r="V399" s="52">
        <f>((VLOOKUP($C399,'Seed History'!$Y$2:$AE$19,4)))</f>
        <v>0</v>
      </c>
      <c r="W399" s="52">
        <f>((VLOOKUP($C399,'Seed History'!$Y$2:$AE$19,5)))</f>
        <v>0</v>
      </c>
      <c r="X399" s="52">
        <f>((VLOOKUP($C399,'Seed History'!$Y$2:$AE$19,6)))</f>
        <v>0</v>
      </c>
      <c r="Y399" s="52">
        <f>((VLOOKUP($C399,'Seed History'!$Y$2:$AE$19,7)))</f>
        <v>0</v>
      </c>
      <c r="Z399" s="52">
        <f>VLOOKUP('Value Matchup'!$D399,'Team History'!$B$3:$I$354,2)</f>
        <v>0</v>
      </c>
      <c r="AA399" s="52">
        <f>VLOOKUP('Value Matchup'!$D399,'Team History'!$B$3:$I$354,3)</f>
        <v>0</v>
      </c>
      <c r="AB399" s="52">
        <f>VLOOKUP('Value Matchup'!$D399,'Team History'!$B$3:$I$354,4)</f>
        <v>0</v>
      </c>
      <c r="AC399" s="52">
        <f>VLOOKUP('Value Matchup'!$D399,'Team History'!$B$3:$I$354,5)</f>
        <v>0</v>
      </c>
      <c r="AD399" s="52">
        <f>VLOOKUP('Value Matchup'!$D399,'Team History'!$B$3:$I$354,6)</f>
        <v>0</v>
      </c>
      <c r="AE399" s="52">
        <f>VLOOKUP('Value Matchup'!$D399,'Team History'!$B$3:$I$354,7)</f>
        <v>0</v>
      </c>
    </row>
    <row r="400" spans="1:31" ht="15.75" thickBot="1" x14ac:dyDescent="0.3">
      <c r="A400" s="101"/>
      <c r="B400" s="42">
        <v>45</v>
      </c>
      <c r="C400">
        <v>7</v>
      </c>
      <c r="D400" s="13" t="s">
        <v>81</v>
      </c>
      <c r="E400" s="52">
        <f t="shared" si="6"/>
        <v>337.92635152978335</v>
      </c>
      <c r="F400" s="52">
        <f t="shared" si="7"/>
        <v>186.94673966260964</v>
      </c>
      <c r="G400" s="52">
        <f t="shared" si="8"/>
        <v>161.63552692109334</v>
      </c>
      <c r="H400" s="52">
        <f t="shared" si="9"/>
        <v>144.88731477200776</v>
      </c>
      <c r="I400" s="52">
        <f t="shared" si="10"/>
        <v>139.30812394520038</v>
      </c>
      <c r="J400" s="52">
        <f t="shared" si="11"/>
        <v>137.94342383782279</v>
      </c>
      <c r="K400" s="46">
        <f>_xlfn.NORM.DIST(VLOOKUP('Value Matchup'!D400,Ranking!C:N,4),0,11.8,TRUE)</f>
        <v>0.94585559654108531</v>
      </c>
      <c r="L400" s="54">
        <f>(VLOOKUP($D400,'P Adv'!$B$3:$H$356,2))</f>
        <v>0.54</v>
      </c>
      <c r="M400" s="54">
        <f>(VLOOKUP($D400,'P Adv'!$B$3:$H$356,3))</f>
        <v>0.19</v>
      </c>
      <c r="N400" s="54">
        <f>(VLOOKUP($D400,'P Adv'!$B$3:$H$356,4))</f>
        <v>7.0000000000000007E-2</v>
      </c>
      <c r="O400" s="54">
        <f>(VLOOKUP($D400,'P Adv'!$B$3:$H$356,5))</f>
        <v>0.02</v>
      </c>
      <c r="P400" s="54">
        <f>(VLOOKUP($D400,'P Adv'!$B$3:$H$356,6))</f>
        <v>0.01</v>
      </c>
      <c r="Q400" s="54">
        <f>(VLOOKUP($D400,'P Adv'!$B$3:$H$356,7))</f>
        <v>0</v>
      </c>
      <c r="R400" s="53">
        <f>_xlfn.NORM.DIST(VLOOKUP(D400,PASE!B:C,2,FALSE),0,0.25,TRUE)</f>
        <v>0.91824472559165538</v>
      </c>
      <c r="S400" s="51">
        <f>VLOOKUP('Value Matchup'!D400,'Team History'!$B$3:$I$354,8)</f>
        <v>73</v>
      </c>
      <c r="T400" s="52">
        <f>((VLOOKUP($C400,'Seed History'!$Y$2:$AE$19,2)))</f>
        <v>52.5625</v>
      </c>
      <c r="U400" s="52">
        <f>((VLOOKUP($C400,'Seed History'!$Y$2:$AE$19,3)))</f>
        <v>9.0114942528735629</v>
      </c>
      <c r="V400" s="52">
        <f>((VLOOKUP($C400,'Seed History'!$Y$2:$AE$19,4)))</f>
        <v>3.5714285714285716</v>
      </c>
      <c r="W400" s="52">
        <f>((VLOOKUP($C400,'Seed History'!$Y$2:$AE$19,5)))</f>
        <v>0.9</v>
      </c>
      <c r="X400" s="52">
        <f>((VLOOKUP($C400,'Seed History'!$Y$2:$AE$19,6)))</f>
        <v>0.33333333333333331</v>
      </c>
      <c r="Y400" s="52">
        <f>((VLOOKUP($C400,'Seed History'!$Y$2:$AE$19,7)))</f>
        <v>1</v>
      </c>
      <c r="Z400" s="52">
        <f>VLOOKUP('Value Matchup'!$D400,'Team History'!$B$3:$I$354,2)</f>
        <v>15</v>
      </c>
      <c r="AA400" s="52">
        <f>VLOOKUP('Value Matchup'!$D400,'Team History'!$B$3:$I$354,3)</f>
        <v>9</v>
      </c>
      <c r="AB400" s="52">
        <f>VLOOKUP('Value Matchup'!$D400,'Team History'!$B$3:$I$354,4)</f>
        <v>7</v>
      </c>
      <c r="AC400" s="52">
        <f>VLOOKUP('Value Matchup'!$D400,'Team History'!$B$3:$I$354,5)</f>
        <v>3</v>
      </c>
      <c r="AD400" s="52">
        <f>VLOOKUP('Value Matchup'!$D400,'Team History'!$B$3:$I$354,6)</f>
        <v>1</v>
      </c>
      <c r="AE400" s="52">
        <f>VLOOKUP('Value Matchup'!$D400,'Team History'!$B$3:$I$354,7)</f>
        <v>0</v>
      </c>
    </row>
    <row r="401" spans="1:31" ht="15.75" thickBot="1" x14ac:dyDescent="0.3">
      <c r="A401" s="101"/>
      <c r="B401" s="42">
        <v>46</v>
      </c>
      <c r="C401">
        <v>10</v>
      </c>
      <c r="D401" s="13" t="s">
        <v>405</v>
      </c>
      <c r="E401" s="52">
        <f t="shared" si="6"/>
        <v>43.941601988818277</v>
      </c>
      <c r="F401" s="52">
        <f t="shared" si="7"/>
        <v>24.898489107639953</v>
      </c>
      <c r="G401" s="52">
        <f t="shared" si="8"/>
        <v>16.56369772046061</v>
      </c>
      <c r="H401" s="52">
        <f t="shared" si="9"/>
        <v>13.64331267042437</v>
      </c>
      <c r="I401" s="52">
        <f t="shared" si="10"/>
        <v>13.513376359277473</v>
      </c>
      <c r="J401" s="52">
        <f t="shared" si="11"/>
        <v>13.513376359277473</v>
      </c>
      <c r="K401" s="46">
        <f>_xlfn.NORM.DIST(VLOOKUP('Value Matchup'!D401,Ranking!C:N,4),0,11.8,TRUE)</f>
        <v>0.92050470498541825</v>
      </c>
      <c r="L401" s="54">
        <f>(VLOOKUP($D401,'P Adv'!$B$3:$H$356,2))</f>
        <v>0.1</v>
      </c>
      <c r="M401" s="54">
        <f>(VLOOKUP($D401,'P Adv'!$B$3:$H$356,3))</f>
        <v>0.03</v>
      </c>
      <c r="N401" s="54">
        <f>(VLOOKUP($D401,'P Adv'!$B$3:$H$356,4))</f>
        <v>0.01</v>
      </c>
      <c r="O401" s="54">
        <f>(VLOOKUP($D401,'P Adv'!$B$3:$H$356,5))</f>
        <v>0</v>
      </c>
      <c r="P401" s="54">
        <f>(VLOOKUP($D401,'P Adv'!$B$3:$H$356,6))</f>
        <v>0</v>
      </c>
      <c r="Q401" s="54">
        <f>(VLOOKUP($D401,'P Adv'!$B$3:$H$356,7))</f>
        <v>0</v>
      </c>
      <c r="R401" s="53">
        <f>_xlfn.NORM.DIST(VLOOKUP(D401,PASE!B:C,2,FALSE),0,0.25,TRUE)</f>
        <v>0.11898578418977189</v>
      </c>
      <c r="S401" s="51">
        <f>VLOOKUP('Value Matchup'!D401,'Team History'!$B$3:$I$354,8)</f>
        <v>13</v>
      </c>
      <c r="T401" s="52">
        <f>((VLOOKUP($C401,'Seed History'!$Y$2:$AE$19,2)))</f>
        <v>22.5625</v>
      </c>
      <c r="U401" s="52">
        <f>((VLOOKUP($C401,'Seed History'!$Y$2:$AE$19,3)))</f>
        <v>9.2807017543859658</v>
      </c>
      <c r="V401" s="52">
        <f>((VLOOKUP($C401,'Seed History'!$Y$2:$AE$19,4)))</f>
        <v>2.7826086956521738</v>
      </c>
      <c r="W401" s="52">
        <f>((VLOOKUP($C401,'Seed History'!$Y$2:$AE$19,5)))</f>
        <v>0.125</v>
      </c>
      <c r="X401" s="52">
        <f>((VLOOKUP($C401,'Seed History'!$Y$2:$AE$19,6)))</f>
        <v>0</v>
      </c>
      <c r="Y401" s="52">
        <f>((VLOOKUP($C401,'Seed History'!$Y$2:$AE$19,7)))</f>
        <v>0</v>
      </c>
      <c r="Z401" s="52">
        <f>VLOOKUP('Value Matchup'!$D401,'Team History'!$B$3:$I$354,2)</f>
        <v>3</v>
      </c>
      <c r="AA401" s="52">
        <f>VLOOKUP('Value Matchup'!$D401,'Team History'!$B$3:$I$354,3)</f>
        <v>1</v>
      </c>
      <c r="AB401" s="52">
        <f>VLOOKUP('Value Matchup'!$D401,'Team History'!$B$3:$I$354,4)</f>
        <v>0</v>
      </c>
      <c r="AC401" s="52">
        <f>VLOOKUP('Value Matchup'!$D401,'Team History'!$B$3:$I$354,5)</f>
        <v>0</v>
      </c>
      <c r="AD401" s="52">
        <f>VLOOKUP('Value Matchup'!$D401,'Team History'!$B$3:$I$354,6)</f>
        <v>0</v>
      </c>
      <c r="AE401" s="52">
        <f>VLOOKUP('Value Matchup'!$D401,'Team History'!$B$3:$I$354,7)</f>
        <v>0</v>
      </c>
    </row>
    <row r="402" spans="1:31" ht="15.75" thickBot="1" x14ac:dyDescent="0.3">
      <c r="A402" s="101"/>
      <c r="B402" s="42">
        <v>47</v>
      </c>
      <c r="C402">
        <v>2</v>
      </c>
      <c r="D402" s="13" t="s">
        <v>315</v>
      </c>
      <c r="E402" s="52">
        <f t="shared" si="6"/>
        <v>476.64658806121759</v>
      </c>
      <c r="F402" s="52">
        <f t="shared" si="7"/>
        <v>262.73041923056746</v>
      </c>
      <c r="G402" s="52">
        <f t="shared" si="8"/>
        <v>197.41332609862195</v>
      </c>
      <c r="H402" s="52">
        <f t="shared" si="9"/>
        <v>126.15803000291811</v>
      </c>
      <c r="I402" s="52">
        <f t="shared" si="10"/>
        <v>106.47833787485841</v>
      </c>
      <c r="J402" s="52">
        <f t="shared" si="11"/>
        <v>96.003153658955782</v>
      </c>
      <c r="K402" s="46">
        <f>_xlfn.NORM.DIST(VLOOKUP('Value Matchup'!D402,Ranking!C:N,4),0,11.8,TRUE)</f>
        <v>0.98835501025990335</v>
      </c>
      <c r="L402" s="54">
        <f>(VLOOKUP($D402,'P Adv'!$B$3:$H$356,2))</f>
        <v>0.91</v>
      </c>
      <c r="M402" s="54">
        <f>(VLOOKUP($D402,'P Adv'!$B$3:$H$356,3))</f>
        <v>0.56999999999999995</v>
      </c>
      <c r="N402" s="54">
        <f>(VLOOKUP($D402,'P Adv'!$B$3:$H$356,4))</f>
        <v>0.31</v>
      </c>
      <c r="O402" s="54">
        <f>(VLOOKUP($D402,'P Adv'!$B$3:$H$356,5))</f>
        <v>0.16</v>
      </c>
      <c r="P402" s="54">
        <f>(VLOOKUP($D402,'P Adv'!$B$3:$H$356,6))</f>
        <v>0.08</v>
      </c>
      <c r="Q402" s="54">
        <f>(VLOOKUP($D402,'P Adv'!$B$3:$H$356,7))</f>
        <v>0.03</v>
      </c>
      <c r="R402" s="53">
        <f>_xlfn.NORM.DIST(VLOOKUP(D402,PASE!B:C,2,FALSE),0,0.25,TRUE)</f>
        <v>0.35462738530272064</v>
      </c>
      <c r="S402" s="51">
        <f>VLOOKUP('Value Matchup'!D402,'Team History'!$B$3:$I$354,8)</f>
        <v>68</v>
      </c>
      <c r="T402" s="52">
        <f>((VLOOKUP($C402,'Seed History'!$Y$2:$AE$19,2)))</f>
        <v>126.5625</v>
      </c>
      <c r="U402" s="52">
        <f>((VLOOKUP($C402,'Seed History'!$Y$2:$AE$19,3)))</f>
        <v>61.340740740740742</v>
      </c>
      <c r="V402" s="52">
        <f>((VLOOKUP($C402,'Seed History'!$Y$2:$AE$19,4)))</f>
        <v>46.428571428571431</v>
      </c>
      <c r="W402" s="52">
        <f>((VLOOKUP($C402,'Seed History'!$Y$2:$AE$19,5)))</f>
        <v>12.938461538461539</v>
      </c>
      <c r="X402" s="52">
        <f>((VLOOKUP($C402,'Seed History'!$Y$2:$AE$19,6)))</f>
        <v>5.8275862068965516</v>
      </c>
      <c r="Y402" s="52">
        <f>((VLOOKUP($C402,'Seed History'!$Y$2:$AE$19,7)))</f>
        <v>1.9230769230769231</v>
      </c>
      <c r="Z402" s="52">
        <f>VLOOKUP('Value Matchup'!$D402,'Team History'!$B$3:$I$354,2)</f>
        <v>17</v>
      </c>
      <c r="AA402" s="52">
        <f>VLOOKUP('Value Matchup'!$D402,'Team History'!$B$3:$I$354,3)</f>
        <v>8</v>
      </c>
      <c r="AB402" s="52">
        <f>VLOOKUP('Value Matchup'!$D402,'Team History'!$B$3:$I$354,4)</f>
        <v>5</v>
      </c>
      <c r="AC402" s="52">
        <f>VLOOKUP('Value Matchup'!$D402,'Team History'!$B$3:$I$354,5)</f>
        <v>3</v>
      </c>
      <c r="AD402" s="52">
        <f>VLOOKUP('Value Matchup'!$D402,'Team History'!$B$3:$I$354,6)</f>
        <v>1</v>
      </c>
      <c r="AE402" s="52">
        <f>VLOOKUP('Value Matchup'!$D402,'Team History'!$B$3:$I$354,7)</f>
        <v>0</v>
      </c>
    </row>
    <row r="403" spans="1:31" ht="15.75" thickBot="1" x14ac:dyDescent="0.3">
      <c r="A403" s="101"/>
      <c r="B403" s="42">
        <v>48</v>
      </c>
      <c r="C403">
        <v>15</v>
      </c>
      <c r="D403" s="13" t="s">
        <v>318</v>
      </c>
      <c r="E403" s="52">
        <f t="shared" si="6"/>
        <v>3.1421282588608626</v>
      </c>
      <c r="F403" s="52">
        <f t="shared" si="7"/>
        <v>3.0035587064229783</v>
      </c>
      <c r="G403" s="52">
        <f t="shared" si="8"/>
        <v>2.6160027443038842</v>
      </c>
      <c r="H403" s="52">
        <f t="shared" si="9"/>
        <v>2.6160027443038842</v>
      </c>
      <c r="I403" s="52">
        <f t="shared" si="10"/>
        <v>2.6160027443038842</v>
      </c>
      <c r="J403" s="52">
        <f t="shared" si="11"/>
        <v>2.6160027443038842</v>
      </c>
      <c r="K403" s="46">
        <f>_xlfn.NORM.DIST(VLOOKUP('Value Matchup'!D403,Ranking!C:N,4),0,11.8,TRUE)</f>
        <v>0.58719641899790864</v>
      </c>
      <c r="L403" s="54">
        <f>(VLOOKUP($D403,'P Adv'!$B$3:$H$356,2))</f>
        <v>0.01</v>
      </c>
      <c r="M403" s="54">
        <f>(VLOOKUP($D403,'P Adv'!$B$3:$H$356,3))</f>
        <v>0</v>
      </c>
      <c r="N403" s="54">
        <f>(VLOOKUP($D403,'P Adv'!$B$3:$H$356,4))</f>
        <v>0</v>
      </c>
      <c r="O403" s="54">
        <f>(VLOOKUP($D403,'P Adv'!$B$3:$H$356,5))</f>
        <v>0</v>
      </c>
      <c r="P403" s="54">
        <f>(VLOOKUP($D403,'P Adv'!$B$3:$H$356,6))</f>
        <v>0</v>
      </c>
      <c r="Q403" s="54">
        <f>(VLOOKUP($D403,'P Adv'!$B$3:$H$356,7))</f>
        <v>0</v>
      </c>
      <c r="R403" s="53">
        <f>_xlfn.NORM.DIST(VLOOKUP(D403,PASE!B:C,2,FALSE),0,0.25,TRUE)</f>
        <v>0.28480449577005273</v>
      </c>
      <c r="S403" s="51">
        <f>VLOOKUP('Value Matchup'!D403,'Team History'!$B$3:$I$354,8)</f>
        <v>3</v>
      </c>
      <c r="T403" s="52">
        <f>((VLOOKUP($C403,'Seed History'!$Y$2:$AE$19,2)))</f>
        <v>0.5625</v>
      </c>
      <c r="U403" s="52">
        <f>((VLOOKUP($C403,'Seed History'!$Y$2:$AE$19,3)))</f>
        <v>0.44444444444444442</v>
      </c>
      <c r="V403" s="52">
        <f>((VLOOKUP($C403,'Seed History'!$Y$2:$AE$19,4)))</f>
        <v>0</v>
      </c>
      <c r="W403" s="52">
        <f>((VLOOKUP($C403,'Seed History'!$Y$2:$AE$19,5)))</f>
        <v>0</v>
      </c>
      <c r="X403" s="52">
        <f>((VLOOKUP($C403,'Seed History'!$Y$2:$AE$19,6)))</f>
        <v>0</v>
      </c>
      <c r="Y403" s="52">
        <f>((VLOOKUP($C403,'Seed History'!$Y$2:$AE$19,7)))</f>
        <v>0</v>
      </c>
      <c r="Z403" s="52">
        <f>VLOOKUP('Value Matchup'!$D403,'Team History'!$B$3:$I$354,2)</f>
        <v>0</v>
      </c>
      <c r="AA403" s="52">
        <f>VLOOKUP('Value Matchup'!$D403,'Team History'!$B$3:$I$354,3)</f>
        <v>0</v>
      </c>
      <c r="AB403" s="52">
        <f>VLOOKUP('Value Matchup'!$D403,'Team History'!$B$3:$I$354,4)</f>
        <v>0</v>
      </c>
      <c r="AC403" s="52">
        <f>VLOOKUP('Value Matchup'!$D403,'Team History'!$B$3:$I$354,5)</f>
        <v>0</v>
      </c>
      <c r="AD403" s="52">
        <f>VLOOKUP('Value Matchup'!$D403,'Team History'!$B$3:$I$354,6)</f>
        <v>0</v>
      </c>
      <c r="AE403" s="52">
        <f>VLOOKUP('Value Matchup'!$D403,'Team History'!$B$3:$I$354,7)</f>
        <v>0</v>
      </c>
    </row>
    <row r="404" spans="1:31" ht="15.75" thickBot="1" x14ac:dyDescent="0.3">
      <c r="A404" s="102" t="s">
        <v>1045</v>
      </c>
      <c r="B404" s="42">
        <v>49</v>
      </c>
      <c r="C404">
        <v>1</v>
      </c>
      <c r="D404" s="13" t="s">
        <v>230</v>
      </c>
      <c r="E404" s="52">
        <f t="shared" si="6"/>
        <v>448.77389253216194</v>
      </c>
      <c r="F404" s="52">
        <f t="shared" si="7"/>
        <v>312.35272692087761</v>
      </c>
      <c r="G404" s="52">
        <f t="shared" si="8"/>
        <v>232.65838238923575</v>
      </c>
      <c r="H404" s="52">
        <f t="shared" si="9"/>
        <v>132.06572124186908</v>
      </c>
      <c r="I404" s="52">
        <f t="shared" si="10"/>
        <v>100.17089914609073</v>
      </c>
      <c r="J404" s="52">
        <f t="shared" si="11"/>
        <v>85.241370657161696</v>
      </c>
      <c r="K404" s="46">
        <f>_xlfn.NORM.DIST(VLOOKUP('Value Matchup'!D404,Ranking!C:N,4),0,11.8,TRUE)</f>
        <v>0.99670566354698331</v>
      </c>
      <c r="L404" s="54">
        <f>(VLOOKUP($D404,'P Adv'!$B$3:$H$356,2))</f>
        <v>0.97</v>
      </c>
      <c r="M404" s="54">
        <f>(VLOOKUP($D404,'P Adv'!$B$3:$H$356,3))</f>
        <v>0.74</v>
      </c>
      <c r="N404" s="54">
        <f>(VLOOKUP($D404,'P Adv'!$B$3:$H$356,4))</f>
        <v>0.54</v>
      </c>
      <c r="O404" s="54">
        <f>(VLOOKUP($D404,'P Adv'!$B$3:$H$356,5))</f>
        <v>0.36</v>
      </c>
      <c r="P404" s="54">
        <f>(VLOOKUP($D404,'P Adv'!$B$3:$H$356,6))</f>
        <v>0.2</v>
      </c>
      <c r="Q404" s="54">
        <f>(VLOOKUP($D404,'P Adv'!$B$3:$H$356,7))</f>
        <v>0.12</v>
      </c>
      <c r="R404" s="53">
        <f>_xlfn.NORM.DIST(VLOOKUP(D404,PASE!B:C,2,FALSE),0,0.25,TRUE)</f>
        <v>0.17024220605492521</v>
      </c>
      <c r="S404" s="51">
        <f>VLOOKUP('Value Matchup'!D404,'Team History'!$B$3:$I$354,8)</f>
        <v>52</v>
      </c>
      <c r="T404" s="52">
        <f>((VLOOKUP($C404,'Seed History'!$Y$2:$AE$19,2)))</f>
        <v>142.00694444444446</v>
      </c>
      <c r="U404" s="52">
        <f>((VLOOKUP($C404,'Seed History'!$Y$2:$AE$19,3)))</f>
        <v>105.7972027972028</v>
      </c>
      <c r="V404" s="52">
        <f>((VLOOKUP($C404,'Seed History'!$Y$2:$AE$19,4)))</f>
        <v>81.300813008130078</v>
      </c>
      <c r="W404" s="52">
        <f>((VLOOKUP($C404,'Seed History'!$Y$2:$AE$19,5)))</f>
        <v>32.49</v>
      </c>
      <c r="X404" s="52">
        <f>((VLOOKUP($C404,'Seed History'!$Y$2:$AE$19,6)))</f>
        <v>20.280701754385966</v>
      </c>
      <c r="Y404" s="52">
        <f>((VLOOKUP($C404,'Seed History'!$Y$2:$AE$19,7)))</f>
        <v>14.235294117647058</v>
      </c>
      <c r="Z404" s="52">
        <f>VLOOKUP('Value Matchup'!$D404,'Team History'!$B$3:$I$354,2)</f>
        <v>16</v>
      </c>
      <c r="AA404" s="52">
        <f>VLOOKUP('Value Matchup'!$D404,'Team History'!$B$3:$I$354,3)</f>
        <v>6</v>
      </c>
      <c r="AB404" s="52">
        <f>VLOOKUP('Value Matchup'!$D404,'Team History'!$B$3:$I$354,4)</f>
        <v>3</v>
      </c>
      <c r="AC404" s="52">
        <f>VLOOKUP('Value Matchup'!$D404,'Team History'!$B$3:$I$354,5)</f>
        <v>2</v>
      </c>
      <c r="AD404" s="52">
        <f>VLOOKUP('Value Matchup'!$D404,'Team History'!$B$3:$I$354,6)</f>
        <v>1</v>
      </c>
      <c r="AE404" s="52">
        <f>VLOOKUP('Value Matchup'!$D404,'Team History'!$B$3:$I$354,7)</f>
        <v>0</v>
      </c>
    </row>
    <row r="405" spans="1:31" ht="15.75" thickBot="1" x14ac:dyDescent="0.3">
      <c r="A405" s="102"/>
      <c r="B405" s="42">
        <v>50</v>
      </c>
      <c r="C405" s="10">
        <v>16</v>
      </c>
      <c r="D405" s="13" t="s">
        <v>189</v>
      </c>
      <c r="E405" s="52">
        <f t="shared" si="6"/>
        <v>6.8136160641760251</v>
      </c>
      <c r="F405" s="52">
        <f t="shared" si="7"/>
        <v>5.4214492094875579</v>
      </c>
      <c r="G405" s="52">
        <f t="shared" si="8"/>
        <v>5.3714492094875581</v>
      </c>
      <c r="H405" s="52">
        <f t="shared" si="9"/>
        <v>5.3714492094875581</v>
      </c>
      <c r="I405" s="52">
        <f t="shared" si="10"/>
        <v>5.3714492094875581</v>
      </c>
      <c r="J405" s="52">
        <f t="shared" si="11"/>
        <v>5.3714492094875581</v>
      </c>
      <c r="K405" s="46">
        <f>_xlfn.NORM.DIST(VLOOKUP('Value Matchup'!D405,Ranking!C:N,4),0,11.8,TRUE)</f>
        <v>0.60067117717109353</v>
      </c>
      <c r="L405" s="54">
        <f>(VLOOKUP($D405,'P Adv'!$B$3:$H$356,2))</f>
        <v>0.06</v>
      </c>
      <c r="M405" s="54">
        <f>(VLOOKUP($D405,'P Adv'!$B$3:$H$356,3))</f>
        <v>0.01</v>
      </c>
      <c r="N405" s="54">
        <f>(VLOOKUP($D405,'P Adv'!$B$3:$H$356,4))</f>
        <v>0</v>
      </c>
      <c r="O405" s="54">
        <f>(VLOOKUP($D405,'P Adv'!$B$3:$H$356,5))</f>
        <v>0</v>
      </c>
      <c r="P405" s="54">
        <f>(VLOOKUP($D405,'P Adv'!$B$3:$H$356,6))</f>
        <v>0</v>
      </c>
      <c r="Q405" s="54">
        <f>(VLOOKUP($D405,'P Adv'!$B$3:$H$356,7))</f>
        <v>0</v>
      </c>
      <c r="R405" s="53">
        <f>_xlfn.NORM.DIST(VLOOKUP(D405,PASE!B:C,2,FALSE),0,0.25,TRUE)</f>
        <v>0.47361866472641806</v>
      </c>
      <c r="S405" s="51">
        <f>VLOOKUP('Value Matchup'!D405,'Team History'!$B$3:$I$354,8)</f>
        <v>5</v>
      </c>
      <c r="T405" s="52">
        <f>((VLOOKUP($C405,'Seed History'!$Y$2:$AE$19,2)))</f>
        <v>6.9444444444444441E-3</v>
      </c>
      <c r="U405" s="52">
        <f>((VLOOKUP($C405,'Seed History'!$Y$2:$AE$19,3)))</f>
        <v>0</v>
      </c>
      <c r="V405" s="52">
        <f>((VLOOKUP($C405,'Seed History'!$Y$2:$AE$19,4)))</f>
        <v>0</v>
      </c>
      <c r="W405" s="52">
        <f>((VLOOKUP($C405,'Seed History'!$Y$2:$AE$19,5)))</f>
        <v>0</v>
      </c>
      <c r="X405" s="52">
        <f>((VLOOKUP($C405,'Seed History'!$Y$2:$AE$19,6)))</f>
        <v>0</v>
      </c>
      <c r="Y405" s="52">
        <f>((VLOOKUP($C405,'Seed History'!$Y$2:$AE$19,7)))</f>
        <v>0</v>
      </c>
      <c r="Z405" s="52">
        <f>VLOOKUP('Value Matchup'!$D405,'Team History'!$B$3:$I$354,2)</f>
        <v>1</v>
      </c>
      <c r="AA405" s="52">
        <f>VLOOKUP('Value Matchup'!$D405,'Team History'!$B$3:$I$354,3)</f>
        <v>0</v>
      </c>
      <c r="AB405" s="52">
        <f>VLOOKUP('Value Matchup'!$D405,'Team History'!$B$3:$I$354,4)</f>
        <v>0</v>
      </c>
      <c r="AC405" s="52">
        <f>VLOOKUP('Value Matchup'!$D405,'Team History'!$B$3:$I$354,5)</f>
        <v>0</v>
      </c>
      <c r="AD405" s="52">
        <f>VLOOKUP('Value Matchup'!$D405,'Team History'!$B$3:$I$354,6)</f>
        <v>0</v>
      </c>
      <c r="AE405" s="52">
        <f>VLOOKUP('Value Matchup'!$D405,'Team History'!$B$3:$I$354,7)</f>
        <v>0</v>
      </c>
    </row>
    <row r="406" spans="1:31" ht="15.75" thickBot="1" x14ac:dyDescent="0.3">
      <c r="A406" s="102"/>
      <c r="B406" s="42">
        <v>51</v>
      </c>
      <c r="C406">
        <v>8</v>
      </c>
      <c r="D406" s="13" t="s">
        <v>257</v>
      </c>
      <c r="E406" s="52">
        <f t="shared" si="6"/>
        <v>122.19563892772612</v>
      </c>
      <c r="F406" s="52">
        <f t="shared" si="7"/>
        <v>36.260392311809369</v>
      </c>
      <c r="G406" s="52">
        <f t="shared" si="8"/>
        <v>36.25750372857518</v>
      </c>
      <c r="H406" s="52">
        <f t="shared" si="9"/>
        <v>32.466642141161977</v>
      </c>
      <c r="I406" s="52">
        <f t="shared" si="10"/>
        <v>27.509405367320021</v>
      </c>
      <c r="J406" s="52">
        <f t="shared" si="11"/>
        <v>24.462367115720792</v>
      </c>
      <c r="K406" s="46">
        <f>_xlfn.NORM.DIST(VLOOKUP('Value Matchup'!D406,Ranking!C:N,4),0,11.8,TRUE)</f>
        <v>0.9834351715449382</v>
      </c>
      <c r="L406" s="54">
        <f>(VLOOKUP($D406,'P Adv'!$B$3:$H$356,2))</f>
        <v>0.51</v>
      </c>
      <c r="M406" s="54">
        <f>(VLOOKUP($D406,'P Adv'!$B$3:$H$356,3))</f>
        <v>0.18</v>
      </c>
      <c r="N406" s="54">
        <f>(VLOOKUP($D406,'P Adv'!$B$3:$H$356,4))</f>
        <v>0.08</v>
      </c>
      <c r="O406" s="54">
        <f>(VLOOKUP($D406,'P Adv'!$B$3:$H$356,5))</f>
        <v>0.03</v>
      </c>
      <c r="P406" s="54">
        <f>(VLOOKUP($D406,'P Adv'!$B$3:$H$356,6))</f>
        <v>0.01</v>
      </c>
      <c r="Q406" s="54">
        <f>(VLOOKUP($D406,'P Adv'!$B$3:$H$356,7))</f>
        <v>0</v>
      </c>
      <c r="R406" s="53">
        <f>_xlfn.NORM.DIST(VLOOKUP(D406,PASE!B:C,2,FALSE),0,0.25,TRUE)</f>
        <v>0.99999999999999079</v>
      </c>
      <c r="S406" s="51">
        <f>VLOOKUP('Value Matchup'!D406,'Team History'!$B$3:$I$354,8)</f>
        <v>12</v>
      </c>
      <c r="T406" s="52">
        <f>((VLOOKUP($C406,'Seed History'!$Y$2:$AE$19,2)))</f>
        <v>35.006944444444443</v>
      </c>
      <c r="U406" s="52">
        <f>((VLOOKUP($C406,'Seed History'!$Y$2:$AE$19,3)))</f>
        <v>2.76056338028169</v>
      </c>
      <c r="V406" s="52">
        <f>((VLOOKUP($C406,'Seed History'!$Y$2:$AE$19,4)))</f>
        <v>4.5714285714285712</v>
      </c>
      <c r="W406" s="52">
        <f>((VLOOKUP($C406,'Seed History'!$Y$2:$AE$19,5)))</f>
        <v>3.125</v>
      </c>
      <c r="X406" s="52">
        <f>((VLOOKUP($C406,'Seed History'!$Y$2:$AE$19,6)))</f>
        <v>1.8</v>
      </c>
      <c r="Y406" s="52">
        <f>((VLOOKUP($C406,'Seed History'!$Y$2:$AE$19,7)))</f>
        <v>0.33333333333333331</v>
      </c>
      <c r="Z406" s="52">
        <f>VLOOKUP('Value Matchup'!$D406,'Team History'!$B$3:$I$354,2)</f>
        <v>2</v>
      </c>
      <c r="AA406" s="52">
        <f>VLOOKUP('Value Matchup'!$D406,'Team History'!$B$3:$I$354,3)</f>
        <v>2</v>
      </c>
      <c r="AB406" s="52">
        <f>VLOOKUP('Value Matchup'!$D406,'Team History'!$B$3:$I$354,4)</f>
        <v>1</v>
      </c>
      <c r="AC406" s="52">
        <f>VLOOKUP('Value Matchup'!$D406,'Team History'!$B$3:$I$354,5)</f>
        <v>1</v>
      </c>
      <c r="AD406" s="52">
        <f>VLOOKUP('Value Matchup'!$D406,'Team History'!$B$3:$I$354,6)</f>
        <v>0</v>
      </c>
      <c r="AE406" s="52">
        <f>VLOOKUP('Value Matchup'!$D406,'Team History'!$B$3:$I$354,7)</f>
        <v>0</v>
      </c>
    </row>
    <row r="407" spans="1:31" ht="15.75" thickBot="1" x14ac:dyDescent="0.3">
      <c r="A407" s="102"/>
      <c r="B407" s="42">
        <v>52</v>
      </c>
      <c r="C407">
        <v>9</v>
      </c>
      <c r="D407" s="13" t="s">
        <v>216</v>
      </c>
      <c r="E407" s="52">
        <f>($K407+L407+$R407)*($S407+T407+Z407)</f>
        <v>185.09907620257971</v>
      </c>
      <c r="F407" s="52">
        <f t="shared" si="7"/>
        <v>83.868376654150367</v>
      </c>
      <c r="G407" s="52">
        <f t="shared" si="8"/>
        <v>76.938551855835286</v>
      </c>
      <c r="H407" s="52">
        <f t="shared" si="9"/>
        <v>69.932696321391404</v>
      </c>
      <c r="I407" s="52">
        <f t="shared" si="10"/>
        <v>67.370873454267439</v>
      </c>
      <c r="J407" s="52">
        <f t="shared" si="11"/>
        <v>65.263415160568272</v>
      </c>
      <c r="K407" s="46">
        <f>_xlfn.NORM.DIST(VLOOKUP('Value Matchup'!D407,Ranking!C:N,4),0,11.8,TRUE)</f>
        <v>0.95455083760032822</v>
      </c>
      <c r="L407" s="54">
        <f>(VLOOKUP($D407,'P Adv'!$B$3:$H$356,2))</f>
        <v>0.46</v>
      </c>
      <c r="M407" s="54">
        <f>(VLOOKUP($D407,'P Adv'!$B$3:$H$356,3))</f>
        <v>0.16</v>
      </c>
      <c r="N407" s="54">
        <f>(VLOOKUP($D407,'P Adv'!$B$3:$H$356,4))</f>
        <v>0.06</v>
      </c>
      <c r="O407" s="54">
        <f>(VLOOKUP($D407,'P Adv'!$B$3:$H$356,5))</f>
        <v>0.02</v>
      </c>
      <c r="P407" s="54">
        <f>(VLOOKUP($D407,'P Adv'!$B$3:$H$356,6))</f>
        <v>0.01</v>
      </c>
      <c r="Q407" s="54">
        <f>(VLOOKUP($D407,'P Adv'!$B$3:$H$356,7))</f>
        <v>0</v>
      </c>
      <c r="R407" s="53">
        <f>_xlfn.NORM.DIST(VLOOKUP(D407,PASE!B:C,2,FALSE),0,0.25,TRUE)</f>
        <v>0.76290745609883681</v>
      </c>
      <c r="S407" s="51">
        <f>VLOOKUP('Value Matchup'!D407,'Team History'!$B$3:$I$354,8)</f>
        <v>38</v>
      </c>
      <c r="T407" s="52">
        <f>((VLOOKUP($C407,'Seed History'!$Y$2:$AE$19,2)))</f>
        <v>37.006944444444443</v>
      </c>
      <c r="U407" s="52">
        <f>((VLOOKUP($C407,'Seed History'!$Y$2:$AE$19,3)))</f>
        <v>0.67123287671232879</v>
      </c>
      <c r="V407" s="52">
        <f>((VLOOKUP($C407,'Seed History'!$Y$2:$AE$19,4)))</f>
        <v>2.2857142857142856</v>
      </c>
      <c r="W407" s="52">
        <f>((VLOOKUP($C407,'Seed History'!$Y$2:$AE$19,5)))</f>
        <v>0.25</v>
      </c>
      <c r="X407" s="52">
        <f>((VLOOKUP($C407,'Seed History'!$Y$2:$AE$19,6)))</f>
        <v>0</v>
      </c>
      <c r="Y407" s="52">
        <f>((VLOOKUP($C407,'Seed History'!$Y$2:$AE$19,7)))</f>
        <v>0</v>
      </c>
      <c r="Z407" s="52">
        <f>VLOOKUP('Value Matchup'!$D407,'Team History'!$B$3:$I$354,2)</f>
        <v>10</v>
      </c>
      <c r="AA407" s="52">
        <f>VLOOKUP('Value Matchup'!$D407,'Team History'!$B$3:$I$354,3)</f>
        <v>6</v>
      </c>
      <c r="AB407" s="52">
        <f>VLOOKUP('Value Matchup'!$D407,'Team History'!$B$3:$I$354,4)</f>
        <v>3</v>
      </c>
      <c r="AC407" s="52">
        <f>VLOOKUP('Value Matchup'!$D407,'Team History'!$B$3:$I$354,5)</f>
        <v>2</v>
      </c>
      <c r="AD407" s="52">
        <f>VLOOKUP('Value Matchup'!$D407,'Team History'!$B$3:$I$354,6)</f>
        <v>1</v>
      </c>
      <c r="AE407" s="52">
        <f>VLOOKUP('Value Matchup'!$D407,'Team History'!$B$3:$I$354,7)</f>
        <v>0</v>
      </c>
    </row>
    <row r="408" spans="1:31" ht="15.75" thickBot="1" x14ac:dyDescent="0.3">
      <c r="A408" s="102"/>
      <c r="B408" s="42">
        <v>53</v>
      </c>
      <c r="C408">
        <v>5</v>
      </c>
      <c r="D408" s="13" t="s">
        <v>374</v>
      </c>
      <c r="E408" s="52">
        <f t="shared" si="6"/>
        <v>210.78958647615022</v>
      </c>
      <c r="F408" s="52">
        <f t="shared" si="7"/>
        <v>113.7214815222887</v>
      </c>
      <c r="G408" s="52">
        <f t="shared" si="8"/>
        <v>56.867376486744327</v>
      </c>
      <c r="H408" s="52">
        <f t="shared" si="9"/>
        <v>57.296536485360022</v>
      </c>
      <c r="I408" s="52">
        <f t="shared" si="10"/>
        <v>50.240382828376347</v>
      </c>
      <c r="J408" s="52">
        <f t="shared" si="11"/>
        <v>47.836152117629489</v>
      </c>
      <c r="K408" s="46">
        <f>_xlfn.NORM.DIST(VLOOKUP('Value Matchup'!D408,Ranking!C:N,4),0,11.8,TRUE)</f>
        <v>0.97172543689849056</v>
      </c>
      <c r="L408" s="54">
        <f>(VLOOKUP($D408,'P Adv'!$B$3:$H$356,2))</f>
        <v>0.72</v>
      </c>
      <c r="M408" s="54">
        <f>(VLOOKUP($D408,'P Adv'!$B$3:$H$356,3))</f>
        <v>0.38</v>
      </c>
      <c r="N408" s="54">
        <f>(VLOOKUP($D408,'P Adv'!$B$3:$H$356,4))</f>
        <v>0.15</v>
      </c>
      <c r="O408" s="54">
        <f>(VLOOKUP($D408,'P Adv'!$B$3:$H$356,5))</f>
        <v>7.0000000000000007E-2</v>
      </c>
      <c r="P408" s="54">
        <f>(VLOOKUP($D408,'P Adv'!$B$3:$H$356,6))</f>
        <v>0.03</v>
      </c>
      <c r="Q408" s="54">
        <f>(VLOOKUP($D408,'P Adv'!$B$3:$H$356,7))</f>
        <v>0.01</v>
      </c>
      <c r="R408" s="53">
        <f>_xlfn.NORM.DIST(VLOOKUP(D408,PASE!B:C,2,FALSE),0,0.25,TRUE)</f>
        <v>0.27712067146018027</v>
      </c>
      <c r="S408" s="51">
        <f>VLOOKUP('Value Matchup'!D408,'Team History'!$B$3:$I$354,8)</f>
        <v>38</v>
      </c>
      <c r="T408" s="52">
        <f>((VLOOKUP($C408,'Seed History'!$Y$2:$AE$19,2)))</f>
        <v>60.0625</v>
      </c>
      <c r="U408" s="52">
        <f>((VLOOKUP($C408,'Seed History'!$Y$2:$AE$19,3)))</f>
        <v>25.817204301075268</v>
      </c>
      <c r="V408" s="52">
        <f>((VLOOKUP($C408,'Seed History'!$Y$2:$AE$19,4)))</f>
        <v>1.653061224489796</v>
      </c>
      <c r="W408" s="52">
        <f>((VLOOKUP($C408,'Seed History'!$Y$2:$AE$19,5)))</f>
        <v>5.4444444444444446</v>
      </c>
      <c r="X408" s="52">
        <f>((VLOOKUP($C408,'Seed History'!$Y$2:$AE$19,6)))</f>
        <v>1.2857142857142858</v>
      </c>
      <c r="Y408" s="52">
        <f>((VLOOKUP($C408,'Seed History'!$Y$2:$AE$19,7)))</f>
        <v>0</v>
      </c>
      <c r="Z408" s="52">
        <f>VLOOKUP('Value Matchup'!$D408,'Team History'!$B$3:$I$354,2)</f>
        <v>9</v>
      </c>
      <c r="AA408" s="52">
        <f>VLOOKUP('Value Matchup'!$D408,'Team History'!$B$3:$I$354,3)</f>
        <v>6</v>
      </c>
      <c r="AB408" s="52">
        <f>VLOOKUP('Value Matchup'!$D408,'Team History'!$B$3:$I$354,4)</f>
        <v>1</v>
      </c>
      <c r="AC408" s="52">
        <f>VLOOKUP('Value Matchup'!$D408,'Team History'!$B$3:$I$354,5)</f>
        <v>0</v>
      </c>
      <c r="AD408" s="52">
        <f>VLOOKUP('Value Matchup'!$D408,'Team History'!$B$3:$I$354,6)</f>
        <v>0</v>
      </c>
      <c r="AE408" s="52">
        <f>VLOOKUP('Value Matchup'!$D408,'Team History'!$B$3:$I$354,7)</f>
        <v>0</v>
      </c>
    </row>
    <row r="409" spans="1:31" ht="15.75" thickBot="1" x14ac:dyDescent="0.3">
      <c r="A409" s="102"/>
      <c r="B409" s="42">
        <v>54</v>
      </c>
      <c r="C409">
        <v>12</v>
      </c>
      <c r="D409" s="13" t="s">
        <v>319</v>
      </c>
      <c r="E409" s="52">
        <f t="shared" si="6"/>
        <v>25.067246010824626</v>
      </c>
      <c r="F409" s="52">
        <f t="shared" si="7"/>
        <v>13.286447039268314</v>
      </c>
      <c r="G409" s="52">
        <f t="shared" si="8"/>
        <v>4.3886199462606701</v>
      </c>
      <c r="H409" s="52">
        <f t="shared" si="9"/>
        <v>4.1846332814795941</v>
      </c>
      <c r="I409" s="52">
        <f t="shared" si="10"/>
        <v>4.1846332814795941</v>
      </c>
      <c r="J409" s="52">
        <f t="shared" si="11"/>
        <v>4.1846332814795941</v>
      </c>
      <c r="K409" s="46">
        <f>_xlfn.NORM.DIST(VLOOKUP('Value Matchup'!D409,Ranking!C:N,4),0,11.8,TRUE)</f>
        <v>0.83658240575549581</v>
      </c>
      <c r="L409" s="54">
        <f>(VLOOKUP($D409,'P Adv'!$B$3:$H$356,2))</f>
        <v>0.25</v>
      </c>
      <c r="M409" s="54">
        <f>(VLOOKUP($D409,'P Adv'!$B$3:$H$356,3))</f>
        <v>0.08</v>
      </c>
      <c r="N409" s="54">
        <f>(VLOOKUP($D409,'P Adv'!$B$3:$H$356,4))</f>
        <v>0.01</v>
      </c>
      <c r="O409" s="54">
        <f>(VLOOKUP($D409,'P Adv'!$B$3:$H$356,5))</f>
        <v>0</v>
      </c>
      <c r="P409" s="54">
        <f>(VLOOKUP($D409,'P Adv'!$B$3:$H$356,6))</f>
        <v>0</v>
      </c>
      <c r="Q409" s="54">
        <f>(VLOOKUP($D409,'P Adv'!$B$3:$H$356,7))</f>
        <v>0</v>
      </c>
      <c r="R409" s="53">
        <f>_xlfn.NORM.DIST(VLOOKUP(D409,PASE!B:C,2,FALSE),0,0.25,TRUE)</f>
        <v>3.442505404230783E-4</v>
      </c>
      <c r="S409" s="51">
        <f>VLOOKUP('Value Matchup'!D409,'Team History'!$B$3:$I$354,8)</f>
        <v>5</v>
      </c>
      <c r="T409" s="52">
        <f>((VLOOKUP($C409,'Seed History'!$Y$2:$AE$19,2)))</f>
        <v>18.0625</v>
      </c>
      <c r="U409" s="52">
        <f>((VLOOKUP($C409,'Seed History'!$Y$2:$AE$19,3)))</f>
        <v>9.4901960784313726</v>
      </c>
      <c r="V409" s="52">
        <f>((VLOOKUP($C409,'Seed History'!$Y$2:$AE$19,4)))</f>
        <v>0.18181818181818182</v>
      </c>
      <c r="W409" s="52">
        <f>((VLOOKUP($C409,'Seed History'!$Y$2:$AE$19,5)))</f>
        <v>0</v>
      </c>
      <c r="X409" s="52">
        <f>((VLOOKUP($C409,'Seed History'!$Y$2:$AE$19,6)))</f>
        <v>0</v>
      </c>
      <c r="Y409" s="52">
        <f>((VLOOKUP($C409,'Seed History'!$Y$2:$AE$19,7)))</f>
        <v>0</v>
      </c>
      <c r="Z409" s="52">
        <f>VLOOKUP('Value Matchup'!$D409,'Team History'!$B$3:$I$354,2)</f>
        <v>0</v>
      </c>
      <c r="AA409" s="52">
        <f>VLOOKUP('Value Matchup'!$D409,'Team History'!$B$3:$I$354,3)</f>
        <v>0</v>
      </c>
      <c r="AB409" s="52">
        <f>VLOOKUP('Value Matchup'!$D409,'Team History'!$B$3:$I$354,4)</f>
        <v>0</v>
      </c>
      <c r="AC409" s="52">
        <f>VLOOKUP('Value Matchup'!$D409,'Team History'!$B$3:$I$354,5)</f>
        <v>0</v>
      </c>
      <c r="AD409" s="52">
        <f>VLOOKUP('Value Matchup'!$D409,'Team History'!$B$3:$I$354,6)</f>
        <v>0</v>
      </c>
      <c r="AE409" s="52">
        <f>VLOOKUP('Value Matchup'!$D409,'Team History'!$B$3:$I$354,7)</f>
        <v>0</v>
      </c>
    </row>
    <row r="410" spans="1:31" ht="15.75" thickBot="1" x14ac:dyDescent="0.3">
      <c r="A410" s="102"/>
      <c r="B410" s="42">
        <v>55</v>
      </c>
      <c r="C410">
        <v>4</v>
      </c>
      <c r="D410" s="13" t="s">
        <v>316</v>
      </c>
      <c r="E410" s="52">
        <f t="shared" si="6"/>
        <v>320.02325695953124</v>
      </c>
      <c r="F410" s="52">
        <f t="shared" si="7"/>
        <v>158.89823117600963</v>
      </c>
      <c r="G410" s="52">
        <f t="shared" si="8"/>
        <v>82.455626483058523</v>
      </c>
      <c r="H410" s="52">
        <f t="shared" si="9"/>
        <v>77.474552234634857</v>
      </c>
      <c r="I410" s="52">
        <f t="shared" si="10"/>
        <v>61.841178569545299</v>
      </c>
      <c r="J410" s="52">
        <f t="shared" si="11"/>
        <v>60.474526017008586</v>
      </c>
      <c r="K410" s="46">
        <f>_xlfn.NORM.DIST(VLOOKUP('Value Matchup'!D410,Ranking!C:N,4),0,11.8,TRUE)</f>
        <v>0.95614722341537117</v>
      </c>
      <c r="L410" s="54">
        <f>(VLOOKUP($D410,'P Adv'!$B$3:$H$356,2))</f>
        <v>0.8</v>
      </c>
      <c r="M410" s="54">
        <f>(VLOOKUP($D410,'P Adv'!$B$3:$H$356,3))</f>
        <v>0.4</v>
      </c>
      <c r="N410" s="54">
        <f>(VLOOKUP($D410,'P Adv'!$B$3:$H$356,4))</f>
        <v>0.18</v>
      </c>
      <c r="O410" s="54">
        <f>(VLOOKUP($D410,'P Adv'!$B$3:$H$356,5))</f>
        <v>7.0000000000000007E-2</v>
      </c>
      <c r="P410" s="54">
        <f>(VLOOKUP($D410,'P Adv'!$B$3:$H$356,6))</f>
        <v>0.03</v>
      </c>
      <c r="Q410" s="54">
        <f>(VLOOKUP($D410,'P Adv'!$B$3:$H$356,7))</f>
        <v>0.01</v>
      </c>
      <c r="R410" s="53">
        <f>_xlfn.NORM.DIST(VLOOKUP(D410,PASE!B:C,2,FALSE),0,0.25,TRUE)</f>
        <v>0.46238488722262694</v>
      </c>
      <c r="S410" s="51">
        <f>VLOOKUP('Value Matchup'!D410,'Team History'!$B$3:$I$354,8)</f>
        <v>42</v>
      </c>
      <c r="T410" s="52">
        <f>((VLOOKUP($C410,'Seed History'!$Y$2:$AE$19,2)))</f>
        <v>90.25</v>
      </c>
      <c r="U410" s="52">
        <f>((VLOOKUP($C410,'Seed History'!$Y$2:$AE$19,3)))</f>
        <v>39.377192982456137</v>
      </c>
      <c r="V410" s="52">
        <f>((VLOOKUP($C410,'Seed History'!$Y$2:$AE$19,4)))</f>
        <v>6.5820895522388057</v>
      </c>
      <c r="W410" s="52">
        <f>((VLOOKUP($C410,'Seed History'!$Y$2:$AE$19,5)))</f>
        <v>8.0476190476190474</v>
      </c>
      <c r="X410" s="52">
        <f>((VLOOKUP($C410,'Seed History'!$Y$2:$AE$19,6)))</f>
        <v>0.69230769230769229</v>
      </c>
      <c r="Y410" s="52">
        <f>((VLOOKUP($C410,'Seed History'!$Y$2:$AE$19,7)))</f>
        <v>0.33333333333333331</v>
      </c>
      <c r="Z410" s="52">
        <f>VLOOKUP('Value Matchup'!$D410,'Team History'!$B$3:$I$354,2)</f>
        <v>12</v>
      </c>
      <c r="AA410" s="52">
        <f>VLOOKUP('Value Matchup'!$D410,'Team History'!$B$3:$I$354,3)</f>
        <v>6</v>
      </c>
      <c r="AB410" s="52">
        <f>VLOOKUP('Value Matchup'!$D410,'Team History'!$B$3:$I$354,4)</f>
        <v>3</v>
      </c>
      <c r="AC410" s="52">
        <f>VLOOKUP('Value Matchup'!$D410,'Team History'!$B$3:$I$354,5)</f>
        <v>2</v>
      </c>
      <c r="AD410" s="52">
        <f>VLOOKUP('Value Matchup'!$D410,'Team History'!$B$3:$I$354,6)</f>
        <v>0</v>
      </c>
      <c r="AE410" s="52">
        <f>VLOOKUP('Value Matchup'!$D410,'Team History'!$B$3:$I$354,7)</f>
        <v>0</v>
      </c>
    </row>
    <row r="411" spans="1:31" ht="15.75" thickBot="1" x14ac:dyDescent="0.3">
      <c r="A411" s="102"/>
      <c r="B411" s="42">
        <v>56</v>
      </c>
      <c r="C411">
        <v>13</v>
      </c>
      <c r="D411" s="13" t="s">
        <v>249</v>
      </c>
      <c r="E411" s="52">
        <f t="shared" si="6"/>
        <v>23.599915579198864</v>
      </c>
      <c r="F411" s="52">
        <f t="shared" si="7"/>
        <v>11.715484874192391</v>
      </c>
      <c r="G411" s="52">
        <f t="shared" si="8"/>
        <v>9.6956765162152472</v>
      </c>
      <c r="H411" s="52">
        <f t="shared" si="9"/>
        <v>9.6956765162152472</v>
      </c>
      <c r="I411" s="52">
        <f t="shared" si="10"/>
        <v>9.6956765162152472</v>
      </c>
      <c r="J411" s="52">
        <f t="shared" si="11"/>
        <v>9.6956765162152472</v>
      </c>
      <c r="K411" s="46">
        <f>_xlfn.NORM.DIST(VLOOKUP('Value Matchup'!D411,Ranking!C:N,4),0,11.8,TRUE)</f>
        <v>0.79639504282153073</v>
      </c>
      <c r="L411" s="54">
        <f>(VLOOKUP($D411,'P Adv'!$B$3:$H$356,2))</f>
        <v>0.11</v>
      </c>
      <c r="M411" s="54">
        <f>(VLOOKUP($D411,'P Adv'!$B$3:$H$356,3))</f>
        <v>0.02</v>
      </c>
      <c r="N411" s="54">
        <f>(VLOOKUP($D411,'P Adv'!$B$3:$H$356,4))</f>
        <v>0</v>
      </c>
      <c r="O411" s="54">
        <f>(VLOOKUP($D411,'P Adv'!$B$3:$H$356,5))</f>
        <v>0</v>
      </c>
      <c r="P411" s="54">
        <f>(VLOOKUP($D411,'P Adv'!$B$3:$H$356,6))</f>
        <v>0</v>
      </c>
      <c r="Q411" s="54">
        <f>(VLOOKUP($D411,'P Adv'!$B$3:$H$356,7))</f>
        <v>0</v>
      </c>
      <c r="R411" s="53">
        <f>_xlfn.NORM.DIST(VLOOKUP(D411,PASE!B:C,2,FALSE),0,0.25,TRUE)</f>
        <v>0.81955104321434369</v>
      </c>
      <c r="S411" s="51">
        <f>VLOOKUP('Value Matchup'!D411,'Team History'!$B$3:$I$354,8)</f>
        <v>6</v>
      </c>
      <c r="T411" s="52">
        <f>((VLOOKUP($C411,'Seed History'!$Y$2:$AE$19,2)))</f>
        <v>6.6736111111111107</v>
      </c>
      <c r="U411" s="52">
        <f>((VLOOKUP($C411,'Seed History'!$Y$2:$AE$19,3)))</f>
        <v>1.1612903225806452</v>
      </c>
      <c r="V411" s="52">
        <f>((VLOOKUP($C411,'Seed History'!$Y$2:$AE$19,4)))</f>
        <v>0</v>
      </c>
      <c r="W411" s="52">
        <f>((VLOOKUP($C411,'Seed History'!$Y$2:$AE$19,5)))</f>
        <v>0</v>
      </c>
      <c r="X411" s="52">
        <f>((VLOOKUP($C411,'Seed History'!$Y$2:$AE$19,6)))</f>
        <v>0</v>
      </c>
      <c r="Y411" s="52">
        <f>((VLOOKUP($C411,'Seed History'!$Y$2:$AE$19,7)))</f>
        <v>0</v>
      </c>
      <c r="Z411" s="52">
        <f>VLOOKUP('Value Matchup'!$D411,'Team History'!$B$3:$I$354,2)</f>
        <v>1</v>
      </c>
      <c r="AA411" s="52">
        <f>VLOOKUP('Value Matchup'!$D411,'Team History'!$B$3:$I$354,3)</f>
        <v>0</v>
      </c>
      <c r="AB411" s="52">
        <f>VLOOKUP('Value Matchup'!$D411,'Team History'!$B$3:$I$354,4)</f>
        <v>0</v>
      </c>
      <c r="AC411" s="52">
        <f>VLOOKUP('Value Matchup'!$D411,'Team History'!$B$3:$I$354,5)</f>
        <v>0</v>
      </c>
      <c r="AD411" s="52">
        <f>VLOOKUP('Value Matchup'!$D411,'Team History'!$B$3:$I$354,6)</f>
        <v>0</v>
      </c>
      <c r="AE411" s="52">
        <f>VLOOKUP('Value Matchup'!$D411,'Team History'!$B$3:$I$354,7)</f>
        <v>0</v>
      </c>
    </row>
    <row r="412" spans="1:31" ht="15.75" thickBot="1" x14ac:dyDescent="0.3">
      <c r="A412" s="102"/>
      <c r="B412" s="42">
        <v>57</v>
      </c>
      <c r="C412">
        <v>6</v>
      </c>
      <c r="D412" s="13" t="s">
        <v>344</v>
      </c>
      <c r="E412" s="52">
        <f t="shared" si="6"/>
        <v>140.16483296732082</v>
      </c>
      <c r="F412" s="52">
        <f t="shared" si="7"/>
        <v>62.216959973659932</v>
      </c>
      <c r="G412" s="52">
        <f t="shared" si="8"/>
        <v>34.13831476586671</v>
      </c>
      <c r="H412" s="52">
        <f t="shared" si="9"/>
        <v>27.120706609885943</v>
      </c>
      <c r="I412" s="52">
        <f t="shared" si="10"/>
        <v>27.23344043109709</v>
      </c>
      <c r="J412" s="52">
        <f t="shared" si="11"/>
        <v>26.065788361538971</v>
      </c>
      <c r="K412" s="46">
        <f>_xlfn.NORM.DIST(VLOOKUP('Value Matchup'!D412,Ranking!C:N,4),0,11.8,TRUE)</f>
        <v>0.97269925374535549</v>
      </c>
      <c r="L412" s="54">
        <f>(VLOOKUP($D412,'P Adv'!$B$3:$H$356,2))</f>
        <v>0.6</v>
      </c>
      <c r="M412" s="54">
        <f>(VLOOKUP($D412,'P Adv'!$B$3:$H$356,3))</f>
        <v>0.25</v>
      </c>
      <c r="N412" s="54">
        <f>(VLOOKUP($D412,'P Adv'!$B$3:$H$356,4))</f>
        <v>0.1</v>
      </c>
      <c r="O412" s="54">
        <f>(VLOOKUP($D412,'P Adv'!$B$3:$H$356,5))</f>
        <v>0.04</v>
      </c>
      <c r="P412" s="54">
        <f>(VLOOKUP($D412,'P Adv'!$B$3:$H$356,6))</f>
        <v>0.01</v>
      </c>
      <c r="Q412" s="54">
        <f>(VLOOKUP($D412,'P Adv'!$B$3:$H$356,7))</f>
        <v>0</v>
      </c>
      <c r="R412" s="53">
        <f>_xlfn.NORM.DIST(VLOOKUP(D412,PASE!B:C,2,FALSE),0,0.25,TRUE)</f>
        <v>0.13648322972438792</v>
      </c>
      <c r="S412" s="51">
        <f>VLOOKUP('Value Matchup'!D412,'Team History'!$B$3:$I$354,8)</f>
        <v>23</v>
      </c>
      <c r="T412" s="52">
        <f>((VLOOKUP($C412,'Seed History'!$Y$2:$AE$19,2)))</f>
        <v>55.006944444444443</v>
      </c>
      <c r="U412" s="52">
        <f>((VLOOKUP($C412,'Seed History'!$Y$2:$AE$19,3)))</f>
        <v>20.775280898876403</v>
      </c>
      <c r="V412" s="52">
        <f>((VLOOKUP($C412,'Seed History'!$Y$2:$AE$19,4)))</f>
        <v>5.2325581395348841</v>
      </c>
      <c r="W412" s="52">
        <f>((VLOOKUP($C412,'Seed History'!$Y$2:$AE$19,5)))</f>
        <v>0.6</v>
      </c>
      <c r="X412" s="52">
        <f>((VLOOKUP($C412,'Seed History'!$Y$2:$AE$19,6)))</f>
        <v>1.3333333333333333</v>
      </c>
      <c r="Y412" s="52">
        <f>((VLOOKUP($C412,'Seed History'!$Y$2:$AE$19,7)))</f>
        <v>0.5</v>
      </c>
      <c r="Z412" s="52">
        <f>VLOOKUP('Value Matchup'!$D412,'Team History'!$B$3:$I$354,2)</f>
        <v>4</v>
      </c>
      <c r="AA412" s="52">
        <f>VLOOKUP('Value Matchup'!$D412,'Team History'!$B$3:$I$354,3)</f>
        <v>2</v>
      </c>
      <c r="AB412" s="52">
        <f>VLOOKUP('Value Matchup'!$D412,'Team History'!$B$3:$I$354,4)</f>
        <v>0</v>
      </c>
      <c r="AC412" s="52">
        <f>VLOOKUP('Value Matchup'!$D412,'Team History'!$B$3:$I$354,5)</f>
        <v>0</v>
      </c>
      <c r="AD412" s="52">
        <f>VLOOKUP('Value Matchup'!$D412,'Team History'!$B$3:$I$354,6)</f>
        <v>0</v>
      </c>
      <c r="AE412" s="52">
        <f>VLOOKUP('Value Matchup'!$D412,'Team History'!$B$3:$I$354,7)</f>
        <v>0</v>
      </c>
    </row>
    <row r="413" spans="1:31" ht="15.75" thickBot="1" x14ac:dyDescent="0.3">
      <c r="A413" s="102"/>
      <c r="B413" s="42">
        <v>58</v>
      </c>
      <c r="C413">
        <v>11</v>
      </c>
      <c r="D413" s="13" t="s">
        <v>86</v>
      </c>
      <c r="E413" s="52">
        <f t="shared" si="6"/>
        <v>269.15124439331618</v>
      </c>
      <c r="F413" s="52">
        <f t="shared" si="7"/>
        <v>208.23261461864848</v>
      </c>
      <c r="G413" s="52">
        <f t="shared" si="8"/>
        <v>173.84301834541847</v>
      </c>
      <c r="H413" s="52">
        <f t="shared" si="9"/>
        <v>164.74098495023236</v>
      </c>
      <c r="I413" s="52">
        <f t="shared" si="10"/>
        <v>157.43599234988247</v>
      </c>
      <c r="J413" s="52">
        <f t="shared" si="11"/>
        <v>154.08629038499134</v>
      </c>
      <c r="K413" s="46">
        <f>_xlfn.NORM.DIST(VLOOKUP('Value Matchup'!D413,Ranking!C:N,4),0,11.8,TRUE)</f>
        <v>0.93231024010035568</v>
      </c>
      <c r="L413" s="54">
        <f>(VLOOKUP($D413,'P Adv'!$B$3:$H$356,2))</f>
        <v>0.33</v>
      </c>
      <c r="M413" s="54">
        <f>(VLOOKUP($D413,'P Adv'!$B$3:$H$356,3))</f>
        <v>0.11</v>
      </c>
      <c r="N413" s="54">
        <f>(VLOOKUP($D413,'P Adv'!$B$3:$H$356,4))</f>
        <v>0.04</v>
      </c>
      <c r="O413" s="54">
        <f>(VLOOKUP($D413,'P Adv'!$B$3:$H$356,5))</f>
        <v>0.01</v>
      </c>
      <c r="P413" s="54">
        <f>(VLOOKUP($D413,'P Adv'!$B$3:$H$356,6))</f>
        <v>0</v>
      </c>
      <c r="Q413" s="54">
        <f>(VLOOKUP($D413,'P Adv'!$B$3:$H$356,7))</f>
        <v>0</v>
      </c>
      <c r="R413" s="53">
        <f>_xlfn.NORM.DIST(VLOOKUP(D413,PASE!B:C,2,FALSE),0,0.25,TRUE)</f>
        <v>0.74254074234520251</v>
      </c>
      <c r="S413" s="51">
        <f>VLOOKUP('Value Matchup'!D413,'Team History'!$B$3:$I$354,8)</f>
        <v>92</v>
      </c>
      <c r="T413" s="52">
        <f>((VLOOKUP($C413,'Seed History'!$Y$2:$AE$19,2)))</f>
        <v>20.25</v>
      </c>
      <c r="U413" s="52">
        <f>((VLOOKUP($C413,'Seed History'!$Y$2:$AE$19,3)))</f>
        <v>10.666666666666666</v>
      </c>
      <c r="V413" s="52">
        <f>((VLOOKUP($C413,'Seed History'!$Y$2:$AE$19,4)))</f>
        <v>3.375</v>
      </c>
      <c r="W413" s="52">
        <f>((VLOOKUP($C413,'Seed History'!$Y$2:$AE$19,5)))</f>
        <v>1.7777777777777777</v>
      </c>
      <c r="X413" s="52">
        <f>((VLOOKUP($C413,'Seed History'!$Y$2:$AE$19,6)))</f>
        <v>0</v>
      </c>
      <c r="Y413" s="52">
        <f>((VLOOKUP($C413,'Seed History'!$Y$2:$AE$19,7)))</f>
        <v>0</v>
      </c>
      <c r="Z413" s="52">
        <f>VLOOKUP('Value Matchup'!$D413,'Team History'!$B$3:$I$354,2)</f>
        <v>22</v>
      </c>
      <c r="AA413" s="52">
        <f>VLOOKUP('Value Matchup'!$D413,'Team History'!$B$3:$I$354,3)</f>
        <v>14</v>
      </c>
      <c r="AB413" s="52">
        <f>VLOOKUP('Value Matchup'!$D413,'Team History'!$B$3:$I$354,4)</f>
        <v>6</v>
      </c>
      <c r="AC413" s="52">
        <f>VLOOKUP('Value Matchup'!$D413,'Team History'!$B$3:$I$354,5)</f>
        <v>4</v>
      </c>
      <c r="AD413" s="52">
        <f>VLOOKUP('Value Matchup'!$D413,'Team History'!$B$3:$I$354,6)</f>
        <v>2</v>
      </c>
      <c r="AE413" s="52">
        <f>VLOOKUP('Value Matchup'!$D413,'Team History'!$B$3:$I$354,7)</f>
        <v>0</v>
      </c>
    </row>
    <row r="414" spans="1:31" ht="15.75" thickBot="1" x14ac:dyDescent="0.3">
      <c r="A414" s="102"/>
      <c r="B414" s="42">
        <v>59</v>
      </c>
      <c r="C414">
        <v>3</v>
      </c>
      <c r="D414" s="13" t="s">
        <v>412</v>
      </c>
      <c r="E414" s="52">
        <f t="shared" si="6"/>
        <v>430.98842198113101</v>
      </c>
      <c r="F414" s="52">
        <f t="shared" si="7"/>
        <v>233.92162652396664</v>
      </c>
      <c r="G414" s="52">
        <f t="shared" si="8"/>
        <v>137.25444768777353</v>
      </c>
      <c r="H414" s="52">
        <f t="shared" si="9"/>
        <v>106.8586333795003</v>
      </c>
      <c r="I414" s="52">
        <f t="shared" si="10"/>
        <v>100.36680809967808</v>
      </c>
      <c r="J414" s="52">
        <f t="shared" si="11"/>
        <v>89.06545855300503</v>
      </c>
      <c r="K414" s="46">
        <f>_xlfn.NORM.DIST(VLOOKUP('Value Matchup'!D414,Ranking!C:N,4),0,11.8,TRUE)</f>
        <v>0.96710343756797068</v>
      </c>
      <c r="L414" s="54">
        <f>(VLOOKUP($D414,'P Adv'!$B$3:$H$356,2))</f>
        <v>0.88</v>
      </c>
      <c r="M414" s="54">
        <f>(VLOOKUP($D414,'P Adv'!$B$3:$H$356,3))</f>
        <v>0.5</v>
      </c>
      <c r="N414" s="54">
        <f>(VLOOKUP($D414,'P Adv'!$B$3:$H$356,4))</f>
        <v>0.22</v>
      </c>
      <c r="O414" s="54">
        <f>(VLOOKUP($D414,'P Adv'!$B$3:$H$356,5))</f>
        <v>0.09</v>
      </c>
      <c r="P414" s="54">
        <f>(VLOOKUP($D414,'P Adv'!$B$3:$H$356,6))</f>
        <v>0.03</v>
      </c>
      <c r="Q414" s="54">
        <f>(VLOOKUP($D414,'P Adv'!$B$3:$H$356,7))</f>
        <v>0.01</v>
      </c>
      <c r="R414" s="53">
        <f>_xlfn.NORM.DIST(VLOOKUP(D414,PASE!B:C,2,FALSE),0,0.25,TRUE)</f>
        <v>0.82385252581999868</v>
      </c>
      <c r="S414" s="51">
        <f>VLOOKUP('Value Matchup'!D414,'Team History'!$B$3:$I$354,8)</f>
        <v>48</v>
      </c>
      <c r="T414" s="52">
        <f>((VLOOKUP($C414,'Seed History'!$Y$2:$AE$19,2)))</f>
        <v>103.36111111111111</v>
      </c>
      <c r="U414" s="52">
        <f>((VLOOKUP($C414,'Seed History'!$Y$2:$AE$19,3)))</f>
        <v>46.106557377049178</v>
      </c>
      <c r="V414" s="52">
        <f>((VLOOKUP($C414,'Seed History'!$Y$2:$AE$19,4)))</f>
        <v>18.253333333333334</v>
      </c>
      <c r="W414" s="52">
        <f>((VLOOKUP($C414,'Seed History'!$Y$2:$AE$19,5)))</f>
        <v>7.8108108108108105</v>
      </c>
      <c r="X414" s="52">
        <f>((VLOOKUP($C414,'Seed History'!$Y$2:$AE$19,6)))</f>
        <v>7.117647058823529</v>
      </c>
      <c r="Y414" s="52">
        <f>((VLOOKUP($C414,'Seed History'!$Y$2:$AE$19,7)))</f>
        <v>1.4545454545454546</v>
      </c>
      <c r="Z414" s="52">
        <f>VLOOKUP('Value Matchup'!$D414,'Team History'!$B$3:$I$354,2)</f>
        <v>10</v>
      </c>
      <c r="AA414" s="52">
        <f>VLOOKUP('Value Matchup'!$D414,'Team History'!$B$3:$I$354,3)</f>
        <v>8</v>
      </c>
      <c r="AB414" s="52">
        <f>VLOOKUP('Value Matchup'!$D414,'Team History'!$B$3:$I$354,4)</f>
        <v>2</v>
      </c>
      <c r="AC414" s="52">
        <f>VLOOKUP('Value Matchup'!$D414,'Team History'!$B$3:$I$354,5)</f>
        <v>1</v>
      </c>
      <c r="AD414" s="52">
        <f>VLOOKUP('Value Matchup'!$D414,'Team History'!$B$3:$I$354,6)</f>
        <v>0</v>
      </c>
      <c r="AE414" s="52">
        <f>VLOOKUP('Value Matchup'!$D414,'Team History'!$B$3:$I$354,7)</f>
        <v>0</v>
      </c>
    </row>
    <row r="415" spans="1:31" ht="15.75" thickBot="1" x14ac:dyDescent="0.3">
      <c r="A415" s="102"/>
      <c r="B415" s="42">
        <v>60</v>
      </c>
      <c r="C415">
        <v>14</v>
      </c>
      <c r="D415" s="13" t="s">
        <v>282</v>
      </c>
      <c r="E415" s="52">
        <f t="shared" si="6"/>
        <v>13.829233442900616</v>
      </c>
      <c r="F415" s="52">
        <f t="shared" si="7"/>
        <v>6.7494323713208759</v>
      </c>
      <c r="G415" s="52">
        <f t="shared" si="8"/>
        <v>6.415978789959099</v>
      </c>
      <c r="H415" s="52">
        <f t="shared" si="9"/>
        <v>6.415978789959099</v>
      </c>
      <c r="I415" s="52">
        <f t="shared" si="10"/>
        <v>6.415978789959099</v>
      </c>
      <c r="J415" s="52">
        <f t="shared" si="11"/>
        <v>6.415978789959099</v>
      </c>
      <c r="K415" s="46">
        <f>_xlfn.NORM.DIST(VLOOKUP('Value Matchup'!D415,Ranking!C:N,4),0,11.8,TRUE)</f>
        <v>0.67272766220515789</v>
      </c>
      <c r="L415" s="54">
        <f>(VLOOKUP($D415,'P Adv'!$B$3:$H$356,2))</f>
        <v>0.05</v>
      </c>
      <c r="M415" s="54">
        <f>(VLOOKUP($D415,'P Adv'!$B$3:$H$356,3))</f>
        <v>0.01</v>
      </c>
      <c r="N415" s="54">
        <f>(VLOOKUP($D415,'P Adv'!$B$3:$H$356,4))</f>
        <v>0</v>
      </c>
      <c r="O415" s="54">
        <f>(VLOOKUP($D415,'P Adv'!$B$3:$H$356,5))</f>
        <v>0</v>
      </c>
      <c r="P415" s="54">
        <f>(VLOOKUP($D415,'P Adv'!$B$3:$H$356,6))</f>
        <v>0</v>
      </c>
      <c r="Q415" s="54">
        <f>(VLOOKUP($D415,'P Adv'!$B$3:$H$356,7))</f>
        <v>0</v>
      </c>
      <c r="R415" s="53">
        <f>_xlfn.NORM.DIST(VLOOKUP(D415,PASE!B:C,2,FALSE),0,0.25,TRUE)</f>
        <v>0.93126703528461685</v>
      </c>
      <c r="S415" s="51">
        <f>VLOOKUP('Value Matchup'!D415,'Team History'!$B$3:$I$354,8)</f>
        <v>4</v>
      </c>
      <c r="T415" s="52">
        <f>((VLOOKUP($C415,'Seed History'!$Y$2:$AE$19,2)))</f>
        <v>3.3611111111111112</v>
      </c>
      <c r="U415" s="52">
        <f>((VLOOKUP($C415,'Seed History'!$Y$2:$AE$19,3)))</f>
        <v>0.18181818181818182</v>
      </c>
      <c r="V415" s="52">
        <f>((VLOOKUP($C415,'Seed History'!$Y$2:$AE$19,4)))</f>
        <v>0</v>
      </c>
      <c r="W415" s="52">
        <f>((VLOOKUP($C415,'Seed History'!$Y$2:$AE$19,5)))</f>
        <v>0</v>
      </c>
      <c r="X415" s="52">
        <f>((VLOOKUP($C415,'Seed History'!$Y$2:$AE$19,6)))</f>
        <v>0</v>
      </c>
      <c r="Y415" s="52">
        <f>((VLOOKUP($C415,'Seed History'!$Y$2:$AE$19,7)))</f>
        <v>0</v>
      </c>
      <c r="Z415" s="52">
        <f>VLOOKUP('Value Matchup'!$D415,'Team History'!$B$3:$I$354,2)</f>
        <v>1</v>
      </c>
      <c r="AA415" s="52">
        <f>VLOOKUP('Value Matchup'!$D415,'Team History'!$B$3:$I$354,3)</f>
        <v>0</v>
      </c>
      <c r="AB415" s="52">
        <f>VLOOKUP('Value Matchup'!$D415,'Team History'!$B$3:$I$354,4)</f>
        <v>0</v>
      </c>
      <c r="AC415" s="52">
        <f>VLOOKUP('Value Matchup'!$D415,'Team History'!$B$3:$I$354,5)</f>
        <v>0</v>
      </c>
      <c r="AD415" s="52">
        <f>VLOOKUP('Value Matchup'!$D415,'Team History'!$B$3:$I$354,6)</f>
        <v>0</v>
      </c>
      <c r="AE415" s="52">
        <f>VLOOKUP('Value Matchup'!$D415,'Team History'!$B$3:$I$354,7)</f>
        <v>0</v>
      </c>
    </row>
    <row r="416" spans="1:31" ht="15.75" thickBot="1" x14ac:dyDescent="0.3">
      <c r="A416" s="102"/>
      <c r="B416" s="42">
        <v>61</v>
      </c>
      <c r="C416">
        <v>7</v>
      </c>
      <c r="D416" s="13" t="s">
        <v>89</v>
      </c>
      <c r="E416" s="52">
        <f t="shared" si="6"/>
        <v>118.83221839920921</v>
      </c>
      <c r="F416" s="52">
        <f t="shared" si="7"/>
        <v>38.480834171886109</v>
      </c>
      <c r="G416" s="52">
        <f t="shared" si="8"/>
        <v>25.035079483838171</v>
      </c>
      <c r="H416" s="52">
        <f t="shared" si="9"/>
        <v>21.361770475669843</v>
      </c>
      <c r="I416" s="52">
        <f t="shared" si="10"/>
        <v>20.579250383028075</v>
      </c>
      <c r="J416" s="52">
        <f t="shared" si="11"/>
        <v>21.043979903783097</v>
      </c>
      <c r="K416" s="46">
        <f>_xlfn.NORM.DIST(VLOOKUP('Value Matchup'!D416,Ranking!C:N,4),0,11.8,TRUE)</f>
        <v>0.93175408400456816</v>
      </c>
      <c r="L416" s="54">
        <f>(VLOOKUP($D416,'P Adv'!$B$3:$H$356,2))</f>
        <v>0.55000000000000004</v>
      </c>
      <c r="M416" s="54">
        <f>(VLOOKUP($D416,'P Adv'!$B$3:$H$356,3))</f>
        <v>0.2</v>
      </c>
      <c r="N416" s="54">
        <f>(VLOOKUP($D416,'P Adv'!$B$3:$H$356,4))</f>
        <v>0.06</v>
      </c>
      <c r="O416" s="54">
        <f>(VLOOKUP($D416,'P Adv'!$B$3:$H$356,5))</f>
        <v>0.02</v>
      </c>
      <c r="P416" s="54">
        <f>(VLOOKUP($D416,'P Adv'!$B$3:$H$356,6))</f>
        <v>0.01</v>
      </c>
      <c r="Q416" s="54">
        <f>(VLOOKUP($D416,'P Adv'!$B$3:$H$356,7))</f>
        <v>0</v>
      </c>
      <c r="R416" s="53">
        <f>_xlfn.NORM.DIST(VLOOKUP(D416,PASE!B:C,2,FALSE),0,0.25,TRUE)</f>
        <v>7.0340197127960247E-2</v>
      </c>
      <c r="S416" s="51">
        <f>VLOOKUP('Value Matchup'!D416,'Team History'!$B$3:$I$354,8)</f>
        <v>20</v>
      </c>
      <c r="T416" s="52">
        <f>((VLOOKUP($C416,'Seed History'!$Y$2:$AE$19,2)))</f>
        <v>52.5625</v>
      </c>
      <c r="U416" s="52">
        <f>((VLOOKUP($C416,'Seed History'!$Y$2:$AE$19,3)))</f>
        <v>9.0114942528735629</v>
      </c>
      <c r="V416" s="52">
        <f>((VLOOKUP($C416,'Seed History'!$Y$2:$AE$19,4)))</f>
        <v>3.5714285714285716</v>
      </c>
      <c r="W416" s="52">
        <f>((VLOOKUP($C416,'Seed History'!$Y$2:$AE$19,5)))</f>
        <v>0.9</v>
      </c>
      <c r="X416" s="52">
        <f>((VLOOKUP($C416,'Seed History'!$Y$2:$AE$19,6)))</f>
        <v>0.33333333333333331</v>
      </c>
      <c r="Y416" s="52">
        <f>((VLOOKUP($C416,'Seed History'!$Y$2:$AE$19,7)))</f>
        <v>1</v>
      </c>
      <c r="Z416" s="52">
        <f>VLOOKUP('Value Matchup'!$D416,'Team History'!$B$3:$I$354,2)</f>
        <v>4</v>
      </c>
      <c r="AA416" s="52">
        <f>VLOOKUP('Value Matchup'!$D416,'Team History'!$B$3:$I$354,3)</f>
        <v>3</v>
      </c>
      <c r="AB416" s="52">
        <f>VLOOKUP('Value Matchup'!$D416,'Team History'!$B$3:$I$354,4)</f>
        <v>0</v>
      </c>
      <c r="AC416" s="52">
        <f>VLOOKUP('Value Matchup'!$D416,'Team History'!$B$3:$I$354,5)</f>
        <v>0</v>
      </c>
      <c r="AD416" s="52">
        <f>VLOOKUP('Value Matchup'!$D416,'Team History'!$B$3:$I$354,6)</f>
        <v>0</v>
      </c>
      <c r="AE416" s="52">
        <f>VLOOKUP('Value Matchup'!$D416,'Team History'!$B$3:$I$354,7)</f>
        <v>0</v>
      </c>
    </row>
    <row r="417" spans="1:31" ht="15.75" thickBot="1" x14ac:dyDescent="0.3">
      <c r="A417" s="102"/>
      <c r="B417" s="42">
        <v>62</v>
      </c>
      <c r="C417">
        <v>10</v>
      </c>
      <c r="D417" s="13" t="s">
        <v>334</v>
      </c>
      <c r="E417" s="52">
        <f t="shared" si="6"/>
        <v>36.791416447985078</v>
      </c>
      <c r="F417" s="52">
        <f t="shared" si="7"/>
        <v>13.061579055259612</v>
      </c>
      <c r="G417" s="52">
        <f t="shared" si="8"/>
        <v>5.0593752570476536</v>
      </c>
      <c r="H417" s="52">
        <f t="shared" si="9"/>
        <v>2.1629724153473102</v>
      </c>
      <c r="I417" s="52">
        <f t="shared" si="10"/>
        <v>2.0157387438562919</v>
      </c>
      <c r="J417" s="52">
        <f t="shared" si="11"/>
        <v>1.9957387438562919</v>
      </c>
      <c r="K417" s="46">
        <f>_xlfn.NORM.DIST(VLOOKUP('Value Matchup'!D417,Ranking!C:N,4),0,11.8,TRUE)</f>
        <v>0.95104634565031765</v>
      </c>
      <c r="L417" s="54">
        <f>(VLOOKUP($D417,'P Adv'!$B$3:$H$356,2))</f>
        <v>0.5</v>
      </c>
      <c r="M417" s="54">
        <f>(VLOOKUP($D417,'P Adv'!$B$3:$H$356,3))</f>
        <v>0.16</v>
      </c>
      <c r="N417" s="54">
        <f>(VLOOKUP($D417,'P Adv'!$B$3:$H$356,4))</f>
        <v>0.06</v>
      </c>
      <c r="O417" s="54">
        <f>(VLOOKUP($D417,'P Adv'!$B$3:$H$356,5))</f>
        <v>0.02</v>
      </c>
      <c r="P417" s="54">
        <f>(VLOOKUP($D417,'P Adv'!$B$3:$H$356,6))</f>
        <v>0.01</v>
      </c>
      <c r="Q417" s="54">
        <f>(VLOOKUP($D417,'P Adv'!$B$3:$H$356,7))</f>
        <v>0</v>
      </c>
      <c r="R417" s="53">
        <f>_xlfn.NORM.DIST(VLOOKUP(D417,PASE!B:C,2,FALSE),0,0.25,TRUE)</f>
        <v>4.6823026277828306E-2</v>
      </c>
      <c r="S417" s="51">
        <f>VLOOKUP('Value Matchup'!D417,'Team History'!$B$3:$I$354,8)</f>
        <v>2</v>
      </c>
      <c r="T417" s="52">
        <f>((VLOOKUP($C417,'Seed History'!$Y$2:$AE$19,2)))</f>
        <v>22.5625</v>
      </c>
      <c r="U417" s="52">
        <f>((VLOOKUP($C417,'Seed History'!$Y$2:$AE$19,3)))</f>
        <v>9.2807017543859658</v>
      </c>
      <c r="V417" s="52">
        <f>((VLOOKUP($C417,'Seed History'!$Y$2:$AE$19,4)))</f>
        <v>2.7826086956521738</v>
      </c>
      <c r="W417" s="52">
        <f>((VLOOKUP($C417,'Seed History'!$Y$2:$AE$19,5)))</f>
        <v>0.125</v>
      </c>
      <c r="X417" s="52">
        <f>((VLOOKUP($C417,'Seed History'!$Y$2:$AE$19,6)))</f>
        <v>0</v>
      </c>
      <c r="Y417" s="52">
        <f>((VLOOKUP($C417,'Seed History'!$Y$2:$AE$19,7)))</f>
        <v>0</v>
      </c>
      <c r="Z417" s="52">
        <f>VLOOKUP('Value Matchup'!$D417,'Team History'!$B$3:$I$354,2)</f>
        <v>0</v>
      </c>
      <c r="AA417" s="52">
        <f>VLOOKUP('Value Matchup'!$D417,'Team History'!$B$3:$I$354,3)</f>
        <v>0</v>
      </c>
      <c r="AB417" s="52">
        <f>VLOOKUP('Value Matchup'!$D417,'Team History'!$B$3:$I$354,4)</f>
        <v>0</v>
      </c>
      <c r="AC417" s="52">
        <f>VLOOKUP('Value Matchup'!$D417,'Team History'!$B$3:$I$354,5)</f>
        <v>0</v>
      </c>
      <c r="AD417" s="52">
        <f>VLOOKUP('Value Matchup'!$D417,'Team History'!$B$3:$I$354,6)</f>
        <v>0</v>
      </c>
      <c r="AE417" s="52">
        <f>VLOOKUP('Value Matchup'!$D417,'Team History'!$B$3:$I$354,7)</f>
        <v>0</v>
      </c>
    </row>
    <row r="418" spans="1:31" ht="15.75" thickBot="1" x14ac:dyDescent="0.3">
      <c r="A418" s="102"/>
      <c r="B418" s="42">
        <v>63</v>
      </c>
      <c r="C418">
        <v>2</v>
      </c>
      <c r="D418" s="13" t="s">
        <v>225</v>
      </c>
      <c r="E418" s="52">
        <f t="shared" si="6"/>
        <v>282.6587403705654</v>
      </c>
      <c r="F418" s="52">
        <f t="shared" si="7"/>
        <v>128.67723918035642</v>
      </c>
      <c r="G418" s="52">
        <f t="shared" si="8"/>
        <v>85.358968874101507</v>
      </c>
      <c r="H418" s="52">
        <f t="shared" si="9"/>
        <v>31.943960873215342</v>
      </c>
      <c r="I418" s="52">
        <f t="shared" si="10"/>
        <v>21.052800636992949</v>
      </c>
      <c r="J418" s="52">
        <f t="shared" si="11"/>
        <v>15.745767079835737</v>
      </c>
      <c r="K418" s="46">
        <f>_xlfn.NORM.DIST(VLOOKUP('Value Matchup'!D418,Ranking!C:N,4),0,11.8,TRUE)</f>
        <v>0.99329856848537579</v>
      </c>
      <c r="L418" s="54">
        <f>(VLOOKUP($D418,'P Adv'!$B$3:$H$356,2))</f>
        <v>0.93</v>
      </c>
      <c r="M418" s="54">
        <f>(VLOOKUP($D418,'P Adv'!$B$3:$H$356,3))</f>
        <v>0.65</v>
      </c>
      <c r="N418" s="54">
        <f>(VLOOKUP($D418,'P Adv'!$B$3:$H$356,4))</f>
        <v>0.38</v>
      </c>
      <c r="O418" s="54">
        <f>(VLOOKUP($D418,'P Adv'!$B$3:$H$356,5))</f>
        <v>0.2</v>
      </c>
      <c r="P418" s="54">
        <f>(VLOOKUP($D418,'P Adv'!$B$3:$H$356,6))</f>
        <v>0.1</v>
      </c>
      <c r="Q418" s="54">
        <f>(VLOOKUP($D418,'P Adv'!$B$3:$H$356,7))</f>
        <v>0.05</v>
      </c>
      <c r="R418" s="53">
        <f>_xlfn.NORM.DIST(VLOOKUP(D418,PASE!B:C,2,FALSE),0,0.25,TRUE)</f>
        <v>8.7612879237632876E-2</v>
      </c>
      <c r="S418" s="51">
        <f>VLOOKUP('Value Matchup'!D418,'Team History'!$B$3:$I$354,8)</f>
        <v>12</v>
      </c>
      <c r="T418" s="52">
        <f>((VLOOKUP($C418,'Seed History'!$Y$2:$AE$19,2)))</f>
        <v>126.5625</v>
      </c>
      <c r="U418" s="52">
        <f>((VLOOKUP($C418,'Seed History'!$Y$2:$AE$19,3)))</f>
        <v>61.340740740740742</v>
      </c>
      <c r="V418" s="52">
        <f>((VLOOKUP($C418,'Seed History'!$Y$2:$AE$19,4)))</f>
        <v>46.428571428571431</v>
      </c>
      <c r="W418" s="52">
        <f>((VLOOKUP($C418,'Seed History'!$Y$2:$AE$19,5)))</f>
        <v>12.938461538461539</v>
      </c>
      <c r="X418" s="52">
        <f>((VLOOKUP($C418,'Seed History'!$Y$2:$AE$19,6)))</f>
        <v>5.8275862068965516</v>
      </c>
      <c r="Y418" s="52">
        <f>((VLOOKUP($C418,'Seed History'!$Y$2:$AE$19,7)))</f>
        <v>1.9230769230769231</v>
      </c>
      <c r="Z418" s="52">
        <f>VLOOKUP('Value Matchup'!$D418,'Team History'!$B$3:$I$354,2)</f>
        <v>2</v>
      </c>
      <c r="AA418" s="52">
        <f>VLOOKUP('Value Matchup'!$D418,'Team History'!$B$3:$I$354,3)</f>
        <v>1</v>
      </c>
      <c r="AB418" s="52">
        <f>VLOOKUP('Value Matchup'!$D418,'Team History'!$B$3:$I$354,4)</f>
        <v>0</v>
      </c>
      <c r="AC418" s="52">
        <f>VLOOKUP('Value Matchup'!$D418,'Team History'!$B$3:$I$354,5)</f>
        <v>0</v>
      </c>
      <c r="AD418" s="52">
        <f>VLOOKUP('Value Matchup'!$D418,'Team History'!$B$3:$I$354,6)</f>
        <v>0</v>
      </c>
      <c r="AE418" s="52">
        <f>VLOOKUP('Value Matchup'!$D418,'Team History'!$B$3:$I$354,7)</f>
        <v>0</v>
      </c>
    </row>
    <row r="419" spans="1:31" ht="15.75" thickBot="1" x14ac:dyDescent="0.3">
      <c r="A419" s="102"/>
      <c r="B419" s="42">
        <v>64</v>
      </c>
      <c r="C419">
        <v>15</v>
      </c>
      <c r="D419" s="13" t="s">
        <v>171</v>
      </c>
      <c r="E419" s="52">
        <f t="shared" si="6"/>
        <v>12.345538593200423</v>
      </c>
      <c r="F419" s="52">
        <f t="shared" si="7"/>
        <v>10.26257099585858</v>
      </c>
      <c r="G419" s="52">
        <f t="shared" si="8"/>
        <v>7.9623395657523455</v>
      </c>
      <c r="H419" s="52">
        <f t="shared" si="9"/>
        <v>7.9623395657523455</v>
      </c>
      <c r="I419" s="52">
        <f t="shared" si="10"/>
        <v>7.9623395657523455</v>
      </c>
      <c r="J419" s="52">
        <f t="shared" si="11"/>
        <v>7.9623395657523455</v>
      </c>
      <c r="K419" s="46">
        <f>_xlfn.NORM.DIST(VLOOKUP('Value Matchup'!D419,Ranking!C:N,4),0,11.8,TRUE)</f>
        <v>0.59246803546679749</v>
      </c>
      <c r="L419" s="54">
        <f>(VLOOKUP($D419,'P Adv'!$B$3:$H$356,2))</f>
        <v>0.04</v>
      </c>
      <c r="M419" s="54">
        <f>(VLOOKUP($D419,'P Adv'!$B$3:$H$356,3))</f>
        <v>0</v>
      </c>
      <c r="N419" s="54">
        <f>(VLOOKUP($D419,'P Adv'!$B$3:$H$356,4))</f>
        <v>0</v>
      </c>
      <c r="O419" s="54">
        <f>(VLOOKUP($D419,'P Adv'!$B$3:$H$356,5))</f>
        <v>0</v>
      </c>
      <c r="P419" s="54">
        <f>(VLOOKUP($D419,'P Adv'!$B$3:$H$356,6))</f>
        <v>0</v>
      </c>
      <c r="Q419" s="54">
        <f>(VLOOKUP($D419,'P Adv'!$B$3:$H$356,7))</f>
        <v>0</v>
      </c>
      <c r="R419" s="53">
        <f>_xlfn.NORM.DIST(VLOOKUP(D419,PASE!B:C,2,FALSE),0,0.25,TRUE)</f>
        <v>0.99999987768367149</v>
      </c>
      <c r="S419" s="51">
        <f>VLOOKUP('Value Matchup'!D419,'Team History'!$B$3:$I$354,8)</f>
        <v>5</v>
      </c>
      <c r="T419" s="52">
        <f>((VLOOKUP($C419,'Seed History'!$Y$2:$AE$19,2)))</f>
        <v>0.5625</v>
      </c>
      <c r="U419" s="52">
        <f>((VLOOKUP($C419,'Seed History'!$Y$2:$AE$19,3)))</f>
        <v>0.44444444444444442</v>
      </c>
      <c r="V419" s="52">
        <f>((VLOOKUP($C419,'Seed History'!$Y$2:$AE$19,4)))</f>
        <v>0</v>
      </c>
      <c r="W419" s="52">
        <f>((VLOOKUP($C419,'Seed History'!$Y$2:$AE$19,5)))</f>
        <v>0</v>
      </c>
      <c r="X419" s="52">
        <f>((VLOOKUP($C419,'Seed History'!$Y$2:$AE$19,6)))</f>
        <v>0</v>
      </c>
      <c r="Y419" s="52">
        <f>((VLOOKUP($C419,'Seed History'!$Y$2:$AE$19,7)))</f>
        <v>0</v>
      </c>
      <c r="Z419" s="52">
        <f>VLOOKUP('Value Matchup'!$D419,'Team History'!$B$3:$I$354,2)</f>
        <v>2</v>
      </c>
      <c r="AA419" s="52">
        <f>VLOOKUP('Value Matchup'!$D419,'Team History'!$B$3:$I$354,3)</f>
        <v>1</v>
      </c>
      <c r="AB419" s="52">
        <f>VLOOKUP('Value Matchup'!$D419,'Team History'!$B$3:$I$354,4)</f>
        <v>0</v>
      </c>
      <c r="AC419" s="52">
        <f>VLOOKUP('Value Matchup'!$D419,'Team History'!$B$3:$I$354,5)</f>
        <v>0</v>
      </c>
      <c r="AD419" s="52">
        <f>VLOOKUP('Value Matchup'!$D419,'Team History'!$B$3:$I$354,6)</f>
        <v>0</v>
      </c>
      <c r="AE419" s="52">
        <f>VLOOKUP('Value Matchup'!$D419,'Team History'!$B$3:$I$354,7)</f>
        <v>0</v>
      </c>
    </row>
    <row r="420" spans="1:31" ht="15.75" thickBot="1" x14ac:dyDescent="0.3">
      <c r="A420" s="76"/>
      <c r="B420" s="42">
        <v>65</v>
      </c>
      <c r="C420">
        <v>16</v>
      </c>
      <c r="D420" s="13" t="s">
        <v>122</v>
      </c>
      <c r="E420" s="52">
        <f t="shared" si="6"/>
        <v>0.6756520197391469</v>
      </c>
      <c r="F420" s="52">
        <f t="shared" si="7"/>
        <v>0.65099235063749761</v>
      </c>
      <c r="G420" s="52">
        <f t="shared" si="8"/>
        <v>0.65099235063749761</v>
      </c>
      <c r="H420" s="52">
        <f t="shared" si="9"/>
        <v>0.65099235063749761</v>
      </c>
      <c r="I420" s="52">
        <f t="shared" si="10"/>
        <v>0.65099235063749761</v>
      </c>
      <c r="J420" s="52">
        <f t="shared" si="11"/>
        <v>0.65099235063749761</v>
      </c>
      <c r="K420" s="46">
        <f>_xlfn.NORM.DIST(VLOOKUP('Value Matchup'!D420,Ranking!C:N,4),0,11.8,TRUE)</f>
        <v>0.40162139383742435</v>
      </c>
      <c r="L420" s="54">
        <f>(VLOOKUP($D420,'P Adv'!$B$3:$H$356,2))</f>
        <v>0.02</v>
      </c>
      <c r="M420" s="54">
        <f>(VLOOKUP($D420,'P Adv'!$B$3:$H$356,3))</f>
        <v>0</v>
      </c>
      <c r="N420" s="54">
        <f>(VLOOKUP($D420,'P Adv'!$B$3:$H$356,4))</f>
        <v>0</v>
      </c>
      <c r="O420" s="54">
        <f>(VLOOKUP($D420,'P Adv'!$B$3:$H$356,5))</f>
        <v>0</v>
      </c>
      <c r="P420" s="54">
        <f>(VLOOKUP($D420,'P Adv'!$B$3:$H$356,6))</f>
        <v>0</v>
      </c>
      <c r="Q420" s="54">
        <f>(VLOOKUP($D420,'P Adv'!$B$3:$H$356,7))</f>
        <v>0</v>
      </c>
      <c r="R420" s="53">
        <f>_xlfn.NORM.DIST(VLOOKUP(D420,PASE!B:C,2,FALSE),0,0.25,TRUE)</f>
        <v>0.24937095680007326</v>
      </c>
      <c r="S420" s="51">
        <f>VLOOKUP('Value Matchup'!D420,'Team History'!$B$3:$I$354,8)</f>
        <v>1</v>
      </c>
      <c r="T420" s="52">
        <f>((VLOOKUP($C420,'Seed History'!$Y$2:$AE$19,2)))</f>
        <v>6.9444444444444441E-3</v>
      </c>
      <c r="U420" s="52">
        <f>((VLOOKUP($C420,'Seed History'!$Y$2:$AE$19,3)))</f>
        <v>0</v>
      </c>
      <c r="V420" s="52">
        <f>((VLOOKUP($C420,'Seed History'!$Y$2:$AE$19,4)))</f>
        <v>0</v>
      </c>
      <c r="W420" s="52">
        <f>((VLOOKUP($C420,'Seed History'!$Y$2:$AE$19,5)))</f>
        <v>0</v>
      </c>
      <c r="X420" s="52">
        <f>((VLOOKUP($C420,'Seed History'!$Y$2:$AE$19,6)))</f>
        <v>0</v>
      </c>
      <c r="Y420" s="52">
        <f>((VLOOKUP($C420,'Seed History'!$Y$2:$AE$19,7)))</f>
        <v>0</v>
      </c>
      <c r="Z420" s="52">
        <f>VLOOKUP('Value Matchup'!$D420,'Team History'!$B$3:$I$354,2)</f>
        <v>0</v>
      </c>
      <c r="AA420" s="52">
        <f>VLOOKUP('Value Matchup'!$D420,'Team History'!$B$3:$I$354,3)</f>
        <v>0</v>
      </c>
      <c r="AB420" s="52">
        <f>VLOOKUP('Value Matchup'!$D420,'Team History'!$B$3:$I$354,4)</f>
        <v>0</v>
      </c>
      <c r="AC420" s="52">
        <f>VLOOKUP('Value Matchup'!$D420,'Team History'!$B$3:$I$354,5)</f>
        <v>0</v>
      </c>
      <c r="AD420" s="52">
        <f>VLOOKUP('Value Matchup'!$D420,'Team History'!$B$3:$I$354,6)</f>
        <v>0</v>
      </c>
      <c r="AE420" s="52">
        <f>VLOOKUP('Value Matchup'!$D420,'Team History'!$B$3:$I$354,7)</f>
        <v>0</v>
      </c>
    </row>
    <row r="421" spans="1:31" ht="15.75" thickBot="1" x14ac:dyDescent="0.3">
      <c r="A421" s="76"/>
      <c r="B421" s="42">
        <v>66</v>
      </c>
      <c r="C421">
        <v>11</v>
      </c>
      <c r="D421" s="13" t="s">
        <v>417</v>
      </c>
      <c r="E421" s="52">
        <f t="shared" si="6"/>
        <v>84.139221665563127</v>
      </c>
      <c r="F421" s="52">
        <f t="shared" si="7"/>
        <v>59.392405840963356</v>
      </c>
      <c r="G421" s="52">
        <f t="shared" si="8"/>
        <v>46.329955745315196</v>
      </c>
      <c r="H421" s="52">
        <f t="shared" si="9"/>
        <v>43.900326805106623</v>
      </c>
      <c r="I421" s="52">
        <f t="shared" si="10"/>
        <v>40.290102561265613</v>
      </c>
      <c r="J421" s="52">
        <f t="shared" si="11"/>
        <v>40.290102561265613</v>
      </c>
      <c r="K421" s="46">
        <f>_xlfn.NORM.DIST(VLOOKUP('Value Matchup'!D421,Ranking!C:N,4),0,11.8,TRUE)</f>
        <v>0.8634086847361736</v>
      </c>
      <c r="L421" s="54">
        <f>(VLOOKUP($D421,'P Adv'!$B$3:$H$356,2))</f>
        <v>0.17</v>
      </c>
      <c r="M421" s="54">
        <f>(VLOOKUP($D421,'P Adv'!$B$3:$H$356,3))</f>
        <v>0.03</v>
      </c>
      <c r="N421" s="54">
        <f>(VLOOKUP($D421,'P Adv'!$B$3:$H$356,4))</f>
        <v>0.01</v>
      </c>
      <c r="O421" s="54">
        <f>(VLOOKUP($D421,'P Adv'!$B$3:$H$356,5))</f>
        <v>0</v>
      </c>
      <c r="P421" s="54">
        <f>(VLOOKUP($D421,'P Adv'!$B$3:$H$356,6))</f>
        <v>0</v>
      </c>
      <c r="Q421" s="54">
        <f>(VLOOKUP($D421,'P Adv'!$B$3:$H$356,7))</f>
        <v>0</v>
      </c>
      <c r="R421" s="53">
        <f>_xlfn.NORM.DIST(VLOOKUP(D421,PASE!B:C,2,FALSE),0,0.25,TRUE)</f>
        <v>0.43627204304658818</v>
      </c>
      <c r="S421" s="51">
        <f>VLOOKUP('Value Matchup'!D421,'Team History'!$B$3:$I$354,8)</f>
        <v>31</v>
      </c>
      <c r="T421" s="52">
        <f>((VLOOKUP($C421,'Seed History'!$Y$2:$AE$19,2)))</f>
        <v>20.25</v>
      </c>
      <c r="U421" s="52">
        <f>((VLOOKUP($C421,'Seed History'!$Y$2:$AE$19,3)))</f>
        <v>10.666666666666666</v>
      </c>
      <c r="V421" s="52">
        <f>((VLOOKUP($C421,'Seed History'!$Y$2:$AE$19,4)))</f>
        <v>3.375</v>
      </c>
      <c r="W421" s="52">
        <f>((VLOOKUP($C421,'Seed History'!$Y$2:$AE$19,5)))</f>
        <v>1.7777777777777777</v>
      </c>
      <c r="X421" s="52">
        <f>((VLOOKUP($C421,'Seed History'!$Y$2:$AE$19,6)))</f>
        <v>0</v>
      </c>
      <c r="Y421" s="52">
        <f>((VLOOKUP($C421,'Seed History'!$Y$2:$AE$19,7)))</f>
        <v>0</v>
      </c>
      <c r="Z421" s="52">
        <f>VLOOKUP('Value Matchup'!$D421,'Team History'!$B$3:$I$354,2)</f>
        <v>6</v>
      </c>
      <c r="AA421" s="52">
        <f>VLOOKUP('Value Matchup'!$D421,'Team History'!$B$3:$I$354,3)</f>
        <v>3</v>
      </c>
      <c r="AB421" s="52">
        <f>VLOOKUP('Value Matchup'!$D421,'Team History'!$B$3:$I$354,4)</f>
        <v>1</v>
      </c>
      <c r="AC421" s="52">
        <f>VLOOKUP('Value Matchup'!$D421,'Team History'!$B$3:$I$354,5)</f>
        <v>1</v>
      </c>
      <c r="AD421" s="52">
        <f>VLOOKUP('Value Matchup'!$D421,'Team History'!$B$3:$I$354,6)</f>
        <v>0</v>
      </c>
      <c r="AE421" s="52">
        <f>VLOOKUP('Value Matchup'!$D421,'Team History'!$B$3:$I$354,7)</f>
        <v>0</v>
      </c>
    </row>
    <row r="422" spans="1:31" ht="15.75" thickBot="1" x14ac:dyDescent="0.3">
      <c r="A422" s="76"/>
      <c r="B422" s="42">
        <v>67</v>
      </c>
      <c r="C422" s="9">
        <v>16</v>
      </c>
      <c r="D422" s="13" t="s">
        <v>284</v>
      </c>
      <c r="E422" s="52">
        <f t="shared" si="6"/>
        <v>4.3965790304002033</v>
      </c>
      <c r="F422" s="52">
        <f t="shared" si="7"/>
        <v>4.3404811399280803</v>
      </c>
      <c r="G422" s="52">
        <f t="shared" si="8"/>
        <v>4.3404811399280803</v>
      </c>
      <c r="H422" s="52">
        <f t="shared" si="9"/>
        <v>4.3404811399280803</v>
      </c>
      <c r="I422" s="52">
        <f t="shared" si="10"/>
        <v>4.3404811399280803</v>
      </c>
      <c r="J422" s="52">
        <f t="shared" si="11"/>
        <v>4.3404811399280803</v>
      </c>
      <c r="K422" s="46">
        <f>_xlfn.NORM.DIST(VLOOKUP('Value Matchup'!D422,Ranking!C:N,4),0,11.8,TRUE)</f>
        <v>0.37982813299250467</v>
      </c>
      <c r="L422" s="54">
        <f>(VLOOKUP($D422,'P Adv'!$B$3:$H$356,2))</f>
        <v>0.01</v>
      </c>
      <c r="M422" s="54">
        <f>(VLOOKUP($D422,'P Adv'!$B$3:$H$356,3))</f>
        <v>0</v>
      </c>
      <c r="N422" s="54">
        <f>(VLOOKUP($D422,'P Adv'!$B$3:$H$356,4))</f>
        <v>0</v>
      </c>
      <c r="O422" s="54">
        <f>(VLOOKUP($D422,'P Adv'!$B$3:$H$356,5))</f>
        <v>0</v>
      </c>
      <c r="P422" s="54">
        <f>(VLOOKUP($D422,'P Adv'!$B$3:$H$356,6))</f>
        <v>0</v>
      </c>
      <c r="Q422" s="54">
        <f>(VLOOKUP($D422,'P Adv'!$B$3:$H$356,7))</f>
        <v>0</v>
      </c>
      <c r="R422" s="53">
        <f>_xlfn.NORM.DIST(VLOOKUP(D422,PASE!B:C,2,FALSE),0,0.25,TRUE)</f>
        <v>0.48826809499311152</v>
      </c>
      <c r="S422" s="51">
        <f>VLOOKUP('Value Matchup'!D422,'Team History'!$B$3:$I$354,8)</f>
        <v>5</v>
      </c>
      <c r="T422" s="52">
        <f>((VLOOKUP($C422,'Seed History'!$Y$2:$AE$19,2)))</f>
        <v>6.9444444444444441E-3</v>
      </c>
      <c r="U422" s="52">
        <f>((VLOOKUP($C422,'Seed History'!$Y$2:$AE$19,3)))</f>
        <v>0</v>
      </c>
      <c r="V422" s="52">
        <f>((VLOOKUP($C422,'Seed History'!$Y$2:$AE$19,4)))</f>
        <v>0</v>
      </c>
      <c r="W422" s="52">
        <f>((VLOOKUP($C422,'Seed History'!$Y$2:$AE$19,5)))</f>
        <v>0</v>
      </c>
      <c r="X422" s="52">
        <f>((VLOOKUP($C422,'Seed History'!$Y$2:$AE$19,6)))</f>
        <v>0</v>
      </c>
      <c r="Y422" s="52">
        <f>((VLOOKUP($C422,'Seed History'!$Y$2:$AE$19,7)))</f>
        <v>0</v>
      </c>
      <c r="Z422" s="52">
        <f>VLOOKUP('Value Matchup'!$D422,'Team History'!$B$3:$I$354,2)</f>
        <v>0</v>
      </c>
      <c r="AA422" s="52">
        <f>VLOOKUP('Value Matchup'!$D422,'Team History'!$B$3:$I$354,3)</f>
        <v>0</v>
      </c>
      <c r="AB422" s="52">
        <f>VLOOKUP('Value Matchup'!$D422,'Team History'!$B$3:$I$354,4)</f>
        <v>0</v>
      </c>
      <c r="AC422" s="52">
        <f>VLOOKUP('Value Matchup'!$D422,'Team History'!$B$3:$I$354,5)</f>
        <v>0</v>
      </c>
      <c r="AD422" s="52">
        <f>VLOOKUP('Value Matchup'!$D422,'Team History'!$B$3:$I$354,6)</f>
        <v>0</v>
      </c>
      <c r="AE422" s="52">
        <f>VLOOKUP('Value Matchup'!$D422,'Team History'!$B$3:$I$354,7)</f>
        <v>0</v>
      </c>
    </row>
    <row r="423" spans="1:31" ht="15.75" thickBot="1" x14ac:dyDescent="0.3">
      <c r="A423" s="76"/>
      <c r="B423" s="42">
        <v>68</v>
      </c>
      <c r="C423" s="9">
        <v>12</v>
      </c>
      <c r="D423" s="13" t="s">
        <v>271</v>
      </c>
      <c r="E423" s="52">
        <f t="shared" si="6"/>
        <v>299.74830740532468</v>
      </c>
      <c r="F423" s="52">
        <f t="shared" si="7"/>
        <v>239.69039838713536</v>
      </c>
      <c r="G423" s="52">
        <f t="shared" si="8"/>
        <v>205.12296287539348</v>
      </c>
      <c r="H423" s="52">
        <f t="shared" si="9"/>
        <v>198.91765534554111</v>
      </c>
      <c r="I423" s="52">
        <f t="shared" si="10"/>
        <v>186.9380596384471</v>
      </c>
      <c r="J423" s="52">
        <f t="shared" si="11"/>
        <v>185.12312702059808</v>
      </c>
      <c r="K423" s="46">
        <f>_xlfn.NORM.DIST(VLOOKUP('Value Matchup'!D423,Ranking!C:N,4),0,11.8,TRUE)</f>
        <v>0.90406800379803509</v>
      </c>
      <c r="L423" s="54">
        <f>(VLOOKUP($D423,'P Adv'!$B$3:$H$356,2))</f>
        <v>0.31</v>
      </c>
      <c r="M423" s="54">
        <f>(VLOOKUP($D423,'P Adv'!$B$3:$H$356,3))</f>
        <v>0.08</v>
      </c>
      <c r="N423" s="54">
        <f>(VLOOKUP($D423,'P Adv'!$B$3:$H$356,4))</f>
        <v>0.03</v>
      </c>
      <c r="O423" s="54">
        <f>(VLOOKUP($D423,'P Adv'!$B$3:$H$356,5))</f>
        <v>0.01</v>
      </c>
      <c r="P423" s="54">
        <f>(VLOOKUP($D423,'P Adv'!$B$3:$H$356,6))</f>
        <v>0</v>
      </c>
      <c r="Q423" s="54">
        <f>(VLOOKUP($D423,'P Adv'!$B$3:$H$356,7))</f>
        <v>0</v>
      </c>
      <c r="R423" s="53">
        <f>_xlfn.NORM.DIST(VLOOKUP(D423,PASE!B:C,2,FALSE),0,0.25,TRUE)</f>
        <v>0.91086461405096575</v>
      </c>
      <c r="S423" s="51">
        <f>VLOOKUP('Value Matchup'!D423,'Team History'!$B$3:$I$354,8)</f>
        <v>102</v>
      </c>
      <c r="T423" s="52">
        <f>((VLOOKUP($C423,'Seed History'!$Y$2:$AE$19,2)))</f>
        <v>18.0625</v>
      </c>
      <c r="U423" s="52">
        <f>((VLOOKUP($C423,'Seed History'!$Y$2:$AE$19,3)))</f>
        <v>9.4901960784313726</v>
      </c>
      <c r="V423" s="52">
        <f>((VLOOKUP($C423,'Seed History'!$Y$2:$AE$19,4)))</f>
        <v>0.18181818181818182</v>
      </c>
      <c r="W423" s="52">
        <f>((VLOOKUP($C423,'Seed History'!$Y$2:$AE$19,5)))</f>
        <v>0</v>
      </c>
      <c r="X423" s="52">
        <f>((VLOOKUP($C423,'Seed History'!$Y$2:$AE$19,6)))</f>
        <v>0</v>
      </c>
      <c r="Y423" s="52">
        <f>((VLOOKUP($C423,'Seed History'!$Y$2:$AE$19,7)))</f>
        <v>0</v>
      </c>
      <c r="Z423" s="52">
        <f>VLOOKUP('Value Matchup'!$D423,'Team History'!$B$3:$I$354,2)</f>
        <v>21</v>
      </c>
      <c r="AA423" s="52">
        <f>VLOOKUP('Value Matchup'!$D423,'Team History'!$B$3:$I$354,3)</f>
        <v>15</v>
      </c>
      <c r="AB423" s="52">
        <f>VLOOKUP('Value Matchup'!$D423,'Team History'!$B$3:$I$354,4)</f>
        <v>9</v>
      </c>
      <c r="AC423" s="52">
        <f>VLOOKUP('Value Matchup'!$D423,'Team History'!$B$3:$I$354,5)</f>
        <v>7</v>
      </c>
      <c r="AD423" s="52">
        <f>VLOOKUP('Value Matchup'!$D423,'Team History'!$B$3:$I$354,6)</f>
        <v>1</v>
      </c>
      <c r="AE423" s="52">
        <f>VLOOKUP('Value Matchup'!$D423,'Team History'!$B$3:$I$354,7)</f>
        <v>0</v>
      </c>
    </row>
    <row r="424" spans="1:31" x14ac:dyDescent="0.25">
      <c r="C424" s="9"/>
    </row>
    <row r="425" spans="1:31" x14ac:dyDescent="0.25">
      <c r="C425" s="9"/>
      <c r="E425" s="9">
        <f t="shared" ref="E425:J425" si="12">MIN(E356:E423)</f>
        <v>6.7717326206848836E-3</v>
      </c>
      <c r="F425" s="9">
        <f t="shared" si="12"/>
        <v>0</v>
      </c>
      <c r="G425" s="9">
        <f t="shared" si="12"/>
        <v>0</v>
      </c>
      <c r="H425" s="9">
        <f t="shared" si="12"/>
        <v>0</v>
      </c>
      <c r="I425" s="9">
        <f t="shared" si="12"/>
        <v>0</v>
      </c>
      <c r="J425" s="9">
        <f t="shared" si="12"/>
        <v>0</v>
      </c>
      <c r="K425" s="55">
        <f t="shared" ref="K425:AE425" si="13">MIN(K356:K423)</f>
        <v>0.34645271593381582</v>
      </c>
      <c r="L425" s="9">
        <f t="shared" si="13"/>
        <v>0</v>
      </c>
      <c r="M425" s="9">
        <f t="shared" si="13"/>
        <v>0</v>
      </c>
      <c r="N425" s="9">
        <f t="shared" si="13"/>
        <v>0</v>
      </c>
      <c r="O425" s="9">
        <f t="shared" si="13"/>
        <v>0</v>
      </c>
      <c r="P425" s="9">
        <f t="shared" si="13"/>
        <v>0</v>
      </c>
      <c r="Q425" s="9">
        <f t="shared" si="13"/>
        <v>0</v>
      </c>
      <c r="S425" s="9">
        <f t="shared" si="13"/>
        <v>0</v>
      </c>
      <c r="T425" s="9">
        <f t="shared" ref="T425:Y425" si="14">MIN(T356:T423)</f>
        <v>6.9444444444444441E-3</v>
      </c>
      <c r="U425" s="9">
        <f t="shared" si="14"/>
        <v>0</v>
      </c>
      <c r="V425" s="9">
        <f t="shared" si="14"/>
        <v>0</v>
      </c>
      <c r="W425" s="9">
        <f t="shared" si="14"/>
        <v>0</v>
      </c>
      <c r="X425" s="9">
        <f t="shared" si="14"/>
        <v>0</v>
      </c>
      <c r="Y425" s="9">
        <f t="shared" si="14"/>
        <v>0</v>
      </c>
      <c r="Z425" s="9">
        <f t="shared" si="13"/>
        <v>0</v>
      </c>
      <c r="AA425" s="9">
        <f t="shared" si="13"/>
        <v>0</v>
      </c>
      <c r="AB425" s="9">
        <f t="shared" si="13"/>
        <v>0</v>
      </c>
      <c r="AC425" s="9">
        <f t="shared" si="13"/>
        <v>0</v>
      </c>
      <c r="AD425" s="9">
        <f t="shared" si="13"/>
        <v>0</v>
      </c>
      <c r="AE425" s="9">
        <f t="shared" si="13"/>
        <v>0</v>
      </c>
    </row>
    <row r="426" spans="1:31" x14ac:dyDescent="0.25">
      <c r="C426" s="9"/>
      <c r="E426" s="9">
        <f t="shared" ref="E426:J426" si="15">MAX(E356:E423)</f>
        <v>675.18237244788747</v>
      </c>
      <c r="F426" s="9">
        <f t="shared" si="15"/>
        <v>501.17214748908299</v>
      </c>
      <c r="G426" s="9">
        <f t="shared" si="15"/>
        <v>397.09932226546618</v>
      </c>
      <c r="H426" s="9">
        <f t="shared" si="15"/>
        <v>253.12507811320785</v>
      </c>
      <c r="I426" s="9">
        <f t="shared" si="15"/>
        <v>211.2796444019942</v>
      </c>
      <c r="J426" s="9">
        <f t="shared" si="15"/>
        <v>185.14980053277003</v>
      </c>
      <c r="K426" s="55">
        <f t="shared" ref="K426:AE426" si="16">MAX(K356:K423)</f>
        <v>0.99936357962468403</v>
      </c>
      <c r="L426" s="9">
        <f t="shared" si="16"/>
        <v>0.99</v>
      </c>
      <c r="M426" s="9">
        <f t="shared" si="16"/>
        <v>0.85</v>
      </c>
      <c r="N426" s="9">
        <f t="shared" si="16"/>
        <v>0.71</v>
      </c>
      <c r="O426" s="9">
        <f t="shared" si="16"/>
        <v>0.56000000000000005</v>
      </c>
      <c r="P426" s="9">
        <f t="shared" si="16"/>
        <v>0.42</v>
      </c>
      <c r="Q426" s="9">
        <f t="shared" si="16"/>
        <v>0.3</v>
      </c>
      <c r="S426" s="9">
        <f t="shared" si="16"/>
        <v>129</v>
      </c>
      <c r="T426" s="9">
        <f t="shared" ref="T426:Y426" si="17">MAX(T356:T423)</f>
        <v>142.00694444444446</v>
      </c>
      <c r="U426" s="9">
        <f t="shared" si="17"/>
        <v>105.7972027972028</v>
      </c>
      <c r="V426" s="9">
        <f t="shared" si="17"/>
        <v>81.300813008130078</v>
      </c>
      <c r="W426" s="9">
        <f t="shared" si="17"/>
        <v>32.49</v>
      </c>
      <c r="X426" s="9">
        <f t="shared" si="17"/>
        <v>20.280701754385966</v>
      </c>
      <c r="Y426" s="9">
        <f t="shared" si="17"/>
        <v>14.235294117647058</v>
      </c>
      <c r="Z426" s="9">
        <f t="shared" si="16"/>
        <v>30</v>
      </c>
      <c r="AA426" s="9">
        <f t="shared" si="16"/>
        <v>20</v>
      </c>
      <c r="AB426" s="9">
        <f t="shared" si="16"/>
        <v>13</v>
      </c>
      <c r="AC426" s="9">
        <f t="shared" si="16"/>
        <v>7</v>
      </c>
      <c r="AD426" s="9">
        <f t="shared" si="16"/>
        <v>4</v>
      </c>
      <c r="AE426" s="9">
        <f t="shared" si="16"/>
        <v>0</v>
      </c>
    </row>
    <row r="427" spans="1:31" x14ac:dyDescent="0.25">
      <c r="C427" s="9"/>
    </row>
    <row r="428" spans="1:31" x14ac:dyDescent="0.25">
      <c r="C428" s="9"/>
    </row>
    <row r="429" spans="1:31" x14ac:dyDescent="0.25">
      <c r="C429" s="9"/>
    </row>
    <row r="430" spans="1:31" x14ac:dyDescent="0.25">
      <c r="C430" s="9"/>
    </row>
    <row r="431" spans="1:31" x14ac:dyDescent="0.25">
      <c r="C431" s="9"/>
    </row>
    <row r="432" spans="1:31" x14ac:dyDescent="0.25">
      <c r="C432" s="9"/>
    </row>
    <row r="433" spans="1:3" x14ac:dyDescent="0.25">
      <c r="C433" s="9"/>
    </row>
    <row r="434" spans="1:3" x14ac:dyDescent="0.25">
      <c r="C434" s="9"/>
    </row>
    <row r="437" spans="1:3" ht="15" customHeight="1" x14ac:dyDescent="0.25">
      <c r="A437" s="43"/>
      <c r="B437" s="45"/>
    </row>
    <row r="438" spans="1:3" x14ac:dyDescent="0.25">
      <c r="A438" s="43"/>
      <c r="B438" s="45"/>
    </row>
    <row r="439" spans="1:3" x14ac:dyDescent="0.25">
      <c r="A439" s="43"/>
      <c r="B439" s="45"/>
    </row>
    <row r="440" spans="1:3" x14ac:dyDescent="0.25">
      <c r="A440" s="43"/>
      <c r="B440" s="45"/>
    </row>
    <row r="441" spans="1:3" x14ac:dyDescent="0.25">
      <c r="A441" s="43"/>
      <c r="B441" s="45"/>
    </row>
    <row r="442" spans="1:3" x14ac:dyDescent="0.25">
      <c r="A442" s="43"/>
      <c r="B442" s="45"/>
    </row>
    <row r="443" spans="1:3" x14ac:dyDescent="0.25">
      <c r="A443" s="43"/>
      <c r="B443" s="45"/>
    </row>
    <row r="444" spans="1:3" x14ac:dyDescent="0.25">
      <c r="A444" s="43"/>
      <c r="B444" s="45"/>
    </row>
    <row r="445" spans="1:3" x14ac:dyDescent="0.25">
      <c r="A445" s="43"/>
      <c r="B445" s="45"/>
    </row>
    <row r="446" spans="1:3" x14ac:dyDescent="0.25">
      <c r="A446" s="43"/>
      <c r="B446" s="45"/>
    </row>
    <row r="447" spans="1:3" x14ac:dyDescent="0.25">
      <c r="A447" s="43"/>
      <c r="B447" s="45"/>
    </row>
    <row r="448" spans="1:3" x14ac:dyDescent="0.25">
      <c r="A448" s="43"/>
      <c r="B448" s="45"/>
    </row>
    <row r="449" spans="1:2" x14ac:dyDescent="0.25">
      <c r="A449" s="43"/>
      <c r="B449" s="45"/>
    </row>
    <row r="450" spans="1:2" x14ac:dyDescent="0.25">
      <c r="A450" s="43"/>
      <c r="B450" s="45"/>
    </row>
    <row r="451" spans="1:2" x14ac:dyDescent="0.25">
      <c r="A451" s="43"/>
      <c r="B451" s="45"/>
    </row>
    <row r="452" spans="1:2" x14ac:dyDescent="0.25">
      <c r="A452" s="43"/>
      <c r="B452" s="45"/>
    </row>
    <row r="453" spans="1:2" ht="15" customHeight="1" x14ac:dyDescent="0.25">
      <c r="A453" s="43"/>
      <c r="B453" s="45"/>
    </row>
    <row r="454" spans="1:2" x14ac:dyDescent="0.25">
      <c r="A454" s="43"/>
      <c r="B454" s="45"/>
    </row>
    <row r="455" spans="1:2" x14ac:dyDescent="0.25">
      <c r="A455" s="43"/>
      <c r="B455" s="45"/>
    </row>
    <row r="456" spans="1:2" x14ac:dyDescent="0.25">
      <c r="A456" s="43"/>
      <c r="B456" s="45"/>
    </row>
    <row r="457" spans="1:2" x14ac:dyDescent="0.25">
      <c r="A457" s="43"/>
      <c r="B457" s="45"/>
    </row>
    <row r="458" spans="1:2" x14ac:dyDescent="0.25">
      <c r="A458" s="43"/>
      <c r="B458" s="45"/>
    </row>
    <row r="459" spans="1:2" x14ac:dyDescent="0.25">
      <c r="A459" s="43"/>
      <c r="B459" s="45"/>
    </row>
    <row r="460" spans="1:2" x14ac:dyDescent="0.25">
      <c r="A460" s="43"/>
      <c r="B460" s="45"/>
    </row>
    <row r="461" spans="1:2" x14ac:dyDescent="0.25">
      <c r="A461" s="43"/>
      <c r="B461" s="45"/>
    </row>
    <row r="462" spans="1:2" x14ac:dyDescent="0.25">
      <c r="A462" s="43"/>
      <c r="B462" s="45"/>
    </row>
    <row r="463" spans="1:2" x14ac:dyDescent="0.25">
      <c r="A463" s="43"/>
      <c r="B463" s="45"/>
    </row>
    <row r="464" spans="1:2" x14ac:dyDescent="0.25">
      <c r="A464" s="43"/>
      <c r="B464" s="45"/>
    </row>
    <row r="465" spans="1:2" x14ac:dyDescent="0.25">
      <c r="A465" s="43"/>
      <c r="B465" s="45"/>
    </row>
    <row r="466" spans="1:2" x14ac:dyDescent="0.25">
      <c r="A466" s="43"/>
      <c r="B466" s="45"/>
    </row>
    <row r="467" spans="1:2" x14ac:dyDescent="0.25">
      <c r="A467" s="43"/>
      <c r="B467" s="45"/>
    </row>
    <row r="468" spans="1:2" x14ac:dyDescent="0.25">
      <c r="A468" s="43"/>
      <c r="B468" s="45"/>
    </row>
  </sheetData>
  <autoFilter ref="B355:D355" xr:uid="{00000000-0009-0000-0000-000008000000}">
    <sortState xmlns:xlrd2="http://schemas.microsoft.com/office/spreadsheetml/2017/richdata2" ref="B356:D423">
      <sortCondition ref="B355"/>
    </sortState>
  </autoFilter>
  <sortState xmlns:xlrd2="http://schemas.microsoft.com/office/spreadsheetml/2017/richdata2" ref="B354:D421">
    <sortCondition ref="B354:B421"/>
  </sortState>
  <mergeCells count="8">
    <mergeCell ref="Z354:AE354"/>
    <mergeCell ref="L354:Q354"/>
    <mergeCell ref="A356:A371"/>
    <mergeCell ref="A404:A419"/>
    <mergeCell ref="A388:A403"/>
    <mergeCell ref="T354:Y354"/>
    <mergeCell ref="E354:J354"/>
    <mergeCell ref="A372:A387"/>
  </mergeCells>
  <conditionalFormatting sqref="C356:C419 E356:Y423">
    <cfRule type="expression" dxfId="10" priority="10">
      <formula>MOD(ROW(),2)</formula>
    </cfRule>
  </conditionalFormatting>
  <conditionalFormatting sqref="D372:D388">
    <cfRule type="expression" dxfId="9" priority="8">
      <formula>MOD(ROW(),2)</formula>
    </cfRule>
  </conditionalFormatting>
  <conditionalFormatting sqref="D356:D423">
    <cfRule type="expression" dxfId="8" priority="7">
      <formula>MOD(ROW(),2)</formula>
    </cfRule>
  </conditionalFormatting>
  <conditionalFormatting sqref="D388:D403">
    <cfRule type="expression" dxfId="7" priority="6">
      <formula>MOD(ROW(),2)</formula>
    </cfRule>
  </conditionalFormatting>
  <conditionalFormatting sqref="D404:D419">
    <cfRule type="expression" dxfId="6" priority="5">
      <formula>MOD(ROW(),2)</formula>
    </cfRule>
  </conditionalFormatting>
  <conditionalFormatting sqref="Z356:AE423">
    <cfRule type="expression" dxfId="5" priority="4">
      <formula>MOD(ROW(),2)</formula>
    </cfRule>
  </conditionalFormatting>
  <conditionalFormatting sqref="D356:D423">
    <cfRule type="expression" dxfId="4" priority="3">
      <formula>ISNA(MATCH(D356,$D$1:$D$355,0))</formula>
    </cfRule>
  </conditionalFormatting>
  <conditionalFormatting sqref="D356:D423">
    <cfRule type="expression" dxfId="3" priority="2">
      <formula>MOD(ROW(),2)</formula>
    </cfRule>
  </conditionalFormatting>
  <conditionalFormatting sqref="D405">
    <cfRule type="expression" dxfId="2" priority="1">
      <formula>MOD(ROW(),2)</formula>
    </cfRule>
  </conditionalFormatting>
  <dataValidations count="1">
    <dataValidation type="list" allowBlank="1" showInputMessage="1" showErrorMessage="1" sqref="D356:D423" xr:uid="{00000000-0002-0000-0800-000000000000}">
      <formula1>$D$1:$D$353</formula1>
    </dataValidation>
  </dataValidations>
  <hyperlinks>
    <hyperlink ref="D354" r:id="rId1" xr:uid="{00000000-0004-0000-0800-000000000000}"/>
  </hyperlinks>
  <pageMargins left="0.7" right="0.7" top="0.75" bottom="0.75" header="0.3" footer="0.3"/>
  <pageSetup scale="50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64"/>
  <sheetViews>
    <sheetView zoomScale="60" zoomScaleNormal="60" workbookViewId="0">
      <selection activeCell="F51" sqref="F51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22.7109375" customWidth="1"/>
    <col min="4" max="4" width="8" style="6" hidden="1" customWidth="1"/>
    <col min="5" max="5" width="4" bestFit="1" customWidth="1"/>
    <col min="6" max="6" width="16.28515625" customWidth="1"/>
    <col min="7" max="7" width="8" style="6" hidden="1" customWidth="1"/>
    <col min="8" max="8" width="4" bestFit="1" customWidth="1"/>
    <col min="9" max="9" width="16.28515625" customWidth="1"/>
    <col min="10" max="10" width="8" hidden="1" customWidth="1"/>
    <col min="11" max="11" width="3.7109375" customWidth="1"/>
    <col min="12" max="12" width="16.28515625" customWidth="1"/>
    <col min="13" max="13" width="8" hidden="1" customWidth="1"/>
    <col min="14" max="14" width="3.85546875" customWidth="1"/>
    <col min="15" max="15" width="16.28515625" customWidth="1"/>
    <col min="16" max="16" width="8" hidden="1" customWidth="1"/>
    <col min="17" max="17" width="2.7109375" bestFit="1" customWidth="1"/>
    <col min="18" max="18" width="16.28515625" customWidth="1"/>
    <col min="19" max="19" width="8" hidden="1" customWidth="1"/>
    <col min="20" max="20" width="2.7109375" bestFit="1" customWidth="1"/>
    <col min="21" max="21" width="16.28515625" bestFit="1" customWidth="1"/>
    <col min="22" max="22" width="9.140625" customWidth="1"/>
  </cols>
  <sheetData>
    <row r="1" spans="1:19" x14ac:dyDescent="0.25">
      <c r="A1" s="102" t="str">
        <f>'Value Matchup'!A356</f>
        <v>NorthWest</v>
      </c>
      <c r="B1" s="14">
        <f>'Value Matchup'!C356</f>
        <v>1</v>
      </c>
      <c r="C1" s="15" t="str">
        <f>'Value Matchup'!D356</f>
        <v>Gonzaga</v>
      </c>
      <c r="D1" s="16">
        <f>'Value Matchup'!E356</f>
        <v>647.09698051936311</v>
      </c>
      <c r="E1" s="17">
        <f>IF(F1=C1,B1,B2)</f>
        <v>1</v>
      </c>
      <c r="F1" s="17" t="str">
        <f>IF(D1&gt;D2,C1,C2)</f>
        <v>Gonzaga</v>
      </c>
      <c r="G1" s="16">
        <f ca="1">OFFSET('Value Matchup'!$D$355,MATCH(Straight!F1,'Value Matchup'!$D$356:$D$420,0),2)</f>
        <v>499.02864099802525</v>
      </c>
      <c r="H1" s="15"/>
      <c r="I1" s="15"/>
      <c r="J1" s="15"/>
      <c r="K1" s="15"/>
      <c r="L1" s="15"/>
      <c r="M1" s="15"/>
      <c r="N1" s="15"/>
      <c r="O1" s="18"/>
    </row>
    <row r="2" spans="1:19" x14ac:dyDescent="0.25">
      <c r="A2" s="102"/>
      <c r="B2" s="19">
        <f>'Value Matchup'!C357</f>
        <v>16</v>
      </c>
      <c r="C2" t="str">
        <f>'Value Matchup'!D357</f>
        <v>Norfolk St.</v>
      </c>
      <c r="D2" s="6">
        <f>'Value Matchup'!E357</f>
        <v>5.6951079598707812</v>
      </c>
      <c r="H2" s="7">
        <f ca="1">IF(I2=F1,E1,E3)</f>
        <v>1</v>
      </c>
      <c r="I2" s="7" t="str">
        <f ca="1">IF(G3&lt;G1,F1,F3)</f>
        <v>Gonzaga</v>
      </c>
      <c r="J2" s="6">
        <f ca="1">OFFSET('Value Matchup'!$D$355,MATCH(Straight!I2,'Value Matchup'!$D$356:$D$420,0),3)</f>
        <v>397.09932226546618</v>
      </c>
      <c r="O2" s="20"/>
    </row>
    <row r="3" spans="1:19" x14ac:dyDescent="0.25">
      <c r="A3" s="102"/>
      <c r="B3" s="19">
        <f>'Value Matchup'!C358</f>
        <v>8</v>
      </c>
      <c r="C3" t="str">
        <f>'Value Matchup'!D358</f>
        <v>Oklahoma</v>
      </c>
      <c r="D3" s="6">
        <f>'Value Matchup'!E358</f>
        <v>195.88651735821233</v>
      </c>
      <c r="E3" s="7">
        <f>IF(F3=C3,B3,B4)</f>
        <v>8</v>
      </c>
      <c r="F3" s="7" t="str">
        <f>IF(D3&gt;D4,C3,C4)</f>
        <v>Oklahoma</v>
      </c>
      <c r="G3" s="6">
        <f ca="1">OFFSET('Value Matchup'!$D$355,MATCH(Straight!F3,'Value Matchup'!$D$356:$D$420,0),2)</f>
        <v>104.02340744665177</v>
      </c>
      <c r="O3" s="20"/>
    </row>
    <row r="4" spans="1:19" x14ac:dyDescent="0.25">
      <c r="A4" s="102"/>
      <c r="B4" s="19">
        <f>'Value Matchup'!C359</f>
        <v>9</v>
      </c>
      <c r="C4" t="str">
        <f>'Value Matchup'!D359</f>
        <v>Missouri</v>
      </c>
      <c r="D4" s="6">
        <f>'Value Matchup'!E359</f>
        <v>128.02825828054924</v>
      </c>
      <c r="K4" s="7">
        <f ca="1">IF(L4=I2,H2,H6)</f>
        <v>1</v>
      </c>
      <c r="L4" s="7" t="str">
        <f ca="1">IF(J6&lt;J2,I2,I6)</f>
        <v>Gonzaga</v>
      </c>
      <c r="M4" s="6">
        <f ca="1">OFFSET('Value Matchup'!$D$355,MATCH(Straight!L4,'Value Matchup'!$D$356:$D$420,0),4)</f>
        <v>253.12507811320785</v>
      </c>
      <c r="O4" s="20"/>
    </row>
    <row r="5" spans="1:19" x14ac:dyDescent="0.25">
      <c r="A5" s="102"/>
      <c r="B5" s="19">
        <f>'Value Matchup'!C360</f>
        <v>5</v>
      </c>
      <c r="C5" t="str">
        <f>'Value Matchup'!D360</f>
        <v>Creighton</v>
      </c>
      <c r="D5" s="6">
        <f>'Value Matchup'!E360</f>
        <v>154.12807927887269</v>
      </c>
      <c r="E5" s="7">
        <f>IF(F5=C5,B5,B6)</f>
        <v>5</v>
      </c>
      <c r="F5" s="7" t="str">
        <f>IF(D5&gt;D6,C5,C6)</f>
        <v>Creighton</v>
      </c>
      <c r="G5" s="6">
        <f ca="1">OFFSET('Value Matchup'!$D$355,MATCH(Straight!F5,'Value Matchup'!$D$356:$D$420,0),2)</f>
        <v>67.883295067476411</v>
      </c>
      <c r="O5" s="20"/>
    </row>
    <row r="6" spans="1:19" x14ac:dyDescent="0.25">
      <c r="A6" s="102"/>
      <c r="B6" s="19">
        <f>'Value Matchup'!C361</f>
        <v>12</v>
      </c>
      <c r="C6" t="str">
        <f>'Value Matchup'!D361</f>
        <v>UC Santa Barbara</v>
      </c>
      <c r="D6" s="6">
        <f>'Value Matchup'!E361</f>
        <v>35.302036953345791</v>
      </c>
      <c r="H6" s="7">
        <f ca="1">IF(I6=F5,E5,E7)</f>
        <v>4</v>
      </c>
      <c r="I6" s="7" t="str">
        <f ca="1">IF(G7&lt;G5,F5,F7)</f>
        <v>Virginia</v>
      </c>
      <c r="J6" s="6">
        <f ca="1">OFFSET('Value Matchup'!$D$355,MATCH(Straight!I6,'Value Matchup'!$D$356:$D$420,0),3)</f>
        <v>60.710248317477827</v>
      </c>
      <c r="O6" s="20"/>
    </row>
    <row r="7" spans="1:19" x14ac:dyDescent="0.25">
      <c r="A7" s="102"/>
      <c r="B7" s="19">
        <f>'Value Matchup'!C362</f>
        <v>4</v>
      </c>
      <c r="C7" t="str">
        <f>'Value Matchup'!D362</f>
        <v>Virginia</v>
      </c>
      <c r="D7" s="6">
        <f>'Value Matchup'!E362</f>
        <v>251.35059003235006</v>
      </c>
      <c r="E7" s="7">
        <f>IF(F7=C7,B7,B8)</f>
        <v>4</v>
      </c>
      <c r="F7" s="7" t="str">
        <f>IF(D7&gt;D8,C7,C8)</f>
        <v>Virginia</v>
      </c>
      <c r="G7" s="6">
        <f ca="1">OFFSET('Value Matchup'!$D$355,MATCH(Straight!F7,'Value Matchup'!$D$356:$D$420,0),2)</f>
        <v>122.39334921521603</v>
      </c>
      <c r="O7" s="20"/>
    </row>
    <row r="8" spans="1:19" x14ac:dyDescent="0.25">
      <c r="A8" s="102"/>
      <c r="B8" s="19">
        <f>'Value Matchup'!C363</f>
        <v>13</v>
      </c>
      <c r="C8" t="str">
        <f>'Value Matchup'!D363</f>
        <v>Ohio</v>
      </c>
      <c r="D8" s="6">
        <f>'Value Matchup'!E363</f>
        <v>37.836767999105852</v>
      </c>
      <c r="N8" s="7">
        <f ca="1">IF(O8=L4,K4,K12)</f>
        <v>1</v>
      </c>
      <c r="O8" s="21" t="str">
        <f ca="1">IF(M12&lt;M4,L4,L12)</f>
        <v>Gonzaga</v>
      </c>
      <c r="P8" s="6">
        <f ca="1">OFFSET('Value Matchup'!$D$355,MATCH(Straight!O8,'Value Matchup'!$D$356:$D$420,0),5)</f>
        <v>211.2796444019942</v>
      </c>
    </row>
    <row r="9" spans="1:19" x14ac:dyDescent="0.25">
      <c r="A9" s="102"/>
      <c r="B9" s="19">
        <f>'Value Matchup'!C364</f>
        <v>6</v>
      </c>
      <c r="C9" t="str">
        <f>'Value Matchup'!D364</f>
        <v>USC</v>
      </c>
      <c r="D9" s="6">
        <f>'Value Matchup'!E364</f>
        <v>140.46074722181811</v>
      </c>
      <c r="E9" s="7">
        <f>IF(F9=C9,B9,B10)</f>
        <v>6</v>
      </c>
      <c r="F9" s="7" t="str">
        <f>IF(D9&gt;D10,C9,C10)</f>
        <v>USC</v>
      </c>
      <c r="G9" s="6">
        <f ca="1">OFFSET('Value Matchup'!$D$355,MATCH(Straight!F9,'Value Matchup'!$D$356:$D$420,0),2)</f>
        <v>61.019880512021743</v>
      </c>
      <c r="O9" s="20"/>
    </row>
    <row r="10" spans="1:19" x14ac:dyDescent="0.25">
      <c r="A10" s="102"/>
      <c r="B10" s="19">
        <f>'Value Matchup'!C365</f>
        <v>11</v>
      </c>
      <c r="C10" t="str">
        <f>'Value Matchup'!D365</f>
        <v>Drake</v>
      </c>
      <c r="D10" s="6">
        <f>'Value Matchup'!E365</f>
        <v>20.88550572003582</v>
      </c>
      <c r="H10" s="7">
        <f ca="1">IF(I10=F9,E9,E11)</f>
        <v>3</v>
      </c>
      <c r="I10" s="7" t="str">
        <f ca="1">IF(G11&lt;G9,F9,F11)</f>
        <v>Kansas</v>
      </c>
      <c r="J10" s="6">
        <f ca="1">OFFSET('Value Matchup'!$D$355,MATCH(Straight!I10,'Value Matchup'!$D$356:$D$420,0),3)</f>
        <v>238.53137610037871</v>
      </c>
      <c r="O10" s="20"/>
    </row>
    <row r="11" spans="1:19" x14ac:dyDescent="0.25">
      <c r="A11" s="102"/>
      <c r="B11" s="19">
        <f>'Value Matchup'!C366</f>
        <v>3</v>
      </c>
      <c r="C11" t="str">
        <f>'Value Matchup'!D366</f>
        <v>Kansas</v>
      </c>
      <c r="D11" s="6">
        <f>'Value Matchup'!E366</f>
        <v>550.55544252874097</v>
      </c>
      <c r="E11" s="7">
        <f>IF(F11=C11,B11,B12)</f>
        <v>3</v>
      </c>
      <c r="F11" s="7" t="str">
        <f>IF(D11&gt;D12,C11,C12)</f>
        <v>Kansas</v>
      </c>
      <c r="G11" s="6">
        <f ca="1">OFFSET('Value Matchup'!$D$355,MATCH(Straight!F11,'Value Matchup'!$D$356:$D$420,0),2)</f>
        <v>345.03899417370485</v>
      </c>
      <c r="O11" s="20"/>
    </row>
    <row r="12" spans="1:19" x14ac:dyDescent="0.25">
      <c r="A12" s="102"/>
      <c r="B12" s="19">
        <f>'Value Matchup'!C367</f>
        <v>14</v>
      </c>
      <c r="C12" t="str">
        <f>'Value Matchup'!D367</f>
        <v>Eastern Washington</v>
      </c>
      <c r="D12" s="6">
        <f>'Value Matchup'!E367</f>
        <v>6.0903453274764194</v>
      </c>
      <c r="K12" s="7">
        <f ca="1">IF(L12=I10,H10,H14)</f>
        <v>3</v>
      </c>
      <c r="L12" s="7" t="str">
        <f ca="1">IF(J14&lt;J10,I10,I14)</f>
        <v>Kansas</v>
      </c>
      <c r="M12" s="6">
        <f ca="1">OFFSET('Value Matchup'!$D$355,MATCH(Straight!L12,'Value Matchup'!$D$356:$D$420,0),4)</f>
        <v>193.92375373509654</v>
      </c>
      <c r="O12" s="20"/>
    </row>
    <row r="13" spans="1:19" x14ac:dyDescent="0.25">
      <c r="A13" s="102"/>
      <c r="B13" s="19">
        <f>'Value Matchup'!C368</f>
        <v>7</v>
      </c>
      <c r="C13" t="str">
        <f>'Value Matchup'!D368</f>
        <v>Oregon</v>
      </c>
      <c r="D13" s="6">
        <f>'Value Matchup'!E368</f>
        <v>246.29655748821577</v>
      </c>
      <c r="E13" s="7">
        <f>IF(F13=C13,B13,B14)</f>
        <v>7</v>
      </c>
      <c r="F13" s="7" t="str">
        <f>IF(D13&gt;D14,C13,C14)</f>
        <v>Oregon</v>
      </c>
      <c r="G13" s="6">
        <f ca="1">OFFSET('Value Matchup'!$D$355,MATCH(Straight!F13,'Value Matchup'!$D$356:$D$420,0),2)</f>
        <v>118.93743456459933</v>
      </c>
      <c r="O13" s="20"/>
    </row>
    <row r="14" spans="1:19" x14ac:dyDescent="0.25">
      <c r="A14" s="102"/>
      <c r="B14" s="19">
        <f>'Value Matchup'!C369</f>
        <v>10</v>
      </c>
      <c r="C14" t="str">
        <f>'Value Matchup'!D369</f>
        <v>VCU</v>
      </c>
      <c r="D14" s="6">
        <f>'Value Matchup'!E369</f>
        <v>94.097596776167279</v>
      </c>
      <c r="H14" s="7">
        <f ca="1">IF(I14=F13,E13,E15)</f>
        <v>2</v>
      </c>
      <c r="I14" s="7" t="str">
        <f ca="1">IF(G15&lt;G13,F13,F15)</f>
        <v>Iowa</v>
      </c>
      <c r="J14" s="6">
        <f ca="1">OFFSET('Value Matchup'!$D$355,MATCH(Straight!I14,'Value Matchup'!$D$356:$D$420,0),3)</f>
        <v>151.87632481889349</v>
      </c>
      <c r="O14" s="20"/>
    </row>
    <row r="15" spans="1:19" x14ac:dyDescent="0.25">
      <c r="A15" s="102"/>
      <c r="B15" s="19">
        <f>'Value Matchup'!C370</f>
        <v>2</v>
      </c>
      <c r="C15" t="str">
        <f>'Value Matchup'!D370</f>
        <v>Iowa</v>
      </c>
      <c r="D15" s="6">
        <f>'Value Matchup'!E370</f>
        <v>404.45479428023987</v>
      </c>
      <c r="E15" s="7">
        <f>IF(F15=C15,B15,B16)</f>
        <v>2</v>
      </c>
      <c r="F15" s="7" t="str">
        <f>IF(D15&gt;D16,C15,C16)</f>
        <v>Iowa</v>
      </c>
      <c r="G15" s="6">
        <f ca="1">OFFSET('Value Matchup'!$D$355,MATCH(Straight!F15,'Value Matchup'!$D$356:$D$420,0),2)</f>
        <v>208.55165125585069</v>
      </c>
      <c r="O15" s="20"/>
    </row>
    <row r="16" spans="1:19" x14ac:dyDescent="0.25">
      <c r="A16" s="102"/>
      <c r="B16" s="22">
        <f>'Value Matchup'!C371</f>
        <v>15</v>
      </c>
      <c r="C16" s="23" t="str">
        <f>'Value Matchup'!D371</f>
        <v>Grand Canyon</v>
      </c>
      <c r="D16" s="24">
        <f>'Value Matchup'!E371</f>
        <v>0.76005027075289255</v>
      </c>
      <c r="E16" s="23"/>
      <c r="F16" s="23"/>
      <c r="G16" s="24"/>
      <c r="H16" s="23"/>
      <c r="I16" s="23"/>
      <c r="J16" s="23"/>
      <c r="K16" s="23"/>
      <c r="L16" s="23"/>
      <c r="M16" s="23"/>
      <c r="N16" s="23"/>
      <c r="O16" s="25"/>
      <c r="Q16">
        <f ca="1">IF(R16=O8,N8,N24)</f>
        <v>1</v>
      </c>
      <c r="R16" s="7" t="str">
        <f ca="1">IF(P24&lt;P8,O8,O24)</f>
        <v>Gonzaga</v>
      </c>
      <c r="S16" s="6">
        <f ca="1">OFFSET('Value Matchup'!$D$355,MATCH(Straight!R16,'Value Matchup'!$D$356:$D$420,0),6)</f>
        <v>185.14980053277003</v>
      </c>
    </row>
    <row r="17" spans="1:21" x14ac:dyDescent="0.25">
      <c r="A17" s="105" t="str">
        <f>'Value Matchup'!A372</f>
        <v>SouthWest</v>
      </c>
      <c r="B17" s="14">
        <f>'Value Matchup'!C372</f>
        <v>1</v>
      </c>
      <c r="C17" s="15" t="str">
        <f>'Value Matchup'!D372</f>
        <v>Michigan</v>
      </c>
      <c r="D17" s="16">
        <f>'Value Matchup'!E372</f>
        <v>675.18237244788747</v>
      </c>
      <c r="E17" s="17">
        <f>IF(F17=C17,B17,B18)</f>
        <v>1</v>
      </c>
      <c r="F17" s="17" t="str">
        <f>IF(D17&gt;D18,C17,C18)</f>
        <v>Michigan</v>
      </c>
      <c r="G17" s="16">
        <f ca="1">OFFSET('Value Matchup'!$D$355,MATCH(Straight!F17,'Value Matchup'!$D$356:$D$420,0),2)</f>
        <v>501.17214748908299</v>
      </c>
      <c r="H17" s="15"/>
      <c r="I17" s="15"/>
      <c r="J17" s="15"/>
      <c r="K17" s="15"/>
      <c r="L17" s="15"/>
      <c r="M17" s="15"/>
      <c r="N17" s="15"/>
      <c r="O17" s="18"/>
    </row>
    <row r="18" spans="1:21" x14ac:dyDescent="0.25">
      <c r="A18" s="105"/>
      <c r="B18" s="19">
        <f>'Value Matchup'!C373</f>
        <v>16</v>
      </c>
      <c r="C18" t="str">
        <f>'Value Matchup'!D373</f>
        <v>Texas Southern</v>
      </c>
      <c r="D18" s="6">
        <f>'Value Matchup'!E373</f>
        <v>6.1474769524812194</v>
      </c>
      <c r="H18" s="7">
        <f ca="1">IF(I18=F17,E17,E19)</f>
        <v>1</v>
      </c>
      <c r="I18" s="7" t="str">
        <f ca="1">IF(G19&lt;G17,F17,F19)</f>
        <v>Michigan</v>
      </c>
      <c r="J18" s="6">
        <f ca="1">OFFSET('Value Matchup'!$D$355,MATCH(Straight!I18,'Value Matchup'!$D$356:$D$420,0),3)</f>
        <v>389.8910175661523</v>
      </c>
      <c r="O18" s="20"/>
    </row>
    <row r="19" spans="1:21" x14ac:dyDescent="0.25">
      <c r="A19" s="105"/>
      <c r="B19" s="19">
        <f>'Value Matchup'!C374</f>
        <v>8</v>
      </c>
      <c r="C19" t="str">
        <f>'Value Matchup'!D374</f>
        <v>LSU</v>
      </c>
      <c r="D19" s="6">
        <f>'Value Matchup'!E374</f>
        <v>184.05547121413585</v>
      </c>
      <c r="E19" s="7">
        <f>IF(F19=C19,B19,B20)</f>
        <v>8</v>
      </c>
      <c r="F19" s="7" t="str">
        <f>IF(D19&gt;D20,C19,C20)</f>
        <v>LSU</v>
      </c>
      <c r="G19" s="6">
        <f ca="1">OFFSET('Value Matchup'!$D$355,MATCH(Straight!F19,'Value Matchup'!$D$356:$D$420,0),2)</f>
        <v>87.066511760166094</v>
      </c>
      <c r="O19" s="20"/>
    </row>
    <row r="20" spans="1:21" x14ac:dyDescent="0.25">
      <c r="A20" s="105"/>
      <c r="B20" s="19">
        <f>'Value Matchup'!C375</f>
        <v>9</v>
      </c>
      <c r="C20" t="str">
        <f>'Value Matchup'!D375</f>
        <v>St. Bonaventure</v>
      </c>
      <c r="D20" s="6">
        <f>'Value Matchup'!E375</f>
        <v>58.282967372886525</v>
      </c>
      <c r="K20" s="7">
        <f ca="1">IF(L20=I18,H18,H22)</f>
        <v>1</v>
      </c>
      <c r="L20" s="7" t="str">
        <f ca="1">IF(J22&lt;J18,I18,I22)</f>
        <v>Michigan</v>
      </c>
      <c r="M20" s="6">
        <f ca="1">OFFSET('Value Matchup'!$D$355,MATCH(Straight!L20,'Value Matchup'!$D$356:$D$420,0),4)</f>
        <v>247.75225379190769</v>
      </c>
      <c r="O20" s="20"/>
    </row>
    <row r="21" spans="1:21" x14ac:dyDescent="0.25">
      <c r="A21" s="105"/>
      <c r="B21" s="19">
        <f>'Value Matchup'!C376</f>
        <v>5</v>
      </c>
      <c r="C21" t="str">
        <f>'Value Matchup'!D376</f>
        <v>Colorado</v>
      </c>
      <c r="D21" s="6">
        <f>'Value Matchup'!E376</f>
        <v>119.99851680164834</v>
      </c>
      <c r="E21" s="7">
        <f>IF(F21=C21,B21,B22)</f>
        <v>12</v>
      </c>
      <c r="F21" s="7" t="str">
        <f>IF(D21&gt;D22,C21,C22)</f>
        <v>Georgetown</v>
      </c>
      <c r="G21" s="6">
        <f ca="1">OFFSET('Value Matchup'!$D$355,MATCH(Straight!F21,'Value Matchup'!$D$356:$D$420,0),2)</f>
        <v>99.388075666449566</v>
      </c>
      <c r="O21" s="20"/>
    </row>
    <row r="22" spans="1:21" x14ac:dyDescent="0.25">
      <c r="A22" s="105"/>
      <c r="B22" s="19">
        <f>'Value Matchup'!C377</f>
        <v>12</v>
      </c>
      <c r="C22" t="str">
        <f>'Value Matchup'!D377</f>
        <v>Georgetown</v>
      </c>
      <c r="D22" s="6">
        <f>'Value Matchup'!E377</f>
        <v>141.36534382582161</v>
      </c>
      <c r="H22" s="7">
        <f ca="1">IF(I22=F21,E21,E23)</f>
        <v>4</v>
      </c>
      <c r="I22" s="7" t="str">
        <f ca="1">IF(G23&lt;G21,F21,F23)</f>
        <v>Florida St.</v>
      </c>
      <c r="J22" s="6">
        <f ca="1">OFFSET('Value Matchup'!$D$355,MATCH(Straight!I22,'Value Matchup'!$D$356:$D$420,0),3)</f>
        <v>81.933495377163794</v>
      </c>
      <c r="O22" s="20"/>
    </row>
    <row r="23" spans="1:21" x14ac:dyDescent="0.25">
      <c r="A23" s="105"/>
      <c r="B23" s="19">
        <f>'Value Matchup'!C378</f>
        <v>4</v>
      </c>
      <c r="C23" t="str">
        <f>'Value Matchup'!D378</f>
        <v>Florida St.</v>
      </c>
      <c r="D23" s="6">
        <f>'Value Matchup'!E378</f>
        <v>321.01478536192053</v>
      </c>
      <c r="E23" s="7">
        <f>IF(F23=C23,B23,B24)</f>
        <v>4</v>
      </c>
      <c r="F23" s="7" t="str">
        <f>IF(D23&gt;D24,C23,C24)</f>
        <v>Florida St.</v>
      </c>
      <c r="G23" s="6">
        <f ca="1">OFFSET('Value Matchup'!$D$355,MATCH(Straight!F23,'Value Matchup'!$D$356:$D$420,0),2)</f>
        <v>165.48799935025696</v>
      </c>
      <c r="O23" s="20"/>
    </row>
    <row r="24" spans="1:21" x14ac:dyDescent="0.25">
      <c r="A24" s="105"/>
      <c r="B24" s="19">
        <f>'Value Matchup'!C379</f>
        <v>13</v>
      </c>
      <c r="C24" t="str">
        <f>'Value Matchup'!D379</f>
        <v>UNC Greensboro</v>
      </c>
      <c r="D24" s="6">
        <f>'Value Matchup'!E379</f>
        <v>12.325896351116098</v>
      </c>
      <c r="N24" s="7">
        <f ca="1">IF(O24=L20,K20,K28)</f>
        <v>1</v>
      </c>
      <c r="O24" s="21" t="str">
        <f ca="1">IF(M28&lt;M20,L20,L28)</f>
        <v>Michigan</v>
      </c>
      <c r="P24" s="6">
        <f ca="1">OFFSET('Value Matchup'!$D$355,MATCH(Straight!O24,'Value Matchup'!$D$356:$D$420,0),5)</f>
        <v>206.91967193039392</v>
      </c>
    </row>
    <row r="25" spans="1:21" x14ac:dyDescent="0.25">
      <c r="A25" s="105"/>
      <c r="B25" s="19">
        <f>'Value Matchup'!C380</f>
        <v>6</v>
      </c>
      <c r="C25" t="str">
        <f>'Value Matchup'!D380</f>
        <v>BYU</v>
      </c>
      <c r="D25" s="6">
        <f>'Value Matchup'!E380</f>
        <v>139.33761174605155</v>
      </c>
      <c r="E25" s="7">
        <f>IF(F25=C25,B25,B26)</f>
        <v>11</v>
      </c>
      <c r="F25" s="7" t="str">
        <f>IF(D25&gt;D26,C25,C26)</f>
        <v>UCLA</v>
      </c>
      <c r="G25" s="6">
        <f ca="1">OFFSET('Value Matchup'!$D$355,MATCH(Straight!F25,'Value Matchup'!$D$356:$D$420,0),2)</f>
        <v>172.75495710738852</v>
      </c>
      <c r="O25" s="20"/>
    </row>
    <row r="26" spans="1:21" x14ac:dyDescent="0.25">
      <c r="A26" s="105"/>
      <c r="B26" s="19">
        <f>'Value Matchup'!C381</f>
        <v>11</v>
      </c>
      <c r="C26" t="str">
        <f>'Value Matchup'!D381</f>
        <v>UCLA</v>
      </c>
      <c r="D26" s="6">
        <f>'Value Matchup'!E381</f>
        <v>223.34455422741729</v>
      </c>
      <c r="H26" s="7">
        <f ca="1">IF(I26=F25,E25,E27)</f>
        <v>3</v>
      </c>
      <c r="I26" s="7" t="str">
        <f ca="1">IF(G27&lt;G25,F25,F27)</f>
        <v>Texas</v>
      </c>
      <c r="J26" s="6">
        <f ca="1">OFFSET('Value Matchup'!$D$355,MATCH(Straight!I26,'Value Matchup'!$D$356:$D$420,0),3)</f>
        <v>134.78391824371658</v>
      </c>
      <c r="O26" s="20"/>
    </row>
    <row r="27" spans="1:21" x14ac:dyDescent="0.25">
      <c r="A27" s="105"/>
      <c r="B27" s="19">
        <f>'Value Matchup'!C382</f>
        <v>3</v>
      </c>
      <c r="C27" t="str">
        <f>'Value Matchup'!D382</f>
        <v>Texas</v>
      </c>
      <c r="D27" s="6">
        <f>'Value Matchup'!E382</f>
        <v>411.59694953342199</v>
      </c>
      <c r="E27" s="7">
        <f>IF(F27=C27,B27,B28)</f>
        <v>3</v>
      </c>
      <c r="F27" s="7" t="str">
        <f>IF(D27&gt;D28,C27,C28)</f>
        <v>Texas</v>
      </c>
      <c r="G27" s="6">
        <f ca="1">OFFSET('Value Matchup'!$D$355,MATCH(Straight!F27,'Value Matchup'!$D$356:$D$420,0),2)</f>
        <v>216.983900382516</v>
      </c>
      <c r="O27" s="20"/>
    </row>
    <row r="28" spans="1:21" x14ac:dyDescent="0.25">
      <c r="A28" s="105"/>
      <c r="B28" s="19">
        <f>'Value Matchup'!C383</f>
        <v>14</v>
      </c>
      <c r="C28" t="str">
        <f>'Value Matchup'!D383</f>
        <v>Abilene Christian</v>
      </c>
      <c r="D28" s="6">
        <f>'Value Matchup'!E383</f>
        <v>5.8669873969856425</v>
      </c>
      <c r="K28" s="7">
        <f ca="1">IF(L28=I26,H26,H30)</f>
        <v>2</v>
      </c>
      <c r="L28" s="7" t="str">
        <f ca="1">IF(J30&lt;J26,I26,I30)</f>
        <v>Alabama</v>
      </c>
      <c r="M28" s="6">
        <f ca="1">OFFSET('Value Matchup'!$D$355,MATCH(Straight!L28,'Value Matchup'!$D$356:$D$420,0),4)</f>
        <v>89.268189412896376</v>
      </c>
      <c r="O28" s="20"/>
    </row>
    <row r="29" spans="1:21" x14ac:dyDescent="0.25">
      <c r="A29" s="105"/>
      <c r="B29" s="19">
        <f>'Value Matchup'!C384</f>
        <v>7</v>
      </c>
      <c r="C29" t="str">
        <f>'Value Matchup'!D384</f>
        <v>Connecticut</v>
      </c>
      <c r="D29" s="6">
        <f>'Value Matchup'!E384</f>
        <v>225.77230460077135</v>
      </c>
      <c r="E29" s="7">
        <f>IF(F29=C29,B29,B30)</f>
        <v>7</v>
      </c>
      <c r="F29" s="7" t="str">
        <f>IF(D29&gt;D30,C29,C30)</f>
        <v>Connecticut</v>
      </c>
      <c r="G29" s="6">
        <f ca="1">OFFSET('Value Matchup'!$D$355,MATCH(Straight!F29,'Value Matchup'!$D$356:$D$420,0),2)</f>
        <v>109.94809008007695</v>
      </c>
      <c r="O29" s="20"/>
    </row>
    <row r="30" spans="1:21" x14ac:dyDescent="0.25">
      <c r="A30" s="105"/>
      <c r="B30" s="19">
        <f>'Value Matchup'!C385</f>
        <v>10</v>
      </c>
      <c r="C30" t="str">
        <f>'Value Matchup'!D385</f>
        <v>Maryland</v>
      </c>
      <c r="D30" s="6">
        <f>'Value Matchup'!E385</f>
        <v>179.11813332484166</v>
      </c>
      <c r="H30" s="7">
        <f ca="1">IF(I30=F29,E29,E31)</f>
        <v>2</v>
      </c>
      <c r="I30" s="7" t="str">
        <f ca="1">IF(G31&lt;G29,F29,F31)</f>
        <v>Alabama</v>
      </c>
      <c r="J30" s="6">
        <f ca="1">OFFSET('Value Matchup'!$D$355,MATCH(Straight!I30,'Value Matchup'!$D$356:$D$420,0),3)</f>
        <v>168.03270445563152</v>
      </c>
      <c r="O30" s="20"/>
    </row>
    <row r="31" spans="1:21" x14ac:dyDescent="0.25">
      <c r="A31" s="105"/>
      <c r="B31" s="19">
        <f>'Value Matchup'!C386</f>
        <v>2</v>
      </c>
      <c r="C31" t="str">
        <f>'Value Matchup'!D386</f>
        <v>Alabama</v>
      </c>
      <c r="D31" s="6">
        <f>'Value Matchup'!E386</f>
        <v>449.33969657663215</v>
      </c>
      <c r="E31" s="7">
        <f>IF(F31=C31,B31,B32)</f>
        <v>2</v>
      </c>
      <c r="F31" s="7" t="str">
        <f>IF(D31&gt;D32,C31,C32)</f>
        <v>Alabama</v>
      </c>
      <c r="G31" s="6">
        <f ca="1">OFFSET('Value Matchup'!$D$355,MATCH(Straight!F31,'Value Matchup'!$D$356:$D$420,0),2)</f>
        <v>232.93939597949776</v>
      </c>
      <c r="O31" s="20"/>
    </row>
    <row r="32" spans="1:21" x14ac:dyDescent="0.25">
      <c r="A32" s="105"/>
      <c r="B32" s="22">
        <f>'Value Matchup'!C387</f>
        <v>15</v>
      </c>
      <c r="C32" s="23" t="str">
        <f>'Value Matchup'!D387</f>
        <v>Iona</v>
      </c>
      <c r="D32" s="24">
        <f>'Value Matchup'!E387</f>
        <v>9.2356058948214415</v>
      </c>
      <c r="E32" s="23"/>
      <c r="F32" s="23"/>
      <c r="G32" s="24"/>
      <c r="H32" s="23"/>
      <c r="I32" s="23"/>
      <c r="J32" s="23"/>
      <c r="K32" s="23"/>
      <c r="L32" s="23"/>
      <c r="M32" s="23"/>
      <c r="N32" s="23"/>
      <c r="O32" s="25"/>
      <c r="T32" s="96" t="s">
        <v>74</v>
      </c>
      <c r="U32" s="96"/>
    </row>
    <row r="33" spans="1:22" x14ac:dyDescent="0.25">
      <c r="A33" s="102" t="str">
        <f>'Value Matchup'!A388</f>
        <v>NorthEast</v>
      </c>
      <c r="B33" s="14">
        <f>'Value Matchup'!C388</f>
        <v>1</v>
      </c>
      <c r="C33" s="15" t="str">
        <f>'Value Matchup'!D388</f>
        <v>Baylor</v>
      </c>
      <c r="D33" s="16">
        <f>'Value Matchup'!E388</f>
        <v>426.01329466329287</v>
      </c>
      <c r="E33" s="17">
        <f>IF(F33=C33,B33,B34)</f>
        <v>1</v>
      </c>
      <c r="F33" s="17" t="str">
        <f>IF(D33&gt;D34,C33,C34)</f>
        <v>Baylor</v>
      </c>
      <c r="G33" s="16">
        <f ca="1">OFFSET('Value Matchup'!$D$355,MATCH(Straight!F33,'Value Matchup'!$D$356:$D$420,0),2)</f>
        <v>307.39404939494415</v>
      </c>
      <c r="H33" s="15"/>
      <c r="I33" s="15"/>
      <c r="J33" s="15"/>
      <c r="K33" s="15"/>
      <c r="L33" s="15"/>
      <c r="M33" s="15"/>
      <c r="N33" s="15"/>
      <c r="O33" s="18"/>
      <c r="T33">
        <f ca="1">IF(U33=R16,Q16,Q48)</f>
        <v>1</v>
      </c>
      <c r="U33" t="str">
        <f ca="1">IF(S48&lt;S16,R16,R48)</f>
        <v>Gonzaga</v>
      </c>
      <c r="V33" s="6"/>
    </row>
    <row r="34" spans="1:22" x14ac:dyDescent="0.25">
      <c r="A34" s="102"/>
      <c r="B34" s="19">
        <f>'Value Matchup'!C389</f>
        <v>16</v>
      </c>
      <c r="C34" t="str">
        <f>'Value Matchup'!D389</f>
        <v>Hartford</v>
      </c>
      <c r="D34" s="6">
        <f>'Value Matchup'!E389</f>
        <v>6.7717326206848836E-3</v>
      </c>
      <c r="H34" s="7">
        <f ca="1">IF(I34=F33,E33,E35)</f>
        <v>1</v>
      </c>
      <c r="I34" s="7" t="str">
        <f ca="1">IF(G35&lt;G33,F33,F35)</f>
        <v>Baylor</v>
      </c>
      <c r="J34" s="6">
        <f ca="1">OFFSET('Value Matchup'!$D$355,MATCH(Straight!I34,'Value Matchup'!$D$356:$D$420,0),3)</f>
        <v>225.54290732717755</v>
      </c>
      <c r="O34" s="20"/>
    </row>
    <row r="35" spans="1:22" x14ac:dyDescent="0.25">
      <c r="A35" s="102"/>
      <c r="B35" s="19">
        <f>'Value Matchup'!C390</f>
        <v>8</v>
      </c>
      <c r="C35" t="str">
        <f>'Value Matchup'!D390</f>
        <v>North Carolina</v>
      </c>
      <c r="D35" s="6">
        <f>'Value Matchup'!E390</f>
        <v>373.32640989390217</v>
      </c>
      <c r="E35" s="7">
        <f>IF(F35=C35,B35,B36)</f>
        <v>8</v>
      </c>
      <c r="F35" s="7" t="str">
        <f>IF(D35&gt;D36,C35,C36)</f>
        <v>North Carolina</v>
      </c>
      <c r="G35" s="6">
        <f ca="1">OFFSET('Value Matchup'!$D$355,MATCH(Straight!F35,'Value Matchup'!$D$356:$D$420,0),2)</f>
        <v>245.69668812635936</v>
      </c>
      <c r="O35" s="20"/>
    </row>
    <row r="36" spans="1:22" x14ac:dyDescent="0.25">
      <c r="A36" s="102"/>
      <c r="B36" s="19">
        <f>'Value Matchup'!C391</f>
        <v>9</v>
      </c>
      <c r="C36" t="str">
        <f>'Value Matchup'!D391</f>
        <v>Wisconsin</v>
      </c>
      <c r="D36" s="6">
        <f>'Value Matchup'!E391</f>
        <v>304.09756896959505</v>
      </c>
      <c r="K36" s="7">
        <f ca="1">IF(L36=I34,H34,H38)</f>
        <v>1</v>
      </c>
      <c r="L36" s="7" t="str">
        <f ca="1">IF(J38&lt;J34,I34,I38)</f>
        <v>Baylor</v>
      </c>
      <c r="M36" s="6">
        <f ca="1">OFFSET('Value Matchup'!$D$355,MATCH(Straight!L36,'Value Matchup'!$D$356:$D$420,0),4)</f>
        <v>113.85279152876504</v>
      </c>
      <c r="O36" s="20"/>
    </row>
    <row r="37" spans="1:22" x14ac:dyDescent="0.25">
      <c r="A37" s="102"/>
      <c r="B37" s="19">
        <f>'Value Matchup'!C392</f>
        <v>5</v>
      </c>
      <c r="C37" t="str">
        <f>'Value Matchup'!D392</f>
        <v>Villanova</v>
      </c>
      <c r="D37" s="6">
        <f>'Value Matchup'!E392</f>
        <v>237.7098870838027</v>
      </c>
      <c r="E37" s="7">
        <f>IF(F37=C37,B37,B38)</f>
        <v>5</v>
      </c>
      <c r="F37" s="7" t="str">
        <f>IF(D37&gt;D38,C37,C38)</f>
        <v>Villanova</v>
      </c>
      <c r="G37" s="6">
        <f ca="1">OFFSET('Value Matchup'!$D$355,MATCH(Straight!F37,'Value Matchup'!$D$356:$D$420,0),2)</f>
        <v>126.69424462606952</v>
      </c>
      <c r="O37" s="20"/>
    </row>
    <row r="38" spans="1:22" x14ac:dyDescent="0.25">
      <c r="A38" s="102"/>
      <c r="B38" s="19">
        <f>'Value Matchup'!C393</f>
        <v>12</v>
      </c>
      <c r="C38" t="str">
        <f>'Value Matchup'!D393</f>
        <v>Winthrop</v>
      </c>
      <c r="D38" s="6">
        <f>'Value Matchup'!E393</f>
        <v>41.82055807277527</v>
      </c>
      <c r="H38" s="7">
        <f ca="1">IF(I38=F37,E37,E39)</f>
        <v>4</v>
      </c>
      <c r="I38" s="7" t="str">
        <f ca="1">IF(G39&lt;G37,F37,F39)</f>
        <v>Purdue</v>
      </c>
      <c r="J38" s="6">
        <f ca="1">OFFSET('Value Matchup'!$D$355,MATCH(Straight!I38,'Value Matchup'!$D$356:$D$420,0),3)</f>
        <v>104.37690229230014</v>
      </c>
      <c r="O38" s="20"/>
    </row>
    <row r="39" spans="1:22" x14ac:dyDescent="0.25">
      <c r="A39" s="102"/>
      <c r="B39" s="19">
        <f>'Value Matchup'!C394</f>
        <v>4</v>
      </c>
      <c r="C39" t="str">
        <f>'Value Matchup'!D394</f>
        <v>Purdue</v>
      </c>
      <c r="D39" s="6">
        <f>'Value Matchup'!E394</f>
        <v>353.57168131255355</v>
      </c>
      <c r="E39" s="7">
        <f>IF(F39=C39,B39,B40)</f>
        <v>4</v>
      </c>
      <c r="F39" s="7" t="str">
        <f>IF(D39&gt;D40,C39,C40)</f>
        <v>Purdue</v>
      </c>
      <c r="G39" s="6">
        <f ca="1">OFFSET('Value Matchup'!$D$355,MATCH(Straight!F39,'Value Matchup'!$D$356:$D$420,0),2)</f>
        <v>188.80251872314483</v>
      </c>
      <c r="O39" s="20"/>
    </row>
    <row r="40" spans="1:22" x14ac:dyDescent="0.25">
      <c r="A40" s="102"/>
      <c r="B40" s="19">
        <f>'Value Matchup'!C395</f>
        <v>13</v>
      </c>
      <c r="C40" t="str">
        <f>'Value Matchup'!D395</f>
        <v>North Texas</v>
      </c>
      <c r="D40" s="6">
        <f>'Value Matchup'!E395</f>
        <v>14.430992124023598</v>
      </c>
      <c r="N40" s="7">
        <f ca="1">IF(O40=L36,K36,K44)</f>
        <v>2</v>
      </c>
      <c r="O40" s="21" t="str">
        <f ca="1">IF(M44&lt;M36,L36,L44)</f>
        <v>Ohio St.</v>
      </c>
      <c r="P40" s="6">
        <f ca="1">OFFSET('Value Matchup'!$D$355,MATCH(Straight!O40,'Value Matchup'!$D$356:$D$420,0),5)</f>
        <v>106.47833787485841</v>
      </c>
    </row>
    <row r="41" spans="1:22" x14ac:dyDescent="0.25">
      <c r="A41" s="102"/>
      <c r="B41" s="19">
        <f>'Value Matchup'!C396</f>
        <v>6</v>
      </c>
      <c r="C41" t="str">
        <f>'Value Matchup'!D396</f>
        <v>Texas Tech</v>
      </c>
      <c r="D41" s="6">
        <f>'Value Matchup'!E396</f>
        <v>212.352999774887</v>
      </c>
      <c r="E41" s="7">
        <f>IF(F41=C41,B41,B42)</f>
        <v>6</v>
      </c>
      <c r="F41" s="7" t="str">
        <f>IF(D41&gt;D42,C41,C42)</f>
        <v>Texas Tech</v>
      </c>
      <c r="G41" s="6">
        <f ca="1">OFFSET('Value Matchup'!$D$355,MATCH(Straight!F41,'Value Matchup'!$D$356:$D$420,0),2)</f>
        <v>110.0310941781492</v>
      </c>
      <c r="O41" s="20"/>
    </row>
    <row r="42" spans="1:22" x14ac:dyDescent="0.25">
      <c r="A42" s="102"/>
      <c r="B42" s="19">
        <f>'Value Matchup'!C397</f>
        <v>11</v>
      </c>
      <c r="C42" t="str">
        <f>'Value Matchup'!D397</f>
        <v>Utah St.</v>
      </c>
      <c r="D42" s="6">
        <f>'Value Matchup'!E397</f>
        <v>33.647567779688522</v>
      </c>
      <c r="H42" s="7">
        <f ca="1">IF(I42=F41,E41,E43)</f>
        <v>3</v>
      </c>
      <c r="I42" s="7" t="str">
        <f ca="1">IF(G43&lt;G41,F41,F43)</f>
        <v>Arkansas</v>
      </c>
      <c r="J42" s="6">
        <f ca="1">OFFSET('Value Matchup'!$D$355,MATCH(Straight!I42,'Value Matchup'!$D$356:$D$420,0),3)</f>
        <v>121.98104024189794</v>
      </c>
      <c r="O42" s="20"/>
    </row>
    <row r="43" spans="1:22" x14ac:dyDescent="0.25">
      <c r="A43" s="102"/>
      <c r="B43" s="19">
        <f>'Value Matchup'!C398</f>
        <v>3</v>
      </c>
      <c r="C43" t="str">
        <f>'Value Matchup'!D398</f>
        <v>Arkansas</v>
      </c>
      <c r="D43" s="6">
        <f>'Value Matchup'!E398</f>
        <v>401.97160370625033</v>
      </c>
      <c r="E43" s="7">
        <f>IF(F43=C43,B43,B44)</f>
        <v>3</v>
      </c>
      <c r="F43" s="7" t="str">
        <f>IF(D43&gt;D44,C43,C44)</f>
        <v>Arkansas</v>
      </c>
      <c r="G43" s="6">
        <f ca="1">OFFSET('Value Matchup'!$D$355,MATCH(Straight!F43,'Value Matchup'!$D$356:$D$420,0),2)</f>
        <v>202.89349543022311</v>
      </c>
      <c r="O43" s="20"/>
    </row>
    <row r="44" spans="1:22" x14ac:dyDescent="0.25">
      <c r="A44" s="102"/>
      <c r="B44" s="19">
        <f>'Value Matchup'!C399</f>
        <v>14</v>
      </c>
      <c r="C44" t="str">
        <f>'Value Matchup'!D399</f>
        <v>Colgate</v>
      </c>
      <c r="D44" s="6">
        <f>'Value Matchup'!E399</f>
        <v>9.5516360803608258</v>
      </c>
      <c r="K44" s="7">
        <f ca="1">IF(L44=I42,H42,H46)</f>
        <v>2</v>
      </c>
      <c r="L44" s="7" t="str">
        <f ca="1">IF(J46&lt;J42,I42,I46)</f>
        <v>Ohio St.</v>
      </c>
      <c r="M44" s="6">
        <f ca="1">OFFSET('Value Matchup'!$D$355,MATCH(Straight!L44,'Value Matchup'!$D$356:$D$420,0),4)</f>
        <v>126.15803000291811</v>
      </c>
      <c r="O44" s="20"/>
    </row>
    <row r="45" spans="1:22" x14ac:dyDescent="0.25">
      <c r="A45" s="102"/>
      <c r="B45" s="19">
        <f>'Value Matchup'!C400</f>
        <v>7</v>
      </c>
      <c r="C45" t="str">
        <f>'Value Matchup'!D400</f>
        <v>Florida</v>
      </c>
      <c r="D45" s="6">
        <f>'Value Matchup'!E400</f>
        <v>337.92635152978335</v>
      </c>
      <c r="E45" s="7">
        <f>IF(F45=C45,B45,B46)</f>
        <v>7</v>
      </c>
      <c r="F45" s="7" t="str">
        <f>IF(D45&gt;D46,C45,C46)</f>
        <v>Florida</v>
      </c>
      <c r="G45" s="6">
        <f ca="1">OFFSET('Value Matchup'!$D$355,MATCH(Straight!F45,'Value Matchup'!$D$356:$D$420,0),2)</f>
        <v>186.94673966260964</v>
      </c>
      <c r="O45" s="20"/>
    </row>
    <row r="46" spans="1:22" x14ac:dyDescent="0.25">
      <c r="A46" s="102"/>
      <c r="B46" s="19">
        <f>'Value Matchup'!C401</f>
        <v>10</v>
      </c>
      <c r="C46" t="str">
        <f>'Value Matchup'!D401</f>
        <v>Virginia Tech</v>
      </c>
      <c r="D46" s="6">
        <f>'Value Matchup'!E401</f>
        <v>43.941601988818277</v>
      </c>
      <c r="H46" s="7">
        <f ca="1">IF(I46=F45,E45,E47)</f>
        <v>2</v>
      </c>
      <c r="I46" s="7" t="str">
        <f ca="1">IF(G47&lt;G45,F45,F47)</f>
        <v>Ohio St.</v>
      </c>
      <c r="J46" s="6">
        <f ca="1">OFFSET('Value Matchup'!$D$355,MATCH(Straight!I46,'Value Matchup'!$D$356:$D$420,0),3)</f>
        <v>197.41332609862195</v>
      </c>
      <c r="O46" s="20"/>
    </row>
    <row r="47" spans="1:22" x14ac:dyDescent="0.25">
      <c r="A47" s="102"/>
      <c r="B47" s="19">
        <f>'Value Matchup'!C402</f>
        <v>2</v>
      </c>
      <c r="C47" t="str">
        <f>'Value Matchup'!D402</f>
        <v>Ohio St.</v>
      </c>
      <c r="D47" s="6">
        <f>'Value Matchup'!E402</f>
        <v>476.64658806121759</v>
      </c>
      <c r="E47" s="7">
        <f>IF(F47=C47,B47,B48)</f>
        <v>2</v>
      </c>
      <c r="F47" s="7" t="str">
        <f>IF(D47&gt;D48,C47,C48)</f>
        <v>Ohio St.</v>
      </c>
      <c r="G47" s="6">
        <f ca="1">OFFSET('Value Matchup'!$D$355,MATCH(Straight!F47,'Value Matchup'!$D$356:$D$420,0),2)</f>
        <v>262.73041923056746</v>
      </c>
      <c r="O47" s="20"/>
    </row>
    <row r="48" spans="1:22" x14ac:dyDescent="0.25">
      <c r="A48" s="102"/>
      <c r="B48" s="22">
        <f>'Value Matchup'!C403</f>
        <v>15</v>
      </c>
      <c r="C48" s="23" t="str">
        <f>'Value Matchup'!D403</f>
        <v>Oral Roberts</v>
      </c>
      <c r="D48" s="24">
        <f>'Value Matchup'!E403</f>
        <v>3.1421282588608626</v>
      </c>
      <c r="E48" s="23"/>
      <c r="F48" s="23"/>
      <c r="G48" s="24"/>
      <c r="H48" s="23"/>
      <c r="I48" s="23"/>
      <c r="J48" s="23"/>
      <c r="K48" s="23"/>
      <c r="L48" s="23"/>
      <c r="M48" s="23"/>
      <c r="N48" s="23"/>
      <c r="O48" s="25"/>
      <c r="Q48">
        <f ca="1">IF(R48=O40,N40,N56)</f>
        <v>2</v>
      </c>
      <c r="R48" s="7" t="str">
        <f ca="1">IF(P56&lt;P40,O40,O56)</f>
        <v>Ohio St.</v>
      </c>
      <c r="S48" s="6">
        <f ca="1">OFFSET('Value Matchup'!$D$355,MATCH(Straight!R48,'Value Matchup'!$D$356:$D$420,0),6)</f>
        <v>96.003153658955782</v>
      </c>
    </row>
    <row r="49" spans="1:16" x14ac:dyDescent="0.25">
      <c r="A49" s="105" t="str">
        <f>'Value Matchup'!A404</f>
        <v>SouthEast</v>
      </c>
      <c r="B49" s="14">
        <f>'Value Matchup'!C404</f>
        <v>1</v>
      </c>
      <c r="C49" s="15" t="str">
        <f>'Value Matchup'!D404</f>
        <v>Illinois</v>
      </c>
      <c r="D49" s="16">
        <f>'Value Matchup'!E404</f>
        <v>448.77389253216194</v>
      </c>
      <c r="E49" s="17">
        <f>IF(F49=C49,B49,B50)</f>
        <v>1</v>
      </c>
      <c r="F49" s="17" t="str">
        <f>IF(D49&gt;D50,C49,C50)</f>
        <v>Illinois</v>
      </c>
      <c r="G49" s="16">
        <f ca="1">OFFSET('Value Matchup'!$D$355,MATCH(Straight!F49,'Value Matchup'!$D$356:$D$420,0),2)</f>
        <v>312.35272692087761</v>
      </c>
      <c r="H49" s="15"/>
      <c r="I49" s="15"/>
      <c r="J49" s="15"/>
      <c r="K49" s="15"/>
      <c r="L49" s="15"/>
      <c r="M49" s="15"/>
      <c r="N49" s="15"/>
      <c r="O49" s="18"/>
    </row>
    <row r="50" spans="1:16" x14ac:dyDescent="0.25">
      <c r="A50" s="105"/>
      <c r="B50" s="19">
        <f>'Value Matchup'!C405</f>
        <v>16</v>
      </c>
      <c r="C50" t="str">
        <f>'Value Matchup'!D405</f>
        <v>Drexel</v>
      </c>
      <c r="D50" s="6">
        <f>'Value Matchup'!E405</f>
        <v>6.8136160641760251</v>
      </c>
      <c r="H50" s="7">
        <f ca="1">IF(I50=F49,E49,E51)</f>
        <v>1</v>
      </c>
      <c r="I50" s="7" t="str">
        <f ca="1">IF(G51&lt;G49,F49,F51)</f>
        <v>Illinois</v>
      </c>
      <c r="J50" s="6">
        <f ca="1">OFFSET('Value Matchup'!$D$355,MATCH(Straight!I50,'Value Matchup'!$D$356:$D$420,0),3)</f>
        <v>232.65838238923575</v>
      </c>
      <c r="O50" s="20"/>
    </row>
    <row r="51" spans="1:16" x14ac:dyDescent="0.25">
      <c r="A51" s="105"/>
      <c r="B51" s="19">
        <f>'Value Matchup'!C406</f>
        <v>8</v>
      </c>
      <c r="C51" t="str">
        <f>'Value Matchup'!D406</f>
        <v>Loyola Chicago</v>
      </c>
      <c r="D51" s="6">
        <f>'Value Matchup'!E406</f>
        <v>122.19563892772612</v>
      </c>
      <c r="E51" s="7">
        <f>IF(F51=C51,B51,B52)</f>
        <v>9</v>
      </c>
      <c r="F51" s="7" t="str">
        <f>IF(D51&gt;D52,C51,C52)</f>
        <v>Georgia Tech</v>
      </c>
      <c r="G51" s="6">
        <f ca="1">OFFSET('Value Matchup'!$D$355,MATCH(Straight!F51,'Value Matchup'!$D$356:$D$420,0),2)</f>
        <v>83.868376654150367</v>
      </c>
      <c r="O51" s="20"/>
    </row>
    <row r="52" spans="1:16" x14ac:dyDescent="0.25">
      <c r="A52" s="105"/>
      <c r="B52" s="19">
        <f>'Value Matchup'!C407</f>
        <v>9</v>
      </c>
      <c r="C52" t="str">
        <f>'Value Matchup'!D407</f>
        <v>Georgia Tech</v>
      </c>
      <c r="D52" s="6">
        <f>'Value Matchup'!E407</f>
        <v>185.09907620257971</v>
      </c>
      <c r="K52" s="7">
        <f ca="1">IF(L52=I50,H50,H54)</f>
        <v>1</v>
      </c>
      <c r="L52" s="7" t="str">
        <f ca="1">IF(J54&lt;J50,I50,I54)</f>
        <v>Illinois</v>
      </c>
      <c r="M52" s="6">
        <f ca="1">OFFSET('Value Matchup'!$D$355,MATCH(Straight!L52,'Value Matchup'!$D$356:$D$420,0),4)</f>
        <v>132.06572124186908</v>
      </c>
      <c r="O52" s="20"/>
    </row>
    <row r="53" spans="1:16" x14ac:dyDescent="0.25">
      <c r="A53" s="105"/>
      <c r="B53" s="19">
        <f>'Value Matchup'!C408</f>
        <v>5</v>
      </c>
      <c r="C53" t="str">
        <f>'Value Matchup'!D408</f>
        <v>Tennessee</v>
      </c>
      <c r="D53" s="6">
        <f>'Value Matchup'!E408</f>
        <v>210.78958647615022</v>
      </c>
      <c r="E53" s="7">
        <f>IF(F53=C53,B53,B54)</f>
        <v>5</v>
      </c>
      <c r="F53" s="7" t="str">
        <f>IF(D53&gt;D54,C53,C54)</f>
        <v>Tennessee</v>
      </c>
      <c r="G53" s="6">
        <f ca="1">OFFSET('Value Matchup'!$D$355,MATCH(Straight!F53,'Value Matchup'!$D$356:$D$420,0),2)</f>
        <v>113.7214815222887</v>
      </c>
      <c r="O53" s="20"/>
    </row>
    <row r="54" spans="1:16" x14ac:dyDescent="0.25">
      <c r="A54" s="105"/>
      <c r="B54" s="19">
        <f>'Value Matchup'!C409</f>
        <v>12</v>
      </c>
      <c r="C54" t="str">
        <f>'Value Matchup'!D409</f>
        <v>Oregon St.</v>
      </c>
      <c r="D54" s="6">
        <f>'Value Matchup'!E409</f>
        <v>25.067246010824626</v>
      </c>
      <c r="H54" s="7">
        <f ca="1">IF(I54=F53,E53,E55)</f>
        <v>4</v>
      </c>
      <c r="I54" s="7" t="str">
        <f ca="1">IF(G55&lt;G53,F53,F55)</f>
        <v>Oklahoma St.</v>
      </c>
      <c r="J54" s="6">
        <f ca="1">OFFSET('Value Matchup'!$D$355,MATCH(Straight!I54,'Value Matchup'!$D$356:$D$420,0),3)</f>
        <v>82.455626483058523</v>
      </c>
      <c r="O54" s="20"/>
    </row>
    <row r="55" spans="1:16" x14ac:dyDescent="0.25">
      <c r="A55" s="105"/>
      <c r="B55" s="19">
        <f>'Value Matchup'!C410</f>
        <v>4</v>
      </c>
      <c r="C55" t="str">
        <f>'Value Matchup'!D410</f>
        <v>Oklahoma St.</v>
      </c>
      <c r="D55" s="6">
        <f>'Value Matchup'!E410</f>
        <v>320.02325695953124</v>
      </c>
      <c r="E55" s="7">
        <f>IF(F55=C55,B55,B56)</f>
        <v>4</v>
      </c>
      <c r="F55" s="7" t="str">
        <f>IF(D55&gt;D56,C55,C56)</f>
        <v>Oklahoma St.</v>
      </c>
      <c r="G55" s="6">
        <f ca="1">OFFSET('Value Matchup'!$D$355,MATCH(Straight!F55,'Value Matchup'!$D$356:$D$420,0),2)</f>
        <v>158.89823117600963</v>
      </c>
      <c r="O55" s="20"/>
    </row>
    <row r="56" spans="1:16" x14ac:dyDescent="0.25">
      <c r="A56" s="105"/>
      <c r="B56" s="19">
        <f>'Value Matchup'!C411</f>
        <v>13</v>
      </c>
      <c r="C56" t="str">
        <f>'Value Matchup'!D411</f>
        <v>Liberty</v>
      </c>
      <c r="D56" s="6">
        <f>'Value Matchup'!E411</f>
        <v>23.599915579198864</v>
      </c>
      <c r="N56" s="7">
        <f ca="1">IF(O56=L52,K52,K60)</f>
        <v>1</v>
      </c>
      <c r="O56" s="21" t="str">
        <f ca="1">IF(M60&lt;M52,L52,L60)</f>
        <v>Illinois</v>
      </c>
      <c r="P56" s="6">
        <f ca="1">OFFSET('Value Matchup'!$D$355,MATCH(Straight!O56,'Value Matchup'!$D$356:$D$420,0),5)</f>
        <v>100.17089914609073</v>
      </c>
    </row>
    <row r="57" spans="1:16" x14ac:dyDescent="0.25">
      <c r="A57" s="105"/>
      <c r="B57" s="19">
        <f>'Value Matchup'!C412</f>
        <v>6</v>
      </c>
      <c r="C57" t="str">
        <f>'Value Matchup'!D412</f>
        <v>San Diego St.</v>
      </c>
      <c r="D57" s="6">
        <f>'Value Matchup'!E412</f>
        <v>140.16483296732082</v>
      </c>
      <c r="E57" s="7">
        <f>IF(F57=C57,B57,B58)</f>
        <v>11</v>
      </c>
      <c r="F57" s="7" t="str">
        <f>IF(D57&gt;D58,C57,C58)</f>
        <v>Syracuse</v>
      </c>
      <c r="G57" s="6">
        <f ca="1">OFFSET('Value Matchup'!$D$355,MATCH(Straight!F57,'Value Matchup'!$D$356:$D$420,0),2)</f>
        <v>208.23261461864848</v>
      </c>
      <c r="O57" s="20"/>
    </row>
    <row r="58" spans="1:16" x14ac:dyDescent="0.25">
      <c r="A58" s="105"/>
      <c r="B58" s="19">
        <f>'Value Matchup'!C413</f>
        <v>11</v>
      </c>
      <c r="C58" t="str">
        <f>'Value Matchup'!D413</f>
        <v>Syracuse</v>
      </c>
      <c r="D58" s="6">
        <f>'Value Matchup'!E413</f>
        <v>269.15124439331618</v>
      </c>
      <c r="H58" s="7">
        <f ca="1">IF(I58=F57,E57,E59)</f>
        <v>3</v>
      </c>
      <c r="I58" s="7" t="str">
        <f ca="1">IF(G59&lt;G57,F57,F59)</f>
        <v>West Virginia</v>
      </c>
      <c r="J58" s="6">
        <f ca="1">OFFSET('Value Matchup'!$D$355,MATCH(Straight!I58,'Value Matchup'!$D$356:$D$420,0),3)</f>
        <v>137.25444768777353</v>
      </c>
      <c r="O58" s="20"/>
    </row>
    <row r="59" spans="1:16" x14ac:dyDescent="0.25">
      <c r="A59" s="105"/>
      <c r="B59" s="19">
        <f>'Value Matchup'!C414</f>
        <v>3</v>
      </c>
      <c r="C59" t="str">
        <f>'Value Matchup'!D414</f>
        <v>West Virginia</v>
      </c>
      <c r="D59" s="6">
        <f>'Value Matchup'!E414</f>
        <v>430.98842198113101</v>
      </c>
      <c r="E59" s="7">
        <f>IF(F59=C59,B59,B60)</f>
        <v>3</v>
      </c>
      <c r="F59" s="7" t="str">
        <f>IF(D59&gt;D60,C59,C60)</f>
        <v>West Virginia</v>
      </c>
      <c r="G59" s="6">
        <f ca="1">OFFSET('Value Matchup'!$D$355,MATCH(Straight!F59,'Value Matchup'!$D$356:$D$420,0),2)</f>
        <v>233.92162652396664</v>
      </c>
      <c r="O59" s="20"/>
    </row>
    <row r="60" spans="1:16" x14ac:dyDescent="0.25">
      <c r="A60" s="105"/>
      <c r="B60" s="19">
        <f>'Value Matchup'!C415</f>
        <v>14</v>
      </c>
      <c r="C60" t="str">
        <f>'Value Matchup'!D415</f>
        <v>Morehead St.</v>
      </c>
      <c r="D60" s="6">
        <f>'Value Matchup'!E415</f>
        <v>13.829233442900616</v>
      </c>
      <c r="K60" s="7">
        <f ca="1">IF(L60=I58,H58,H62)</f>
        <v>3</v>
      </c>
      <c r="L60" s="7" t="str">
        <f ca="1">IF(J62&lt;J58,I58,I62)</f>
        <v>West Virginia</v>
      </c>
      <c r="M60" s="6">
        <f ca="1">OFFSET('Value Matchup'!$D$355,MATCH(Straight!L60,'Value Matchup'!$D$356:$D$420,0),4)</f>
        <v>106.8586333795003</v>
      </c>
      <c r="O60" s="20"/>
    </row>
    <row r="61" spans="1:16" x14ac:dyDescent="0.25">
      <c r="A61" s="105"/>
      <c r="B61" s="19">
        <f>'Value Matchup'!C416</f>
        <v>7</v>
      </c>
      <c r="C61" t="str">
        <f>'Value Matchup'!D416</f>
        <v>Clemson</v>
      </c>
      <c r="D61" s="6">
        <f>'Value Matchup'!E416</f>
        <v>118.83221839920921</v>
      </c>
      <c r="E61" s="7">
        <f>IF(F61=C61,B61,B62)</f>
        <v>7</v>
      </c>
      <c r="F61" s="7" t="str">
        <f>IF(D61&gt;D62,C61,C62)</f>
        <v>Clemson</v>
      </c>
      <c r="G61" s="6">
        <f ca="1">OFFSET('Value Matchup'!$D$355,MATCH(Straight!F61,'Value Matchup'!$D$356:$D$420,0),2)</f>
        <v>38.480834171886109</v>
      </c>
      <c r="O61" s="20"/>
    </row>
    <row r="62" spans="1:16" x14ac:dyDescent="0.25">
      <c r="A62" s="105"/>
      <c r="B62" s="19">
        <f>'Value Matchup'!C417</f>
        <v>10</v>
      </c>
      <c r="C62" t="str">
        <f>'Value Matchup'!D417</f>
        <v>Rutgers</v>
      </c>
      <c r="D62" s="6">
        <f>'Value Matchup'!E417</f>
        <v>36.791416447985078</v>
      </c>
      <c r="H62" s="7">
        <f ca="1">IF(I62=F61,E61,E63)</f>
        <v>2</v>
      </c>
      <c r="I62" s="7" t="str">
        <f ca="1">IF(G63&lt;G61,F61,F63)</f>
        <v>Houston</v>
      </c>
      <c r="J62" s="6">
        <f ca="1">OFFSET('Value Matchup'!$D$355,MATCH(Straight!I62,'Value Matchup'!$D$356:$D$420,0),3)</f>
        <v>85.358968874101507</v>
      </c>
      <c r="O62" s="20"/>
    </row>
    <row r="63" spans="1:16" x14ac:dyDescent="0.25">
      <c r="A63" s="105"/>
      <c r="B63" s="19">
        <f>'Value Matchup'!C418</f>
        <v>2</v>
      </c>
      <c r="C63" t="str">
        <f>'Value Matchup'!D418</f>
        <v>Houston</v>
      </c>
      <c r="D63" s="6">
        <f>'Value Matchup'!E418</f>
        <v>282.6587403705654</v>
      </c>
      <c r="E63" s="7">
        <f>IF(F63=C63,B63,B64)</f>
        <v>2</v>
      </c>
      <c r="F63" s="7" t="str">
        <f>IF(D63&gt;D64,C63,C64)</f>
        <v>Houston</v>
      </c>
      <c r="G63" s="6">
        <f ca="1">OFFSET('Value Matchup'!$D$355,MATCH(Straight!F63,'Value Matchup'!$D$356:$D$420,0),2)</f>
        <v>128.67723918035642</v>
      </c>
      <c r="O63" s="20"/>
    </row>
    <row r="64" spans="1:16" x14ac:dyDescent="0.25">
      <c r="A64" s="105"/>
      <c r="B64" s="22">
        <f>'Value Matchup'!C419</f>
        <v>15</v>
      </c>
      <c r="C64" s="23" t="str">
        <f>'Value Matchup'!D419</f>
        <v>Cleveland St.</v>
      </c>
      <c r="D64" s="24">
        <f>'Value Matchup'!E419</f>
        <v>12.345538593200423</v>
      </c>
      <c r="E64" s="23"/>
      <c r="F64" s="23"/>
      <c r="G64" s="24"/>
      <c r="H64" s="23"/>
      <c r="I64" s="23"/>
      <c r="J64" s="23"/>
      <c r="K64" s="23"/>
      <c r="L64" s="23"/>
      <c r="M64" s="23"/>
      <c r="N64" s="23"/>
      <c r="O64" s="25"/>
    </row>
  </sheetData>
  <mergeCells count="5">
    <mergeCell ref="T32:U32"/>
    <mergeCell ref="A1:A16"/>
    <mergeCell ref="A17:A32"/>
    <mergeCell ref="A33:A48"/>
    <mergeCell ref="A49:A64"/>
  </mergeCells>
  <conditionalFormatting sqref="E1:E1048576">
    <cfRule type="colorScale" priority="6">
      <colorScale>
        <cfvo type="num" val="9"/>
        <cfvo type="num" val="16"/>
        <color theme="0"/>
        <color theme="9" tint="-0.499984740745262"/>
      </colorScale>
    </cfRule>
  </conditionalFormatting>
  <conditionalFormatting sqref="H1:H1048576">
    <cfRule type="colorScale" priority="5">
      <colorScale>
        <cfvo type="num" val="5"/>
        <cfvo type="num" val="16"/>
        <color theme="0"/>
        <color theme="9" tint="-0.499984740745262"/>
      </colorScale>
    </cfRule>
  </conditionalFormatting>
  <conditionalFormatting sqref="Q1:Q1048576 N1:N1048576 K1:K1048576">
    <cfRule type="colorScale" priority="4">
      <colorScale>
        <cfvo type="num" val="3"/>
        <cfvo type="num" val="12"/>
        <color theme="0"/>
        <color theme="9" tint="-0.499984740745262"/>
      </colorScale>
    </cfRule>
  </conditionalFormatting>
  <pageMargins left="0.7" right="0.7" top="0.75" bottom="0.75" header="0.3" footer="0.3"/>
  <pageSetup scale="47" orientation="portrait" r:id="rId1"/>
  <headerFooter>
    <oddHeader>&amp;R&amp;D        &amp;T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CC7CA11-B843-4234-AD6B-D9E08B6F93B6}">
            <xm:f>AND(F1=Results!E2,LEN(Results!E2)&gt;2)</xm:f>
            <x14:dxf>
              <fill>
                <patternFill>
                  <bgColor rgb="FF66FF66"/>
                </patternFill>
              </fill>
            </x14:dxf>
          </x14:cfRule>
          <x14:cfRule type="expression" priority="2" id="{5D60CB0E-ACDC-4F92-A481-E9D9DAF893F8}">
            <xm:f>AND(F1&lt;&gt;Results!E2,LEN(Results!E2)&gt;2)</xm:f>
            <x14:dxf>
              <fill>
                <patternFill>
                  <bgColor rgb="FFFF967D"/>
                </patternFill>
              </fill>
            </x14:dxf>
          </x14:cfRule>
          <xm:sqref>F1:V64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A190116DE41C4F899058010FD9BC57" ma:contentTypeVersion="7" ma:contentTypeDescription="Create a new document." ma:contentTypeScope="" ma:versionID="65ed4516c286693f7162d76772b1cc58">
  <xsd:schema xmlns:xsd="http://www.w3.org/2001/XMLSchema" xmlns:xs="http://www.w3.org/2001/XMLSchema" xmlns:p="http://schemas.microsoft.com/office/2006/metadata/properties" xmlns:ns3="99728bb0-62d9-471a-ac3f-3b95b1c01430" targetNamespace="http://schemas.microsoft.com/office/2006/metadata/properties" ma:root="true" ma:fieldsID="6c00723c0151ee8595cb07e72fb51d6d" ns3:_="">
    <xsd:import namespace="99728bb0-62d9-471a-ac3f-3b95b1c014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28bb0-62d9-471a-ac3f-3b95b1c014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6D366C-1D05-4690-8902-EAF5468C7B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728bb0-62d9-471a-ac3f-3b95b1c014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AE0CDE-F2BA-40E5-9B17-4E0C024280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F28D7-3F5E-41FB-8297-8A2798B9A65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99728bb0-62d9-471a-ac3f-3b95b1c0143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2022 Bracket Picker</vt:lpstr>
      <vt:lpstr>Seed History</vt:lpstr>
      <vt:lpstr>Team History</vt:lpstr>
      <vt:lpstr>PASE</vt:lpstr>
      <vt:lpstr>Ranking</vt:lpstr>
      <vt:lpstr>FuzzyLookup_AddIn_Undo_Sheet</vt:lpstr>
      <vt:lpstr>P Adv</vt:lpstr>
      <vt:lpstr>Value Matchup</vt:lpstr>
      <vt:lpstr>Straight</vt:lpstr>
      <vt:lpstr>Generator</vt:lpstr>
      <vt:lpstr>Results</vt:lpstr>
      <vt:lpstr>Binomial</vt:lpstr>
      <vt:lpstr>Generator!Print_Area</vt:lpstr>
      <vt:lpstr>'Value Matchup'!Print_Area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kenneth.harmon</dc:creator>
  <cp:keywords/>
  <dc:description/>
  <cp:lastModifiedBy>Daddy</cp:lastModifiedBy>
  <cp:revision/>
  <cp:lastPrinted>2019-03-18T00:50:31Z</cp:lastPrinted>
  <dcterms:created xsi:type="dcterms:W3CDTF">2011-02-27T21:19:53Z</dcterms:created>
  <dcterms:modified xsi:type="dcterms:W3CDTF">2021-03-29T03:16:57Z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0x010100CFA190116DE41C4F899058010FD9BC57</vt:lpwstr>
  </property>
</Properties>
</file>