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4" documentId="11_BF2C0026F843C175E393E493DF8589D8F9E020DA" xr6:coauthVersionLast="47" xr6:coauthVersionMax="47" xr10:uidLastSave="{17D368A0-4642-4832-A908-EA78CF90BC26}"/>
  <bookViews>
    <workbookView xWindow="0" yWindow="0" windowWidth="0" windowHeight="0" xr2:uid="{00000000-000D-0000-FFFF-FFFF00000000}"/>
  </bookViews>
  <sheets>
    <sheet name="Subsolar" sheetId="1" r:id="rId1"/>
    <sheet name="Sublunar" sheetId="2" r:id="rId2"/>
    <sheet name="Pola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B16" i="1"/>
  <c r="B13" i="1"/>
  <c r="A3" i="3"/>
  <c r="A7" i="3" s="1"/>
  <c r="B2" i="2"/>
  <c r="G17" i="1"/>
  <c r="J16" i="1"/>
  <c r="G16" i="1"/>
  <c r="B14" i="1"/>
  <c r="B15" i="1" s="1"/>
  <c r="A4" i="3" s="1"/>
  <c r="A9" i="3" s="1"/>
  <c r="I3" i="1"/>
  <c r="J3" i="1" s="1"/>
  <c r="G3" i="1"/>
  <c r="F3" i="1"/>
  <c r="E3" i="1"/>
  <c r="B6" i="1" s="1"/>
  <c r="A2" i="3" s="1"/>
  <c r="A6" i="3" s="1"/>
  <c r="D3" i="1"/>
  <c r="C3" i="1"/>
  <c r="B3" i="1"/>
  <c r="I2" i="1"/>
  <c r="J2" i="1" s="1"/>
  <c r="G2" i="1"/>
  <c r="F2" i="1"/>
  <c r="E2" i="1"/>
  <c r="D2" i="1"/>
  <c r="C2" i="1"/>
  <c r="B2" i="1"/>
  <c r="J6" i="1" l="1"/>
  <c r="C6" i="1"/>
  <c r="A1" i="3" s="1"/>
  <c r="A5" i="3" s="1"/>
  <c r="B8" i="2"/>
  <c r="B7" i="2"/>
  <c r="B6" i="2"/>
  <c r="B5" i="2"/>
  <c r="B4" i="2"/>
  <c r="B3" i="2"/>
  <c r="C2" i="2"/>
  <c r="C8" i="2" l="1"/>
  <c r="C7" i="2"/>
  <c r="C6" i="2"/>
  <c r="C5" i="2"/>
  <c r="D5" i="2" s="1"/>
  <c r="C4" i="2"/>
  <c r="C3" i="2"/>
  <c r="A11" i="3"/>
  <c r="A15" i="3" s="1"/>
  <c r="C18" i="1" s="1"/>
  <c r="A12" i="3"/>
  <c r="A16" i="3" s="1"/>
  <c r="B18" i="1" s="1"/>
  <c r="D4" i="2" l="1"/>
  <c r="D3" i="2"/>
  <c r="B9" i="2" s="1"/>
  <c r="B10" i="2" s="1"/>
  <c r="B12" i="2" s="1"/>
</calcChain>
</file>

<file path=xl/sharedStrings.xml><?xml version="1.0" encoding="utf-8"?>
<sst xmlns="http://schemas.openxmlformats.org/spreadsheetml/2006/main" count="74" uniqueCount="64">
  <si>
    <t>Year</t>
  </si>
  <si>
    <t>Month</t>
  </si>
  <si>
    <t>Day</t>
  </si>
  <si>
    <t>Hour</t>
  </si>
  <si>
    <t>Minute</t>
  </si>
  <si>
    <t>Second</t>
  </si>
  <si>
    <t>Julian Date</t>
  </si>
  <si>
    <t>Mountain</t>
  </si>
  <si>
    <t>UTC</t>
  </si>
  <si>
    <t>Longitude</t>
  </si>
  <si>
    <t>Latitude</t>
  </si>
  <si>
    <t>fractional Year in Radians</t>
  </si>
  <si>
    <t>Subsolar</t>
  </si>
  <si>
    <t>Degree</t>
  </si>
  <si>
    <t>minute</t>
  </si>
  <si>
    <t>Vertical angle</t>
  </si>
  <si>
    <t>Degrees</t>
  </si>
  <si>
    <t>Mils</t>
  </si>
  <si>
    <t>Dist subsolar</t>
  </si>
  <si>
    <t>Magnetic delination</t>
  </si>
  <si>
    <t>AZ subsolar</t>
  </si>
  <si>
    <t>VA</t>
  </si>
  <si>
    <t>AZ</t>
  </si>
  <si>
    <t>My Location</t>
  </si>
  <si>
    <t>MT</t>
  </si>
  <si>
    <t>UT</t>
  </si>
  <si>
    <t>TAI</t>
  </si>
  <si>
    <t>Julian Day</t>
  </si>
  <si>
    <t>Julian Century</t>
  </si>
  <si>
    <t>Moon Long</t>
  </si>
  <si>
    <t>lat1d</t>
  </si>
  <si>
    <t>lng1d</t>
  </si>
  <si>
    <t>shotd</t>
  </si>
  <si>
    <t>dist</t>
  </si>
  <si>
    <t>lng2r &lt;- lng1r + atan2(sin(shotr)*sin(delta)*cos(lat1r),cos(delta)-sin(lat1r)*sin(lat2r))</t>
  </si>
  <si>
    <t>lat1r &lt;- lat1d*pi/180</t>
  </si>
  <si>
    <t>lat2r &lt;- asin(sin(lat1r)*cos(delta)+cos(lat1r)*sin(delta)*cos(shotr))</t>
  </si>
  <si>
    <t>lng1r &lt;- lng1d*pi/180</t>
  </si>
  <si>
    <t>shotr &lt;- shotd*pi/180</t>
  </si>
  <si>
    <t>er &lt;- 6371 #Earth Radius in km</t>
  </si>
  <si>
    <t>delta &lt;- dist/er</t>
  </si>
  <si>
    <t>lat2d &lt;- lat2r*180/pi</t>
  </si>
  <si>
    <t>lng2d &lt;- lng2r*180/pi</t>
  </si>
  <si>
    <t>#Bearing of the impact in radians</t>
  </si>
  <si>
    <t>impr &lt;- pi + atan2(sin(lng1r-lng2r)*cos(lat1r),</t>
  </si>
  <si>
    <t>cos(lat2r)*sin(lat1r)-sin(lat2r)*cos(lat1r)*cos(lng1r-lng2r))</t>
  </si>
  <si>
    <t>#Bearing of the impact in degrees</t>
  </si>
  <si>
    <t>impd &lt;- impr*180/pi</t>
  </si>
  <si>
    <t># Compute midpoint</t>
  </si>
  <si>
    <t>Bx &lt;- cos(lat2r)*cos(lng2r-lng1r)</t>
  </si>
  <si>
    <t>By &lt;- cos(lat2r)*sin(lng2r-lng1r)</t>
  </si>
  <si>
    <t>latmr &lt;- atan2(sin(lat1r) + sin(lat2r), sqrt((cos(lat1r)+Bx)^2+By^2))</t>
  </si>
  <si>
    <t>lngmr &lt;- lng1r + atan2(By, cos(lat1r) + Bx)</t>
  </si>
  <si>
    <t>latmd &lt;- latmr*180/pi</t>
  </si>
  <si>
    <t>lngmd &lt;- lngmr*180/pi</t>
  </si>
  <si>
    <t>final &lt;- data.frame("Launch Latitude" = lat1d,</t>
  </si>
  <si>
    <t>Launch Longitude = lng1d,</t>
  </si>
  <si>
    <t>Distance km = dist,</t>
  </si>
  <si>
    <t>Launch Bearing = shotd,</t>
  </si>
  <si>
    <t>Landing Latitude = lat2d,</t>
  </si>
  <si>
    <t>Landing Longitude = lng2d,</t>
  </si>
  <si>
    <t>Landing Bearing = impd,</t>
  </si>
  <si>
    <t>Midpoint Lat = latmd,</t>
  </si>
  <si>
    <t>Midpoint Lng = lngmd)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</si>
</sst>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#,##0.000000"/>
  </numFmts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7</xdr:row>
      <xdr:rowOff>28575</xdr:rowOff>
    </xdr:from>
    <xdr:ext cx="6419850" cy="590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"/>
  <sheetViews>
    <sheetView tabSelected="1" workbookViewId="0">
      <selection activeCell="L11" sqref="L11"/>
    </sheetView>
  </sheetViews>
  <sheetFormatPr defaultColWidth="14.42578125" defaultRowHeight="15.75" customHeight="1"/>
  <cols>
    <col min="9" max="9" width="17.57031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>
        <f ca="1">NOW()</f>
        <v>44591.365481018518</v>
      </c>
      <c r="J1" s="1" t="s">
        <v>6</v>
      </c>
    </row>
    <row r="2" spans="1:10">
      <c r="A2" s="1" t="s">
        <v>7</v>
      </c>
      <c r="B2" s="1">
        <f t="shared" ref="B2:B3" ca="1" si="0">YEAR(I2)</f>
        <v>2022</v>
      </c>
      <c r="C2" s="1">
        <f t="shared" ref="C2:C3" ca="1" si="1">MONTH(I2)</f>
        <v>1</v>
      </c>
      <c r="D2" s="1">
        <f t="shared" ref="D2:D3" ca="1" si="2">DAY(I2)</f>
        <v>30</v>
      </c>
      <c r="E2" s="1">
        <f t="shared" ref="E2:E3" ca="1" si="3">HOUR(I2)</f>
        <v>8</v>
      </c>
      <c r="F2" s="1">
        <f t="shared" ref="F2:F3" ca="1" si="4">MINUTE(I2)</f>
        <v>46</v>
      </c>
      <c r="G2" s="1">
        <f t="shared" ref="G2:G3" ca="1" si="5">SECOND(I2)</f>
        <v>18</v>
      </c>
      <c r="I2" s="2">
        <f ca="1">NOW()</f>
        <v>44591.365481018518</v>
      </c>
      <c r="J2" s="1">
        <f ca="1">FLOOR(I2-DATE(YEAR(I2),1,1)+1,1)</f>
        <v>30</v>
      </c>
    </row>
    <row r="3" spans="1:10">
      <c r="A3" s="1" t="s">
        <v>8</v>
      </c>
      <c r="B3" s="1">
        <f t="shared" ca="1" si="0"/>
        <v>2022</v>
      </c>
      <c r="C3" s="1">
        <f t="shared" ca="1" si="1"/>
        <v>1</v>
      </c>
      <c r="D3" s="1">
        <f t="shared" ca="1" si="2"/>
        <v>30</v>
      </c>
      <c r="E3" s="1">
        <f t="shared" ca="1" si="3"/>
        <v>15</v>
      </c>
      <c r="F3" s="1">
        <f t="shared" ca="1" si="4"/>
        <v>46</v>
      </c>
      <c r="G3" s="1">
        <f t="shared" ca="1" si="5"/>
        <v>18</v>
      </c>
      <c r="I3" s="2">
        <f ca="1">I1+7/24</f>
        <v>44591.657147685182</v>
      </c>
      <c r="J3" s="1">
        <f ca="1">I3-DATE(YEAR(I3),1,1)+1</f>
        <v>30.657147685182281</v>
      </c>
    </row>
    <row r="5" spans="1:10">
      <c r="B5" s="1" t="s">
        <v>9</v>
      </c>
      <c r="C5" s="1" t="s">
        <v>10</v>
      </c>
      <c r="J5" s="1" t="s">
        <v>11</v>
      </c>
    </row>
    <row r="6" spans="1:10">
      <c r="A6" s="1" t="s">
        <v>12</v>
      </c>
      <c r="B6" s="3">
        <f ca="1">180-(E3+F3/60+G3/3600)*15+3.4</f>
        <v>-53.175000000000018</v>
      </c>
      <c r="C6" s="1">
        <f ca="1">ASIN(SIN(RADIANS(-23.44))*COS(RADIANS(360/365.24*(J3+10)+360/PI()*0.0167*SIN(RADIANS(360/365.24*(J3-2))))))*180/PI()</f>
        <v>-17.476108271255093</v>
      </c>
      <c r="J6" s="1">
        <f ca="1">2*PI()/365.256*(J3-1+(E3-12)/24)</f>
        <v>0.51231671143469193</v>
      </c>
    </row>
    <row r="10" spans="1:10">
      <c r="D10" s="4"/>
    </row>
    <row r="12" spans="1:10">
      <c r="B12" s="1" t="s">
        <v>13</v>
      </c>
      <c r="C12" s="1" t="s">
        <v>14</v>
      </c>
    </row>
    <row r="13" spans="1:10">
      <c r="A13" s="1" t="s">
        <v>15</v>
      </c>
      <c r="B13" s="5">
        <f>G16</f>
        <v>44.268749999999997</v>
      </c>
      <c r="C13" s="5"/>
    </row>
    <row r="14" spans="1:10">
      <c r="B14" s="1">
        <f>B13+C13/60</f>
        <v>44.268749999999997</v>
      </c>
      <c r="F14" s="6"/>
      <c r="G14" s="6" t="s">
        <v>16</v>
      </c>
      <c r="H14" s="6" t="s">
        <v>17</v>
      </c>
    </row>
    <row r="15" spans="1:10">
      <c r="A15" s="1" t="s">
        <v>18</v>
      </c>
      <c r="B15" s="1">
        <f>(90-B14)/360*2*6370*PI()</f>
        <v>5084.2848282304249</v>
      </c>
      <c r="F15" s="6" t="s">
        <v>19</v>
      </c>
      <c r="G15" s="7">
        <v>11.71</v>
      </c>
      <c r="H15" s="7">
        <v>208.17779999999999</v>
      </c>
    </row>
    <row r="16" spans="1:10">
      <c r="A16" s="1" t="s">
        <v>20</v>
      </c>
      <c r="B16" s="5">
        <f>G17</f>
        <v>182.13749999999999</v>
      </c>
      <c r="F16" s="1" t="s">
        <v>21</v>
      </c>
      <c r="G16" s="1">
        <f t="shared" ref="G16:G17" si="6">H16*360/6400</f>
        <v>44.268749999999997</v>
      </c>
      <c r="H16" s="8">
        <v>787</v>
      </c>
      <c r="J16" s="1">
        <f>0.26875*60</f>
        <v>16.125</v>
      </c>
    </row>
    <row r="17" spans="1:8">
      <c r="B17" s="1" t="s">
        <v>9</v>
      </c>
      <c r="C17" s="1" t="s">
        <v>10</v>
      </c>
      <c r="F17" s="1" t="s">
        <v>22</v>
      </c>
      <c r="G17" s="1">
        <f t="shared" si="6"/>
        <v>182.13749999999999</v>
      </c>
      <c r="H17" s="8">
        <v>3238</v>
      </c>
    </row>
    <row r="18" spans="1:8">
      <c r="A18" s="1" t="s">
        <v>23</v>
      </c>
      <c r="B18" s="1">
        <f ca="1">Polar!A16</f>
        <v>-51.438317743883459</v>
      </c>
      <c r="C18" s="1">
        <f ca="1">Polar!A15</f>
        <v>28.217060943083908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"/>
  <sheetViews>
    <sheetView workbookViewId="0"/>
  </sheetViews>
  <sheetFormatPr defaultColWidth="14.42578125" defaultRowHeight="15.75" customHeight="1"/>
  <sheetData>
    <row r="1" spans="1:6">
      <c r="B1" s="1" t="s">
        <v>24</v>
      </c>
      <c r="C1" s="1" t="s">
        <v>25</v>
      </c>
    </row>
    <row r="2" spans="1:6">
      <c r="B2" s="2">
        <f ca="1">NOW()</f>
        <v>44591.365481018518</v>
      </c>
      <c r="C2" s="2">
        <f ca="1">B2+7/24</f>
        <v>44591.657147685182</v>
      </c>
    </row>
    <row r="3" spans="1:6">
      <c r="A3" s="1" t="s">
        <v>0</v>
      </c>
      <c r="B3" s="1">
        <f t="shared" ref="B3:C3" ca="1" si="0">YEAR(B2)</f>
        <v>2022</v>
      </c>
      <c r="C3" s="1">
        <f t="shared" ca="1" si="0"/>
        <v>2022</v>
      </c>
      <c r="D3" s="1">
        <f ca="1">IF(C4&gt;2,C3,C3-1)</f>
        <v>2021</v>
      </c>
      <c r="F3" s="1" t="s">
        <v>26</v>
      </c>
    </row>
    <row r="4" spans="1:6">
      <c r="A4" s="1" t="s">
        <v>1</v>
      </c>
      <c r="B4" s="1">
        <f t="shared" ref="B4:C4" ca="1" si="1">MONTH(B2)</f>
        <v>1</v>
      </c>
      <c r="C4" s="1">
        <f t="shared" ca="1" si="1"/>
        <v>1</v>
      </c>
      <c r="D4" s="1">
        <f ca="1">IF(C4&gt;2,C4,C4+12)</f>
        <v>13</v>
      </c>
    </row>
    <row r="5" spans="1:6">
      <c r="A5" s="1" t="s">
        <v>2</v>
      </c>
      <c r="B5" s="1">
        <f t="shared" ref="B5:C5" ca="1" si="2">DAY(B2)</f>
        <v>30</v>
      </c>
      <c r="C5" s="1">
        <f t="shared" ca="1" si="2"/>
        <v>30</v>
      </c>
      <c r="D5" s="1">
        <f ca="1">C5+C6/24+C7/(24*60)+C8/(24*60*60)</f>
        <v>30.657152777777778</v>
      </c>
    </row>
    <row r="6" spans="1:6">
      <c r="A6" s="1" t="s">
        <v>3</v>
      </c>
      <c r="B6" s="1">
        <f t="shared" ref="B6:C6" ca="1" si="3">HOUR(B2)</f>
        <v>8</v>
      </c>
      <c r="C6" s="1">
        <f t="shared" ca="1" si="3"/>
        <v>15</v>
      </c>
    </row>
    <row r="7" spans="1:6">
      <c r="A7" s="1" t="s">
        <v>4</v>
      </c>
      <c r="B7" s="1">
        <f t="shared" ref="B7:C7" ca="1" si="4">MINUTE(B2)</f>
        <v>46</v>
      </c>
      <c r="C7" s="1">
        <f t="shared" ca="1" si="4"/>
        <v>46</v>
      </c>
    </row>
    <row r="8" spans="1:6">
      <c r="A8" s="1" t="s">
        <v>5</v>
      </c>
      <c r="B8" s="1">
        <f t="shared" ref="B8:C8" ca="1" si="5">SECOND(B2)</f>
        <v>18</v>
      </c>
      <c r="C8" s="1">
        <f t="shared" ca="1" si="5"/>
        <v>18</v>
      </c>
    </row>
    <row r="9" spans="1:6">
      <c r="A9" s="1" t="s">
        <v>27</v>
      </c>
      <c r="B9" s="1">
        <f ca="1">INT(365.25*(D3+4716))+INT(30.6001*(D4+1))+D5-1524.5</f>
        <v>2459623.157152778</v>
      </c>
    </row>
    <row r="10" spans="1:6">
      <c r="A10" s="1" t="s">
        <v>28</v>
      </c>
      <c r="B10" s="1">
        <f ca="1">(B9-2451545)/36525</f>
        <v>0.22116788919310071</v>
      </c>
    </row>
    <row r="12" spans="1:6">
      <c r="A12" s="1" t="s">
        <v>29</v>
      </c>
      <c r="B12" s="1">
        <f ca="1">218.3164477+481267.88123421*B10-0.0015786*B10^2+B10^3/538841-B10^4/65194000</f>
        <v>106659.31779950856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1"/>
  <sheetViews>
    <sheetView workbookViewId="0"/>
  </sheetViews>
  <sheetFormatPr defaultColWidth="14.42578125" defaultRowHeight="15.75" customHeight="1"/>
  <sheetData>
    <row r="1" spans="1:8">
      <c r="A1" s="1">
        <f ca="1">Subsolar!C6</f>
        <v>-17.476108271255093</v>
      </c>
      <c r="B1" s="1" t="s">
        <v>30</v>
      </c>
    </row>
    <row r="2" spans="1:8">
      <c r="A2" s="3">
        <f ca="1">Subsolar!B6</f>
        <v>-53.175000000000018</v>
      </c>
      <c r="B2" s="1" t="s">
        <v>31</v>
      </c>
    </row>
    <row r="3" spans="1:8">
      <c r="A3" s="1">
        <f>180+Subsolar!B16</f>
        <v>362.13749999999999</v>
      </c>
      <c r="B3" s="1" t="s">
        <v>32</v>
      </c>
    </row>
    <row r="4" spans="1:8">
      <c r="A4" s="1">
        <f>Subsolar!B15</f>
        <v>5084.2848282304249</v>
      </c>
      <c r="B4" s="1" t="s">
        <v>33</v>
      </c>
      <c r="H4" s="1" t="s">
        <v>34</v>
      </c>
    </row>
    <row r="5" spans="1:8">
      <c r="A5" s="1">
        <f t="shared" ref="A5:A7" ca="1" si="0">A1*PI()/180</f>
        <v>-0.30501562976841567</v>
      </c>
      <c r="B5" s="1" t="s">
        <v>35</v>
      </c>
      <c r="H5" s="1" t="s">
        <v>36</v>
      </c>
    </row>
    <row r="6" spans="1:8">
      <c r="A6" s="1">
        <f t="shared" ca="1" si="0"/>
        <v>-0.92807882974798506</v>
      </c>
      <c r="B6" s="1" t="s">
        <v>37</v>
      </c>
    </row>
    <row r="7" spans="1:8">
      <c r="A7" s="1">
        <f t="shared" si="0"/>
        <v>6.3204917199409651</v>
      </c>
      <c r="B7" s="1" t="s">
        <v>38</v>
      </c>
    </row>
    <row r="8" spans="1:8">
      <c r="A8" s="1">
        <v>6371</v>
      </c>
      <c r="B8" s="1" t="s">
        <v>39</v>
      </c>
    </row>
    <row r="9" spans="1:8">
      <c r="A9" s="1">
        <f>A4/A8</f>
        <v>0.7980356032381769</v>
      </c>
      <c r="B9" s="1" t="s">
        <v>40</v>
      </c>
    </row>
    <row r="11" spans="1:8">
      <c r="A11" s="1">
        <f ca="1">ASIN(SIN(A5)*COS(A9)+COS(A5)*SIN(A9)*COS(A7))</f>
        <v>0.49248061869271048</v>
      </c>
      <c r="B11" s="1" t="s">
        <v>36</v>
      </c>
    </row>
    <row r="12" spans="1:8">
      <c r="A12" s="1">
        <f ca="1">A6+ATAN2(COS(A9)-SIN(A5)*SIN(A11),SIN(A7)*SIN(A9)*COS(A5))</f>
        <v>-0.89776800631778753</v>
      </c>
      <c r="B12" s="1" t="s">
        <v>34</v>
      </c>
    </row>
    <row r="13" spans="1:8">
      <c r="A13" s="1"/>
      <c r="B13" s="1"/>
    </row>
    <row r="15" spans="1:8">
      <c r="A15" s="1">
        <f t="shared" ref="A15:A16" ca="1" si="1">A11*180/PI()</f>
        <v>28.217060943083908</v>
      </c>
      <c r="B15" s="1" t="s">
        <v>41</v>
      </c>
    </row>
    <row r="16" spans="1:8">
      <c r="A16" s="1">
        <f t="shared" ca="1" si="1"/>
        <v>-51.438317743883459</v>
      </c>
      <c r="B16" s="1" t="s">
        <v>42</v>
      </c>
    </row>
    <row r="18" spans="1:2">
      <c r="A18" s="1"/>
      <c r="B18" s="1" t="s">
        <v>43</v>
      </c>
    </row>
    <row r="19" spans="1:2">
      <c r="A19" s="1"/>
      <c r="B19" s="1" t="s">
        <v>44</v>
      </c>
    </row>
    <row r="20" spans="1:2">
      <c r="A20" s="1"/>
      <c r="B20" s="1" t="s">
        <v>45</v>
      </c>
    </row>
    <row r="21" spans="1:2">
      <c r="A21" s="1"/>
      <c r="B21" s="1" t="s">
        <v>46</v>
      </c>
    </row>
    <row r="22" spans="1:2">
      <c r="A22" s="1"/>
      <c r="B22" s="1" t="s">
        <v>47</v>
      </c>
    </row>
    <row r="24" spans="1:2">
      <c r="A24" s="1"/>
      <c r="B24" s="1" t="s">
        <v>48</v>
      </c>
    </row>
    <row r="25" spans="1:2">
      <c r="A25" s="1"/>
      <c r="B25" s="1" t="s">
        <v>49</v>
      </c>
    </row>
    <row r="26" spans="1:2">
      <c r="A26" s="1"/>
      <c r="B26" s="1" t="s">
        <v>50</v>
      </c>
    </row>
    <row r="27" spans="1:2">
      <c r="A27" s="1"/>
      <c r="B27" s="1" t="s">
        <v>51</v>
      </c>
    </row>
    <row r="28" spans="1:2">
      <c r="A28" s="1"/>
      <c r="B28" s="1" t="s">
        <v>52</v>
      </c>
    </row>
    <row r="30" spans="1:2">
      <c r="A30" s="1"/>
      <c r="B30" s="1" t="s">
        <v>53</v>
      </c>
    </row>
    <row r="31" spans="1:2">
      <c r="A31" s="1"/>
      <c r="B31" s="1" t="s">
        <v>54</v>
      </c>
    </row>
    <row r="33" spans="1:2">
      <c r="A33" s="1"/>
      <c r="B33" s="1" t="s">
        <v>55</v>
      </c>
    </row>
    <row r="34" spans="1:2">
      <c r="A34" s="1"/>
      <c r="B34" s="1" t="s">
        <v>56</v>
      </c>
    </row>
    <row r="35" spans="1:2">
      <c r="A35" s="1"/>
      <c r="B35" s="1" t="s">
        <v>57</v>
      </c>
    </row>
    <row r="36" spans="1:2">
      <c r="A36" s="1"/>
      <c r="B36" s="1" t="s">
        <v>58</v>
      </c>
    </row>
    <row r="37" spans="1:2">
      <c r="A37" s="1"/>
      <c r="B37" s="1" t="s">
        <v>59</v>
      </c>
    </row>
    <row r="38" spans="1:2">
      <c r="A38" s="1"/>
      <c r="B38" s="1" t="s">
        <v>60</v>
      </c>
    </row>
    <row r="39" spans="1:2">
      <c r="A39" s="1"/>
      <c r="B39" s="1" t="s">
        <v>61</v>
      </c>
    </row>
    <row r="40" spans="1:2">
      <c r="A40" s="1"/>
      <c r="B40" s="1" t="s">
        <v>62</v>
      </c>
    </row>
    <row r="41" spans="1:2">
      <c r="A41" s="1"/>
      <c r="B41" s="1" t="s">
        <v>63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HARMON, KENNETH</cp:lastModifiedBy>
  <cp:revision/>
  <dcterms:created xsi:type="dcterms:W3CDTF">2021-03-13T20:54:03Z</dcterms:created>
  <dcterms:modified xsi:type="dcterms:W3CDTF">2022-01-30T15:46:20Z</dcterms:modified>
  <cp:category/>
  <cp:contentStatus/>
</cp:coreProperties>
</file>