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36433f5df2a6da/Documents/Especialización/Semestre 2/Gestión de Proyectos para Analítica/Proyecto/E2/"/>
    </mc:Choice>
  </mc:AlternateContent>
  <xr:revisionPtr revIDLastSave="507" documentId="13_ncr:1_{B06EAAE5-B10F-4A31-97B4-3A8C06DD1686}" xr6:coauthVersionLast="47" xr6:coauthVersionMax="47" xr10:uidLastSave="{49A3C1EB-27FB-4DEF-AEBC-E30C2D7387CC}"/>
  <bookViews>
    <workbookView xWindow="22932" yWindow="-108" windowWidth="23256" windowHeight="12456" tabRatio="501" xr2:uid="{6E878B60-2478-45AD-B8C5-A0ECAEFB1ACB}"/>
  </bookViews>
  <sheets>
    <sheet name="PBacklog" sheetId="1" r:id="rId1"/>
    <sheet name="HRecursos" sheetId="4" r:id="rId2"/>
    <sheet name="Equipo" sheetId="5" r:id="rId3"/>
    <sheet name="HRuta" sheetId="8" r:id="rId4"/>
    <sheet name="Presupuesto" sheetId="6" r:id="rId5"/>
    <sheet name="Curva 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" i="1" l="1"/>
  <c r="J9" i="1"/>
  <c r="J8" i="1"/>
  <c r="J7" i="1"/>
  <c r="J6" i="1"/>
  <c r="I10" i="1"/>
  <c r="I9" i="1"/>
  <c r="I8" i="1"/>
  <c r="I6" i="1"/>
  <c r="I7" i="1"/>
  <c r="M6" i="1"/>
  <c r="N6" i="1"/>
  <c r="E6" i="7"/>
  <c r="B4" i="7" a="1"/>
  <c r="B4" i="7" s="1"/>
  <c r="F13" i="6"/>
  <c r="E11" i="6" l="1"/>
  <c r="D11" i="6"/>
  <c r="C11" i="6"/>
  <c r="F11" i="6" s="1"/>
  <c r="E10" i="6"/>
  <c r="D10" i="6"/>
  <c r="C10" i="6"/>
  <c r="E9" i="6"/>
  <c r="D9" i="6"/>
  <c r="C9" i="6"/>
  <c r="D8" i="6"/>
  <c r="E8" i="6"/>
  <c r="F8" i="6"/>
  <c r="C8" i="6"/>
  <c r="E7" i="6"/>
  <c r="D7" i="6"/>
  <c r="C7" i="6"/>
  <c r="E6" i="6"/>
  <c r="D6" i="6"/>
  <c r="C6" i="6"/>
  <c r="E5" i="6"/>
  <c r="D5" i="6"/>
  <c r="C5" i="6"/>
  <c r="E10" i="4"/>
  <c r="E9" i="4"/>
  <c r="E8" i="4"/>
  <c r="D7" i="4"/>
  <c r="D6" i="4"/>
  <c r="D5" i="4"/>
  <c r="D4" i="4"/>
  <c r="N10" i="1"/>
  <c r="N9" i="1"/>
  <c r="N8" i="1"/>
  <c r="N7" i="1"/>
  <c r="M9" i="1"/>
  <c r="M10" i="1"/>
  <c r="M8" i="1"/>
  <c r="M7" i="1"/>
  <c r="B7" i="7"/>
  <c r="C7" i="7" s="1"/>
  <c r="D7" i="7" s="1"/>
  <c r="E7" i="7" s="1"/>
  <c r="B3" i="7" a="1"/>
  <c r="B3" i="7" s="1"/>
  <c r="F5" i="6" l="1"/>
  <c r="F10" i="6"/>
  <c r="F9" i="6"/>
  <c r="F7" i="6"/>
  <c r="F6" i="6"/>
  <c r="E12" i="6"/>
  <c r="D12" i="6"/>
  <c r="C12" i="6"/>
  <c r="F12" i="6" l="1"/>
  <c r="F14" i="6" s="1"/>
  <c r="B5" i="7" l="1"/>
  <c r="C5" i="7" s="1"/>
  <c r="D5" i="7" s="1"/>
  <c r="E5" i="7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<sst xmlns="http://schemas.openxmlformats.org/spreadsheetml/2006/main" count="181" uniqueCount="136">
  <si>
    <t>id</t>
  </si>
  <si>
    <t>Descripción</t>
  </si>
  <si>
    <t>Criterios de Aceptación</t>
  </si>
  <si>
    <t>Priorización</t>
  </si>
  <si>
    <t>#</t>
  </si>
  <si>
    <t>Requisito</t>
  </si>
  <si>
    <t>¿Qué se requiere?</t>
  </si>
  <si>
    <t>¿En qué consiste?</t>
  </si>
  <si>
    <t>Entregable</t>
  </si>
  <si>
    <t>Hoja de Ruta del Proyecto</t>
  </si>
  <si>
    <t>Iteración 1</t>
  </si>
  <si>
    <t>Iteración 2</t>
  </si>
  <si>
    <t>Iteración 3</t>
  </si>
  <si>
    <t>Iteración</t>
  </si>
  <si>
    <t>Objetivo de la Versión</t>
  </si>
  <si>
    <t>Objetivo de la Iteración</t>
  </si>
  <si>
    <t>Versiones</t>
  </si>
  <si>
    <t>Hoja de Recursos del Proyecto</t>
  </si>
  <si>
    <t>Id</t>
  </si>
  <si>
    <t>Recurso</t>
  </si>
  <si>
    <t>Tipo</t>
  </si>
  <si>
    <t>Costo/hora</t>
  </si>
  <si>
    <t>Costo por Uso</t>
  </si>
  <si>
    <t>Restricciones</t>
  </si>
  <si>
    <t>Trabajo/Material</t>
  </si>
  <si>
    <t>Valor monetario</t>
  </si>
  <si>
    <t>Limitaciones, asunciones, riesgos, alertas.</t>
  </si>
  <si>
    <t>Nombre</t>
  </si>
  <si>
    <t>Consecutivo</t>
  </si>
  <si>
    <t>Equipo del Proyecto</t>
  </si>
  <si>
    <t>Miembro del Equipo</t>
  </si>
  <si>
    <t>Responsabilidades</t>
  </si>
  <si>
    <t>Presupuesto del Proyecto</t>
  </si>
  <si>
    <t>Concepto</t>
  </si>
  <si>
    <t>Total</t>
  </si>
  <si>
    <t>Línea de Base del Costo</t>
  </si>
  <si>
    <t>Reservas Administrativas</t>
  </si>
  <si>
    <t>Total Presupuesto del Proyecto</t>
  </si>
  <si>
    <t>Flujo de Caja</t>
  </si>
  <si>
    <t>Curva S - Seguimiento y Control del Presupuesto</t>
  </si>
  <si>
    <t>Costo Real por Periodo</t>
  </si>
  <si>
    <t>Presupuesto por Periodo</t>
  </si>
  <si>
    <t>Presupuesto Acumulado</t>
  </si>
  <si>
    <t>Costo Real Acumulado</t>
  </si>
  <si>
    <t>¿Qué resultado tangible o intangible se produce?</t>
  </si>
  <si>
    <t>Definición de Terminado</t>
  </si>
  <si>
    <t>¿Cómo sabemos que ya está listo para entregar? (Equipo)</t>
  </si>
  <si>
    <t>¿Qué caracerísticas que debe cumplir para aceptarlo? (Dueño de Producto)</t>
  </si>
  <si>
    <t>Orden Descendente</t>
  </si>
  <si>
    <t>Tiempo Ideal</t>
  </si>
  <si>
    <t>Semana 1</t>
  </si>
  <si>
    <t>Semana 2</t>
  </si>
  <si>
    <t>Semana 3</t>
  </si>
  <si>
    <t>Ítem (PBL)</t>
  </si>
  <si>
    <t>Ítems del Product Backlog (PBL)</t>
  </si>
  <si>
    <t xml:space="preserve">Trabajo | Material </t>
  </si>
  <si>
    <t>Costo</t>
  </si>
  <si>
    <t>Costo Estimado</t>
  </si>
  <si>
    <t>Contingencia</t>
  </si>
  <si>
    <t>Nombre del Producto: Software Modelador de Impagos</t>
  </si>
  <si>
    <t>Objetivo del Producto: Desarrollar un modelo predictivo de ML, para identificar clientes con alta probabilidad de morosidad en el pago de cuotas mensuales para un banco en Taiwan</t>
  </si>
  <si>
    <t>A01</t>
  </si>
  <si>
    <t>A02</t>
  </si>
  <si>
    <t>A03</t>
  </si>
  <si>
    <t>A04</t>
  </si>
  <si>
    <t>A05</t>
  </si>
  <si>
    <t>Comprensión de los datos</t>
  </si>
  <si>
    <t>Preparación de los datos</t>
  </si>
  <si>
    <t>Construcción del modelo</t>
  </si>
  <si>
    <t>Evaluación del modelo</t>
  </si>
  <si>
    <t>Despliegue del modelo</t>
  </si>
  <si>
    <t>Informe de comprensión de los datos, incluyendo estadísticas descriptivas, identificación de valores faltantes y análisis preliminar.</t>
  </si>
  <si>
    <t>Cuando se ha generado un informe detallado que describe la estructura de los datos, se ha validado la integridad y se ha identificado el valor potencial para el modelado.</t>
  </si>
  <si>
    <t>El informe debe ser claro, completo y debe demostrar que los datos son comprensibles y utilizables para las siguientes etapas del proyecto.</t>
  </si>
  <si>
    <t>Conjunto de datos preparado para el modelado, libre de inconsistencias y en el formato adecuado.</t>
  </si>
  <si>
    <t>Cuando se ha completado el proceso de selección y transformación, y se dispone de un dataset limpio y listo para el modelado.</t>
  </si>
  <si>
    <t>El conjunto de datos debe estar libre de errores, valores atípicos y correctamente formateado, cumpliendo con los requerimientos del modelo.</t>
  </si>
  <si>
    <t>Desarrollar el modelo predictivo utilizando técnicas de machine learning seleccionadas, ajustando los hiperparámetros y optimizando el rendimiento del modelo.</t>
  </si>
  <si>
    <t>Modelo predictivo construido y entrenado.</t>
  </si>
  <si>
    <t>Cuando el modelo ha sido entrenado con los datos preparados y ha alcanzado un nivel satisfactorio de rendimiento basado en métricas de evaluación.</t>
  </si>
  <si>
    <t>Cuando el modelo está funcionando correctamente en producción y se han realizado las pruebas de integración y rendimiento.</t>
  </si>
  <si>
    <t>Recopilar, analizar y entender cada dato disponible en la base de datos, evaluando su calidad, relevancia y adecuación para el modelado.</t>
  </si>
  <si>
    <t>Seleccionar, limpiar y transformar los datos necesarios para entrenar el modelo, eliminando outliers, manejando valores faltantes y ajustando las variables.</t>
  </si>
  <si>
    <t>Evaluar el rendimiento del modelo utilizando métricas como la matriz de confusión, entre otras. Comparar el rendimiento del modelo con los criterios definidos.</t>
  </si>
  <si>
    <t>Informe de evaluación del modelo, que incluye todas las métricas de rendimiento y sus diferentes resultados.</t>
  </si>
  <si>
    <t>Cuando se ha completado la evaluación y se ha determinado que el modelo cumple con los umbrales de rendimiento definidos.</t>
  </si>
  <si>
    <t>El modelo debe cumplir o superar los valores de referencia en las métricas clave y estar alineado con los objetivos del proyecto.</t>
  </si>
  <si>
    <t>Implementar el modelo en un entorno de producción en la nube (Amazon SageMaker AWS).</t>
  </si>
  <si>
    <t>El modelo debe estar completamente operativo y debe cumplir con criterios de precisión esperados.</t>
  </si>
  <si>
    <t>El modelo debe ser preciso, generalizable y cumplir con los objetivos establecidos.</t>
  </si>
  <si>
    <t>Modelo desplegado en el entorno de producción (Amazon SageMaker AWS), junto con un plan de mantenimiento y seguimiento.</t>
  </si>
  <si>
    <t>Data Analyst</t>
  </si>
  <si>
    <t>Data Engineer</t>
  </si>
  <si>
    <t>Machine Learning Engineer</t>
  </si>
  <si>
    <t>Project Manager</t>
  </si>
  <si>
    <t>Calculo costo</t>
  </si>
  <si>
    <t>Calculo contingencia</t>
  </si>
  <si>
    <t>Cargo</t>
  </si>
  <si>
    <t>01</t>
  </si>
  <si>
    <t>02</t>
  </si>
  <si>
    <t>03</t>
  </si>
  <si>
    <t>04</t>
  </si>
  <si>
    <t>05</t>
  </si>
  <si>
    <t>06</t>
  </si>
  <si>
    <t>07</t>
  </si>
  <si>
    <t>08</t>
  </si>
  <si>
    <t>N/A</t>
  </si>
  <si>
    <t>-Problemas de conectividad
-Fallas de energia</t>
  </si>
  <si>
    <t>Amazon Simple Storage Service (S3)</t>
  </si>
  <si>
    <t>Amazon EC2 - maquina 1</t>
  </si>
  <si>
    <t>Amazon EC2 - maquina 2</t>
  </si>
  <si>
    <t>-Caida de los servidores de AWS</t>
  </si>
  <si>
    <t>Gratuito</t>
  </si>
  <si>
    <t>Material</t>
  </si>
  <si>
    <t>Lenguaje programación Python</t>
  </si>
  <si>
    <t>Trabajo</t>
  </si>
  <si>
    <t>Angie Tatiana Aparicio Ochoa – Project Manager</t>
  </si>
  <si>
    <t>Harold Muñoz – Machine Learning Engineer</t>
  </si>
  <si>
    <t>Jhon Brandon Idarraga Cardenas – Data Engineer</t>
  </si>
  <si>
    <t>Jhonn Sebastian Robles Robles – Data Analyst</t>
  </si>
  <si>
    <t>-	Gestionar el proyecto.
-	Coordinar las tareas de cada integrante del equipo.
-	Dirigir cada etapa del proyecto.</t>
  </si>
  <si>
    <t>-	Diseñar, construir y desplegar el modelo de Machine Learning que mejor se adapte a los datos en los diferentes ambientes.</t>
  </si>
  <si>
    <t>-	Asegurarse de que los datos estén disponibles y limpios para su análisis, correcta consulta y descarga para entrenar el modelo.</t>
  </si>
  <si>
    <t>-	Analizar información valiosa del dataset.
-	Identificar patrones y tendencias de los datos.</t>
  </si>
  <si>
    <t>Construir la base de datos final para utilizar en la etapa de entrenamiento y prueba del modelo, a partir de la limpieza, transformacion y tratamiento de datos faltantes, nulos y/o que no son necesarios para el desarrollo del modelo.</t>
  </si>
  <si>
    <t>Desarrollar el modelo de machine learning con la base de datos final, y evaluar el modelo con diferentes metricas.</t>
  </si>
  <si>
    <t>Desplegar el modelo de machine learning en sagemaker de AWS y realizar el plan de seguimiento y mantenimiento y tambien elaborar informe final.</t>
  </si>
  <si>
    <t>Desarrollar el Software Modelador de Impagos (SMI)</t>
  </si>
  <si>
    <t>SMI</t>
  </si>
  <si>
    <t>Salario mes</t>
  </si>
  <si>
    <t>Puntos (horas)</t>
  </si>
  <si>
    <t>A01 - Comprensión de los datos</t>
  </si>
  <si>
    <t>A02 - Preparación de los datos</t>
  </si>
  <si>
    <t>A03 - Construcción del modelo</t>
  </si>
  <si>
    <t>A04 - Evaluación del modelo</t>
  </si>
  <si>
    <t>A05 - Despliegue del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</si>
</sst>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-* #,##0_-;\-* #,##0_-;_-* &quot;-&quot;??_-;_-@_-"/>
    <numFmt numFmtId="165" formatCode="_-* #,##0.00000000000_-;\-* #,##0.00000000000_-;_-* &quot;-&quot;??_-;_-@_-"/>
    <numFmt numFmtId="166" formatCode="_-&quot;$&quot;\ * #,##0_-;\-&quot;$&quot;\ * #,##0_-;_-&quot;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2" fillId="0" borderId="0" xfId="0" applyFont="1"/>
    <xf numFmtId="0" fontId="0" fillId="0" borderId="0" xfId="0" applyAlignment="1">
      <alignment wrapText="1"/>
    </xf>
    <xf numFmtId="0" fontId="2" fillId="0" borderId="1" xfId="0" applyFont="1" applyBorder="1"/>
    <xf numFmtId="164" fontId="2" fillId="0" borderId="1" xfId="1" applyNumberFormat="1" applyFont="1" applyBorder="1"/>
    <xf numFmtId="165" fontId="0" fillId="0" borderId="1" xfId="1" applyNumberFormat="1" applyFont="1" applyBorder="1"/>
    <xf numFmtId="164" fontId="0" fillId="0" borderId="1" xfId="1" applyNumberFormat="1" applyFont="1" applyBorder="1"/>
    <xf numFmtId="164" fontId="0" fillId="2" borderId="1" xfId="1" applyNumberFormat="1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166" fontId="0" fillId="0" borderId="0" xfId="2" applyNumberFormat="1" applyFont="1"/>
    <xf numFmtId="166" fontId="0" fillId="0" borderId="0" xfId="2" applyNumberFormat="1" applyFont="1" applyAlignment="1">
      <alignment horizontal="center" vertical="center"/>
    </xf>
    <xf numFmtId="166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vertical="center" wrapText="1"/>
    </xf>
    <xf numFmtId="166" fontId="0" fillId="0" borderId="0" xfId="2" applyNumberFormat="1" applyFont="1" applyAlignment="1">
      <alignment horizontal="right" vertical="center"/>
    </xf>
    <xf numFmtId="1" fontId="0" fillId="0" borderId="0" xfId="0" applyNumberForma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165" fontId="2" fillId="0" borderId="3" xfId="1" applyNumberFormat="1" applyFont="1" applyBorder="1" applyAlignment="1">
      <alignment horizontal="left"/>
    </xf>
    <xf numFmtId="165" fontId="2" fillId="0" borderId="2" xfId="1" applyNumberFormat="1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5" fillId="0" borderId="0" xfId="0" applyFon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164" fontId="0" fillId="0" borderId="0" xfId="1" applyNumberFormat="1" applyFont="1"/>
  </cellXfs>
  <cellStyles count="3">
    <cellStyle name="Millares" xfId="1" builtinId="3"/>
    <cellStyle name="Moneda" xfId="2" builtinId="4"/>
    <cellStyle name="Normal" xfId="0" builtinId="0"/>
  </cellStyles>
  <dxfs count="17"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30" formatCode="@"/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indent="0" justifyLastLine="0" shrinkToFit="0" readingOrder="0"/>
    </dxf>
    <dxf>
      <numFmt numFmtId="166" formatCode="_-&quot;$&quot;\ * #,##0_-;\-&quot;$&quot;\ * #,##0_-;_-&quot;$&quot;\ * &quot;-&quot;??_-;_-@_-"/>
    </dxf>
    <dxf>
      <alignment horizontal="left" vertical="center" textRotation="0" wrapText="0" indent="0" justifyLastLine="0" shrinkToFit="0" readingOrder="0"/>
    </dxf>
    <dxf>
      <numFmt numFmtId="166" formatCode="_-&quot;$&quot;\ * #,##0_-;\-&quot;$&quot;\ * #,##0_-;_-&quot;$&quot;\ * &quot;-&quot;??_-;_-@_-"/>
      <alignment horizontal="center" vertical="center" textRotation="0" wrapText="0" indent="0" justifyLastLine="0" shrinkToFit="0" readingOrder="0"/>
    </dxf>
    <dxf>
      <numFmt numFmtId="166" formatCode="_-&quot;$&quot;\ * #,##0_-;\-&quot;$&quot;\ * #,##0_-;_-&quot;$&quot;\ * &quot;-&quot;??_-;_-@_-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Curva S - Costo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'Curva S'!$A$5</c:f>
              <c:strCache>
                <c:ptCount val="1"/>
                <c:pt idx="0">
                  <c:v>Presupuesto Acumulado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'Curva S'!$B$3:$E$3</c:f>
              <c:strCache>
                <c:ptCount val="4"/>
                <c:pt idx="0">
                  <c:v>Semana 1</c:v>
                </c:pt>
                <c:pt idx="1">
                  <c:v>Semana 2</c:v>
                </c:pt>
                <c:pt idx="2">
                  <c:v>Semana 3</c:v>
                </c:pt>
                <c:pt idx="3">
                  <c:v>Total</c:v>
                </c:pt>
              </c:strCache>
            </c:strRef>
          </c:cat>
          <c:val>
            <c:numRef>
              <c:f>'Curva S'!$B$5:$E$5</c:f>
              <c:numCache>
                <c:formatCode>_-* #,##0_-;\-* #,##0_-;_-* "-"??_-;_-@_-</c:formatCode>
                <c:ptCount val="4"/>
                <c:pt idx="0">
                  <c:v>4163041.9017333332</c:v>
                </c:pt>
                <c:pt idx="1">
                  <c:v>8326083.8034666665</c:v>
                </c:pt>
                <c:pt idx="2">
                  <c:v>12460375.7052</c:v>
                </c:pt>
                <c:pt idx="3">
                  <c:v>24920751.410400003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BC4-48B8-B99A-49F9E907650F}"/>
            </c:ext>
          </c:extLst>
        </c:ser>
        <c:ser>
          <c:idx val="1"/>
          <c:order val="1"/>
          <c:tx>
            <c:strRef>
              <c:f>'Curva S'!$A$7</c:f>
              <c:strCache>
                <c:ptCount val="1"/>
                <c:pt idx="0">
                  <c:v>Costo Real Acumulado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'Curva S'!$B$3:$E$3</c:f>
              <c:strCache>
                <c:ptCount val="4"/>
                <c:pt idx="0">
                  <c:v>Semana 1</c:v>
                </c:pt>
                <c:pt idx="1">
                  <c:v>Semana 2</c:v>
                </c:pt>
                <c:pt idx="2">
                  <c:v>Semana 3</c:v>
                </c:pt>
                <c:pt idx="3">
                  <c:v>Total</c:v>
                </c:pt>
              </c:strCache>
            </c:strRef>
          </c:cat>
          <c:val>
            <c:numRef>
              <c:f>'Curva S'!$B$7:$E$7</c:f>
              <c:numCache>
                <c:formatCode>_-* #,##0_-;\-* #,##0_-;_-* "-"??_-;_-@_-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BC4-48B8-B99A-49F9E9076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87290463"/>
        <c:axId val="287292863"/>
      </c:lineChart>
      <c:catAx>
        <c:axId val="2872904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7292863"/>
        <c:crosses val="autoZero"/>
        <c:auto val="1"/>
        <c:lblAlgn val="ctr"/>
        <c:lblOffset val="100"/>
        <c:noMultiLvlLbl val="0"/>
      </c:catAx>
      <c:valAx>
        <c:axId val="287292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87290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371475</xdr:colOff>
      <xdr:row>8</xdr:row>
      <xdr:rowOff>64770</xdr:rowOff>
    </xdr:from>
    <xdr:to>
      <xdr:col>5</xdr:col>
      <xdr:colOff>238125</xdr:colOff>
      <xdr:row>24</xdr:row>
      <xdr:rowOff>152400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32F2F34-2C58-52CA-5A14-0C1FCB4370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3F5CAF4-7131-4123-B44A-EE1983B75D35}" name="Tabla2" displayName="Tabla2" ref="A5:J10" totalsRowShown="0">
  <autoFilter ref="A5:J10" xr:uid="{43F5CAF4-7131-4123-B44A-EE1983B75D35}"/>
  <tableColumns count="10">
    <tableColumn id="1" xr3:uid="{883D7081-907B-4BF6-BB40-FA0BED217221}" name="#" dataDxfId="16"/>
    <tableColumn id="2" xr3:uid="{07A602BD-83BF-44E4-96A4-20CDB195DFE0}" name="Requisito"/>
    <tableColumn id="3" xr3:uid="{2D2091BB-5AF0-4517-9601-C0B7B876CE5A}" name="Descripción" dataDxfId="15"/>
    <tableColumn id="9" xr3:uid="{7D09310D-240B-48B0-AC69-C107F9D150D9}" name="Entregable" dataDxfId="14"/>
    <tableColumn id="10" xr3:uid="{29862958-791D-4457-9B51-CDAE8D93CF5F}" name="Definición de Terminado" dataDxfId="13"/>
    <tableColumn id="4" xr3:uid="{EE514D11-8EE4-4E68-B89F-D3338EDE9520}" name="Criterios de Aceptación" dataDxfId="12"/>
    <tableColumn id="6" xr3:uid="{0914A2BB-C4CE-41EB-8730-760D4CB77A52}" name="Priorización" dataDxfId="11"/>
    <tableColumn id="8" xr3:uid="{37091DAB-0A85-4480-BEDF-7376184DA04D}" name="Puntos (horas)" dataDxfId="10"/>
    <tableColumn id="11" xr3:uid="{0A9C226C-43B0-4634-AC86-0080565974C2}" name="Costo" dataDxfId="9" dataCellStyle="Moneda">
      <calculatedColumnFormula>(4500000/30)/8*93</calculatedColumnFormula>
    </tableColumn>
    <tableColumn id="12" xr3:uid="{484EF6C3-0753-47C7-AC83-2551D84F2C0D}" name="Contingencia" dataDxfId="8" dataCellStyle="Moneda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6D7672-0A9A-41AA-888F-DC9C3DBF4B37}" name="Tabla4" displayName="Tabla4" ref="A3:F11" totalsRowShown="0" headerRowDxfId="7">
  <autoFilter ref="A3:F11" xr:uid="{586D7672-0A9A-41AA-888F-DC9C3DBF4B37}"/>
  <tableColumns count="6">
    <tableColumn id="1" xr3:uid="{A924612F-27F6-42D9-9CBA-C6927FD6D60C}" name="Id"/>
    <tableColumn id="2" xr3:uid="{C8F58C7F-35F2-427A-9AAA-B9E944A2526F}" name="Recurso"/>
    <tableColumn id="3" xr3:uid="{133E9C7D-79EF-462C-A5F4-DFF0CDEEAE46}" name="Tipo"/>
    <tableColumn id="4" xr3:uid="{7399C159-E6F0-414B-B329-2A2723E0FE4F}" name="Costo/hora" dataDxfId="6" dataCellStyle="Moneda">
      <calculatedColumnFormula>(4500000/30)/8*93</calculatedColumnFormula>
    </tableColumn>
    <tableColumn id="5" xr3:uid="{DF3E377F-7332-440A-BECD-FD05EF8C5450}" name="Costo por Uso"/>
    <tableColumn id="6" xr3:uid="{BBC3BA17-A70D-496C-B42D-DABD88A5C65C}" name="Restricciones" dataDxfId="5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7532AB4-C5A2-43F5-96FC-5A98ED0DDD11}" name="Tabla5" displayName="Tabla5" ref="A3:C7" totalsRowShown="0" headerRowDxfId="4" dataDxfId="3">
  <autoFilter ref="A3:C7" xr:uid="{97532AB4-C5A2-43F5-96FC-5A98ED0DDD11}"/>
  <tableColumns count="3">
    <tableColumn id="1" xr3:uid="{D875E2D1-DF08-4238-A64A-FCF935CE4937}" name="id" dataDxfId="2"/>
    <tableColumn id="2" xr3:uid="{9E36D667-B130-4773-8A69-D2EC5A8DA7F5}" name="Miembro del Equipo" dataDxfId="1"/>
    <tableColumn id="3" xr3:uid="{FC0C599F-3704-4142-BE7C-F72B865EDC3B}" name="Responsabilidad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D1B02-0E45-4EA9-A236-F289D59BBB42}">
  <dimension ref="A1:N13"/>
  <sheetViews>
    <sheetView tabSelected="1" zoomScale="115" zoomScaleNormal="115" workbookViewId="0">
      <selection activeCell="B5" sqref="B5"/>
    </sheetView>
  </sheetViews>
  <sheetFormatPr baseColWidth="10" defaultRowHeight="15" x14ac:dyDescent="0.25"/>
  <cols>
    <col min="1" max="1" width="9.85546875" customWidth="1"/>
    <col min="2" max="2" width="26.85546875" bestFit="1" customWidth="1"/>
    <col min="3" max="3" width="41.140625" customWidth="1"/>
    <col min="4" max="4" width="42" customWidth="1"/>
    <col min="5" max="5" width="39.42578125" customWidth="1"/>
    <col min="6" max="6" width="40.140625" customWidth="1"/>
    <col min="7" max="7" width="14.5703125" customWidth="1"/>
    <col min="8" max="8" width="16.140625" bestFit="1" customWidth="1"/>
    <col min="9" max="9" width="12.85546875" customWidth="1"/>
    <col min="10" max="10" width="14.5703125" customWidth="1"/>
    <col min="11" max="11" width="23.85546875" hidden="1" customWidth="1"/>
    <col min="12" max="12" width="13.5703125" hidden="1" customWidth="1"/>
    <col min="13" max="13" width="12.85546875" hidden="1" customWidth="1"/>
    <col min="14" max="14" width="19.28515625" hidden="1" customWidth="1"/>
    <col min="16" max="17" width="11.85546875" bestFit="1" customWidth="1"/>
  </cols>
  <sheetData>
    <row r="1" spans="1:14" x14ac:dyDescent="0.25">
      <c r="A1" s="2" t="s">
        <v>59</v>
      </c>
    </row>
    <row r="2" spans="1:14" x14ac:dyDescent="0.25">
      <c r="A2" s="2" t="s">
        <v>60</v>
      </c>
    </row>
    <row r="4" spans="1:14" s="3" customFormat="1" ht="30" x14ac:dyDescent="0.25">
      <c r="A4" s="3" t="s">
        <v>53</v>
      </c>
      <c r="B4" s="3" t="s">
        <v>6</v>
      </c>
      <c r="C4" s="3" t="s">
        <v>7</v>
      </c>
      <c r="D4" s="3" t="s">
        <v>44</v>
      </c>
      <c r="E4" s="3" t="s">
        <v>46</v>
      </c>
      <c r="F4" s="3" t="s">
        <v>47</v>
      </c>
      <c r="G4" s="3" t="s">
        <v>48</v>
      </c>
      <c r="H4" s="3" t="s">
        <v>49</v>
      </c>
      <c r="I4" s="3" t="s">
        <v>57</v>
      </c>
      <c r="J4" s="3" t="s">
        <v>57</v>
      </c>
    </row>
    <row r="5" spans="1:14" ht="20.25" customHeight="1" x14ac:dyDescent="0.25">
      <c r="A5" t="s">
        <v>4</v>
      </c>
      <c r="B5" t="s">
        <v>5</v>
      </c>
      <c r="C5" t="s">
        <v>1</v>
      </c>
      <c r="D5" t="s">
        <v>8</v>
      </c>
      <c r="E5" t="s">
        <v>45</v>
      </c>
      <c r="F5" t="s">
        <v>2</v>
      </c>
      <c r="G5" t="s">
        <v>3</v>
      </c>
      <c r="H5" t="s">
        <v>130</v>
      </c>
      <c r="I5" t="s">
        <v>56</v>
      </c>
      <c r="J5" t="s">
        <v>58</v>
      </c>
      <c r="K5" t="s">
        <v>97</v>
      </c>
      <c r="L5" t="s">
        <v>129</v>
      </c>
      <c r="M5" t="s">
        <v>95</v>
      </c>
      <c r="N5" t="s">
        <v>96</v>
      </c>
    </row>
    <row r="6" spans="1:14" ht="75" x14ac:dyDescent="0.25">
      <c r="A6" s="18" t="s">
        <v>61</v>
      </c>
      <c r="B6" s="18" t="s">
        <v>66</v>
      </c>
      <c r="C6" s="17" t="s">
        <v>81</v>
      </c>
      <c r="D6" s="17" t="s">
        <v>71</v>
      </c>
      <c r="E6" s="17" t="s">
        <v>72</v>
      </c>
      <c r="F6" s="17" t="s">
        <v>73</v>
      </c>
      <c r="G6" s="11">
        <v>5</v>
      </c>
      <c r="H6" s="11">
        <v>93</v>
      </c>
      <c r="I6" s="20">
        <f>(4500000/30)/8*Tabla2[[#This Row],[Puntos (horas)]]</f>
        <v>1743750</v>
      </c>
      <c r="J6" s="20">
        <f>(4500000/30)/8*21</f>
        <v>393750</v>
      </c>
      <c r="K6" t="s">
        <v>91</v>
      </c>
      <c r="L6" s="19">
        <v>4500000</v>
      </c>
      <c r="M6" s="19">
        <f>+(L6/30)/8*93</f>
        <v>1743750</v>
      </c>
      <c r="N6" s="19">
        <f>+(L6/30)/8*21</f>
        <v>393750</v>
      </c>
    </row>
    <row r="7" spans="1:14" ht="60" x14ac:dyDescent="0.25">
      <c r="A7" s="18" t="s">
        <v>62</v>
      </c>
      <c r="B7" s="18" t="s">
        <v>67</v>
      </c>
      <c r="C7" s="17" t="s">
        <v>82</v>
      </c>
      <c r="D7" s="17" t="s">
        <v>74</v>
      </c>
      <c r="E7" s="17" t="s">
        <v>75</v>
      </c>
      <c r="F7" s="17" t="s">
        <v>76</v>
      </c>
      <c r="G7" s="11">
        <v>4</v>
      </c>
      <c r="H7" s="11">
        <v>124</v>
      </c>
      <c r="I7" s="20">
        <f>(6000000/30)/8*Tabla2[[#This Row],[Puntos (horas)]]</f>
        <v>3100000</v>
      </c>
      <c r="J7" s="20">
        <f>(6000000/30)/8*28</f>
        <v>700000</v>
      </c>
      <c r="K7" t="s">
        <v>92</v>
      </c>
      <c r="L7" s="21">
        <v>6000000</v>
      </c>
      <c r="M7" s="19">
        <f>+(L7/30)/8*124</f>
        <v>3100000</v>
      </c>
      <c r="N7" s="19">
        <f>+(L7/30)/8*28</f>
        <v>700000</v>
      </c>
    </row>
    <row r="8" spans="1:14" ht="60" x14ac:dyDescent="0.25">
      <c r="A8" s="18" t="s">
        <v>63</v>
      </c>
      <c r="B8" s="18" t="s">
        <v>68</v>
      </c>
      <c r="C8" s="17" t="s">
        <v>77</v>
      </c>
      <c r="D8" s="17" t="s">
        <v>78</v>
      </c>
      <c r="E8" s="17" t="s">
        <v>79</v>
      </c>
      <c r="F8" s="17" t="s">
        <v>89</v>
      </c>
      <c r="G8" s="11">
        <v>3</v>
      </c>
      <c r="H8" s="11">
        <v>105</v>
      </c>
      <c r="I8" s="20">
        <f>(8400000/30)/8*Tabla2[[#This Row],[Puntos (horas)]]</f>
        <v>3675000</v>
      </c>
      <c r="J8" s="20">
        <f>(8400000/30)/8*35</f>
        <v>1225000</v>
      </c>
      <c r="K8" t="s">
        <v>93</v>
      </c>
      <c r="L8" s="21">
        <v>8400000</v>
      </c>
      <c r="M8" s="19">
        <f>+(L8/30)/8*105</f>
        <v>3675000</v>
      </c>
      <c r="N8" s="19">
        <f>+(L8/30)/8*35</f>
        <v>1225000</v>
      </c>
    </row>
    <row r="9" spans="1:14" ht="67.150000000000006" customHeight="1" x14ac:dyDescent="0.25">
      <c r="A9" s="18" t="s">
        <v>64</v>
      </c>
      <c r="B9" s="18" t="s">
        <v>69</v>
      </c>
      <c r="C9" s="17" t="s">
        <v>83</v>
      </c>
      <c r="D9" s="17" t="s">
        <v>84</v>
      </c>
      <c r="E9" s="17" t="s">
        <v>85</v>
      </c>
      <c r="F9" s="17" t="s">
        <v>86</v>
      </c>
      <c r="G9" s="11">
        <v>2</v>
      </c>
      <c r="H9" s="11">
        <v>62</v>
      </c>
      <c r="I9" s="20">
        <f>(4500000/30)/8*Tabla2[[#This Row],[Puntos (horas)]]</f>
        <v>1162500</v>
      </c>
      <c r="J9" s="20">
        <f>(4500000/30)/8*14</f>
        <v>262500</v>
      </c>
      <c r="K9" t="s">
        <v>94</v>
      </c>
      <c r="L9" s="21">
        <v>4500000</v>
      </c>
      <c r="M9" s="19">
        <f>+(L9/30)/8*62</f>
        <v>1162500</v>
      </c>
      <c r="N9" s="19">
        <f>+(L9/30)/8*14</f>
        <v>262500</v>
      </c>
    </row>
    <row r="10" spans="1:14" ht="60" x14ac:dyDescent="0.25">
      <c r="A10" s="18" t="s">
        <v>65</v>
      </c>
      <c r="B10" s="18" t="s">
        <v>70</v>
      </c>
      <c r="C10" s="17" t="s">
        <v>87</v>
      </c>
      <c r="D10" s="17" t="s">
        <v>90</v>
      </c>
      <c r="E10" s="17" t="s">
        <v>80</v>
      </c>
      <c r="F10" s="17" t="s">
        <v>88</v>
      </c>
      <c r="G10" s="11">
        <v>1</v>
      </c>
      <c r="H10" s="11">
        <v>50</v>
      </c>
      <c r="I10" s="20">
        <f>(8400000/30)/8*Tabla2[[#This Row],[Puntos (horas)]]</f>
        <v>1750000</v>
      </c>
      <c r="J10" s="20">
        <f>(8400000/30)/8*21</f>
        <v>735000</v>
      </c>
      <c r="K10" t="s">
        <v>93</v>
      </c>
      <c r="L10" s="21">
        <v>8400000</v>
      </c>
      <c r="M10" s="19">
        <f>+(L10/30)/8*50</f>
        <v>1750000</v>
      </c>
      <c r="N10" s="19">
        <f>+(L10/30)/8*21</f>
        <v>735000</v>
      </c>
    </row>
    <row r="13" spans="1:14" x14ac:dyDescent="0.25">
      <c r="L13" s="43"/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2F1E3-9F6A-4471-9A0F-821CEFA09C40}">
  <dimension ref="A1:F12"/>
  <sheetViews>
    <sheetView workbookViewId="0">
      <selection activeCell="A3" sqref="A3"/>
    </sheetView>
  </sheetViews>
  <sheetFormatPr baseColWidth="10" defaultRowHeight="15" x14ac:dyDescent="0.25"/>
  <cols>
    <col min="2" max="2" width="32.28515625" bestFit="1" customWidth="1"/>
    <col min="3" max="3" width="25.140625" customWidth="1"/>
    <col min="4" max="4" width="25.42578125" customWidth="1"/>
    <col min="5" max="5" width="26" customWidth="1"/>
    <col min="6" max="6" width="42.85546875" customWidth="1"/>
  </cols>
  <sheetData>
    <row r="1" spans="1:6" x14ac:dyDescent="0.25">
      <c r="A1" s="2" t="s">
        <v>17</v>
      </c>
    </row>
    <row r="2" spans="1:6" x14ac:dyDescent="0.25">
      <c r="A2" t="s">
        <v>28</v>
      </c>
      <c r="B2" t="s">
        <v>27</v>
      </c>
      <c r="C2" t="s">
        <v>24</v>
      </c>
      <c r="D2" t="s">
        <v>25</v>
      </c>
      <c r="E2" t="s">
        <v>25</v>
      </c>
      <c r="F2" t="s">
        <v>26</v>
      </c>
    </row>
    <row r="3" spans="1:6" s="14" customFormat="1" ht="22.5" customHeight="1" x14ac:dyDescent="0.25">
      <c r="A3" s="14" t="s">
        <v>18</v>
      </c>
      <c r="B3" s="14" t="s">
        <v>19</v>
      </c>
      <c r="C3" s="14" t="s">
        <v>20</v>
      </c>
      <c r="D3" s="14" t="s">
        <v>21</v>
      </c>
      <c r="E3" s="14" t="s">
        <v>22</v>
      </c>
      <c r="F3" s="14" t="s">
        <v>23</v>
      </c>
    </row>
    <row r="4" spans="1:6" ht="30" x14ac:dyDescent="0.25">
      <c r="A4" s="22" t="s">
        <v>98</v>
      </c>
      <c r="B4" t="s">
        <v>91</v>
      </c>
      <c r="C4" t="s">
        <v>115</v>
      </c>
      <c r="D4" s="19">
        <f>(4500000/30)/8</f>
        <v>18750</v>
      </c>
      <c r="E4" t="s">
        <v>106</v>
      </c>
      <c r="F4" s="24" t="s">
        <v>107</v>
      </c>
    </row>
    <row r="5" spans="1:6" ht="30" x14ac:dyDescent="0.25">
      <c r="A5" s="22" t="s">
        <v>99</v>
      </c>
      <c r="B5" t="s">
        <v>92</v>
      </c>
      <c r="C5" t="s">
        <v>115</v>
      </c>
      <c r="D5" s="19">
        <f>(6000000/30)/8</f>
        <v>25000</v>
      </c>
      <c r="E5" t="s">
        <v>106</v>
      </c>
      <c r="F5" s="24" t="s">
        <v>107</v>
      </c>
    </row>
    <row r="6" spans="1:6" ht="30" x14ac:dyDescent="0.25">
      <c r="A6" s="22" t="s">
        <v>100</v>
      </c>
      <c r="B6" t="s">
        <v>93</v>
      </c>
      <c r="C6" t="s">
        <v>115</v>
      </c>
      <c r="D6" s="19">
        <f>(8400000/30)/8</f>
        <v>35000</v>
      </c>
      <c r="E6" t="s">
        <v>106</v>
      </c>
      <c r="F6" s="24" t="s">
        <v>107</v>
      </c>
    </row>
    <row r="7" spans="1:6" ht="30" x14ac:dyDescent="0.25">
      <c r="A7" s="22" t="s">
        <v>101</v>
      </c>
      <c r="B7" t="s">
        <v>94</v>
      </c>
      <c r="C7" t="s">
        <v>115</v>
      </c>
      <c r="D7" s="19">
        <f>(4500000/30)/8</f>
        <v>18750</v>
      </c>
      <c r="E7" t="s">
        <v>106</v>
      </c>
      <c r="F7" s="24" t="s">
        <v>107</v>
      </c>
    </row>
    <row r="8" spans="1:6" ht="26.45" customHeight="1" x14ac:dyDescent="0.25">
      <c r="A8" s="22" t="s">
        <v>102</v>
      </c>
      <c r="B8" t="s">
        <v>108</v>
      </c>
      <c r="C8" t="s">
        <v>113</v>
      </c>
      <c r="D8" s="25" t="s">
        <v>106</v>
      </c>
      <c r="E8" s="19">
        <f>(70.72*4185.82)</f>
        <v>296021.19039999996</v>
      </c>
      <c r="F8" s="23" t="s">
        <v>111</v>
      </c>
    </row>
    <row r="9" spans="1:6" ht="22.5" customHeight="1" x14ac:dyDescent="0.25">
      <c r="A9" s="22" t="s">
        <v>103</v>
      </c>
      <c r="B9" t="s">
        <v>109</v>
      </c>
      <c r="C9" t="s">
        <v>113</v>
      </c>
      <c r="D9" s="25" t="s">
        <v>106</v>
      </c>
      <c r="E9" s="19">
        <f>(87.57*4185.82)</f>
        <v>366552.25739999994</v>
      </c>
      <c r="F9" s="23" t="s">
        <v>111</v>
      </c>
    </row>
    <row r="10" spans="1:6" ht="22.5" customHeight="1" x14ac:dyDescent="0.25">
      <c r="A10" s="22" t="s">
        <v>104</v>
      </c>
      <c r="B10" t="s">
        <v>110</v>
      </c>
      <c r="C10" t="s">
        <v>113</v>
      </c>
      <c r="D10" s="25" t="s">
        <v>106</v>
      </c>
      <c r="E10" s="19">
        <f>(87.57*4185.82)</f>
        <v>366552.25739999994</v>
      </c>
      <c r="F10" s="23" t="s">
        <v>111</v>
      </c>
    </row>
    <row r="11" spans="1:6" ht="22.5" customHeight="1" x14ac:dyDescent="0.25">
      <c r="A11" s="22" t="s">
        <v>105</v>
      </c>
      <c r="B11" t="s">
        <v>114</v>
      </c>
      <c r="C11" t="s">
        <v>113</v>
      </c>
      <c r="D11" s="19" t="s">
        <v>106</v>
      </c>
      <c r="E11" t="s">
        <v>112</v>
      </c>
      <c r="F11" s="18"/>
    </row>
    <row r="12" spans="1:6" ht="22.5" customHeight="1" x14ac:dyDescent="0.25">
      <c r="A12" s="22"/>
      <c r="D12" s="19"/>
      <c r="F12" s="18"/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D0B6-46F0-430D-A134-E8C20E2DAE81}">
  <dimension ref="A1:C9"/>
  <sheetViews>
    <sheetView zoomScale="130" zoomScaleNormal="130" workbookViewId="0">
      <selection activeCell="B3" sqref="B3"/>
    </sheetView>
  </sheetViews>
  <sheetFormatPr baseColWidth="10" defaultRowHeight="15" x14ac:dyDescent="0.25"/>
  <cols>
    <col min="1" max="1" width="12" customWidth="1"/>
    <col min="2" max="2" width="29.42578125" customWidth="1"/>
    <col min="3" max="3" width="44.7109375" customWidth="1"/>
  </cols>
  <sheetData>
    <row r="1" spans="1:3" x14ac:dyDescent="0.25">
      <c r="A1" s="2" t="s">
        <v>29</v>
      </c>
    </row>
    <row r="3" spans="1:3" s="11" customFormat="1" ht="19.5" customHeight="1" x14ac:dyDescent="0.25">
      <c r="A3" s="11" t="s">
        <v>0</v>
      </c>
      <c r="B3" s="11" t="s">
        <v>30</v>
      </c>
      <c r="C3" s="11" t="s">
        <v>31</v>
      </c>
    </row>
    <row r="4" spans="1:3" ht="38.25" x14ac:dyDescent="0.25">
      <c r="A4" s="23" t="s">
        <v>98</v>
      </c>
      <c r="B4" s="41" t="s">
        <v>116</v>
      </c>
      <c r="C4" s="42" t="s">
        <v>120</v>
      </c>
    </row>
    <row r="5" spans="1:3" ht="38.25" x14ac:dyDescent="0.25">
      <c r="A5" s="23" t="s">
        <v>99</v>
      </c>
      <c r="B5" s="41" t="s">
        <v>117</v>
      </c>
      <c r="C5" s="42" t="s">
        <v>121</v>
      </c>
    </row>
    <row r="6" spans="1:3" ht="38.25" x14ac:dyDescent="0.25">
      <c r="A6" s="23" t="s">
        <v>100</v>
      </c>
      <c r="B6" s="41" t="s">
        <v>118</v>
      </c>
      <c r="C6" s="42" t="s">
        <v>122</v>
      </c>
    </row>
    <row r="7" spans="1:3" ht="25.5" x14ac:dyDescent="0.25">
      <c r="A7" s="23" t="s">
        <v>101</v>
      </c>
      <c r="B7" s="41" t="s">
        <v>119</v>
      </c>
      <c r="C7" s="42" t="s">
        <v>123</v>
      </c>
    </row>
    <row r="9" spans="1:3" ht="19.5" customHeight="1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7B8E-852D-4F9F-972C-D194A4B2D8B4}">
  <dimension ref="A1:D9"/>
  <sheetViews>
    <sheetView zoomScaleNormal="100" workbookViewId="0">
      <selection activeCell="A6" sqref="A6"/>
    </sheetView>
  </sheetViews>
  <sheetFormatPr baseColWidth="10" defaultRowHeight="15" x14ac:dyDescent="0.25"/>
  <cols>
    <col min="1" max="1" width="24.28515625" customWidth="1"/>
    <col min="2" max="2" width="46.28515625" style="3" customWidth="1"/>
    <col min="3" max="3" width="30" customWidth="1"/>
    <col min="4" max="4" width="30" style="3" customWidth="1"/>
  </cols>
  <sheetData>
    <row r="1" spans="1:4" x14ac:dyDescent="0.25">
      <c r="A1" s="2" t="s">
        <v>9</v>
      </c>
    </row>
    <row r="4" spans="1:4" s="11" customFormat="1" ht="28.5" customHeight="1" x14ac:dyDescent="0.25">
      <c r="A4" s="10" t="s">
        <v>16</v>
      </c>
      <c r="B4" s="33" t="s">
        <v>128</v>
      </c>
      <c r="C4" s="33"/>
      <c r="D4" s="33"/>
    </row>
    <row r="5" spans="1:4" ht="36.75" customHeight="1" x14ac:dyDescent="0.25">
      <c r="A5" s="9" t="s">
        <v>14</v>
      </c>
      <c r="B5" s="32" t="s">
        <v>127</v>
      </c>
      <c r="C5" s="32"/>
      <c r="D5" s="32"/>
    </row>
    <row r="6" spans="1:4" s="11" customFormat="1" ht="23.25" customHeight="1" x14ac:dyDescent="0.25">
      <c r="A6" s="12" t="s">
        <v>13</v>
      </c>
      <c r="B6" s="10" t="s">
        <v>10</v>
      </c>
      <c r="C6" s="10" t="s">
        <v>11</v>
      </c>
      <c r="D6" s="10" t="s">
        <v>12</v>
      </c>
    </row>
    <row r="7" spans="1:4" ht="87" customHeight="1" x14ac:dyDescent="0.25">
      <c r="A7" s="12" t="s">
        <v>15</v>
      </c>
      <c r="B7" s="28" t="s">
        <v>124</v>
      </c>
      <c r="C7" s="28" t="s">
        <v>125</v>
      </c>
      <c r="D7" s="28" t="s">
        <v>126</v>
      </c>
    </row>
    <row r="8" spans="1:4" ht="45.75" customHeight="1" x14ac:dyDescent="0.25">
      <c r="A8" s="30" t="s">
        <v>54</v>
      </c>
      <c r="B8" s="27" t="s">
        <v>131</v>
      </c>
      <c r="C8" s="27" t="s">
        <v>133</v>
      </c>
      <c r="D8" s="34" t="s">
        <v>135</v>
      </c>
    </row>
    <row r="9" spans="1:4" ht="45.75" customHeight="1" x14ac:dyDescent="0.25">
      <c r="A9" s="31"/>
      <c r="B9" s="27" t="s">
        <v>132</v>
      </c>
      <c r="C9" s="27" t="s">
        <v>134</v>
      </c>
      <c r="D9" s="35"/>
    </row>
  </sheetData>
  <mergeCells count="4">
    <mergeCell ref="A8:A9"/>
    <mergeCell ref="B5:D5"/>
    <mergeCell ref="B4:D4"/>
    <mergeCell ref="D8:D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A08F9-3975-4D8F-B78C-E3FA98A0D74E}">
  <dimension ref="A1:I14"/>
  <sheetViews>
    <sheetView zoomScale="110" zoomScaleNormal="110" workbookViewId="0">
      <selection activeCell="B4" sqref="B4"/>
    </sheetView>
  </sheetViews>
  <sheetFormatPr baseColWidth="10" defaultRowHeight="15" x14ac:dyDescent="0.25"/>
  <cols>
    <col min="1" max="1" width="31.7109375" bestFit="1" customWidth="1"/>
    <col min="2" max="2" width="19.7109375" customWidth="1"/>
    <col min="6" max="6" width="13.140625" bestFit="1" customWidth="1"/>
  </cols>
  <sheetData>
    <row r="1" spans="1:9" ht="15.75" customHeight="1" x14ac:dyDescent="0.25">
      <c r="A1" s="2" t="s">
        <v>32</v>
      </c>
    </row>
    <row r="2" spans="1:9" x14ac:dyDescent="0.25">
      <c r="A2" s="2"/>
    </row>
    <row r="3" spans="1:9" s="13" customFormat="1" x14ac:dyDescent="0.25">
      <c r="B3" s="15" t="s">
        <v>55</v>
      </c>
      <c r="C3" s="36" t="s">
        <v>38</v>
      </c>
      <c r="D3" s="36"/>
      <c r="E3" s="36"/>
      <c r="F3" s="36"/>
    </row>
    <row r="4" spans="1:9" x14ac:dyDescent="0.25">
      <c r="A4" s="16" t="s">
        <v>33</v>
      </c>
      <c r="B4" s="16" t="s">
        <v>20</v>
      </c>
      <c r="C4" s="16" t="s">
        <v>50</v>
      </c>
      <c r="D4" s="16" t="s">
        <v>51</v>
      </c>
      <c r="E4" s="16" t="s">
        <v>52</v>
      </c>
      <c r="F4" s="29" t="s">
        <v>34</v>
      </c>
    </row>
    <row r="5" spans="1:9" x14ac:dyDescent="0.25">
      <c r="A5" s="6" t="s">
        <v>91</v>
      </c>
      <c r="B5" s="6" t="s">
        <v>115</v>
      </c>
      <c r="C5" s="7">
        <f>(4500000/30)/8*31</f>
        <v>581250</v>
      </c>
      <c r="D5" s="7">
        <f t="shared" ref="D5:E5" si="0">(4500000/30)/8*31</f>
        <v>581250</v>
      </c>
      <c r="E5" s="7">
        <f t="shared" si="0"/>
        <v>581250</v>
      </c>
      <c r="F5" s="7">
        <f t="shared" ref="F5:F11" si="1">SUM(C5:E5)</f>
        <v>1743750</v>
      </c>
    </row>
    <row r="6" spans="1:9" x14ac:dyDescent="0.25">
      <c r="A6" s="6" t="s">
        <v>92</v>
      </c>
      <c r="B6" s="6" t="s">
        <v>115</v>
      </c>
      <c r="C6" s="7">
        <f>(6000000/30)/8*41</f>
        <v>1025000</v>
      </c>
      <c r="D6" s="7">
        <f t="shared" ref="D6" si="2">(6000000/30)/8*41</f>
        <v>1025000</v>
      </c>
      <c r="E6" s="7">
        <f>(6000000/30)/8*42</f>
        <v>1050000</v>
      </c>
      <c r="F6" s="7">
        <f t="shared" si="1"/>
        <v>3100000</v>
      </c>
      <c r="I6" s="26"/>
    </row>
    <row r="7" spans="1:9" x14ac:dyDescent="0.25">
      <c r="A7" s="6" t="s">
        <v>93</v>
      </c>
      <c r="B7" s="6" t="s">
        <v>115</v>
      </c>
      <c r="C7" s="7">
        <f>(8400000/30)/8*52</f>
        <v>1820000</v>
      </c>
      <c r="D7" s="7">
        <f t="shared" ref="D7" si="3">(8400000/30)/8*52</f>
        <v>1820000</v>
      </c>
      <c r="E7" s="7">
        <f>(8400000/30)/8*51</f>
        <v>1785000</v>
      </c>
      <c r="F7" s="7">
        <f t="shared" si="1"/>
        <v>5425000</v>
      </c>
      <c r="I7" s="26"/>
    </row>
    <row r="8" spans="1:9" x14ac:dyDescent="0.25">
      <c r="A8" s="6" t="s">
        <v>94</v>
      </c>
      <c r="B8" s="6" t="s">
        <v>115</v>
      </c>
      <c r="C8" s="7">
        <f>(4500000/30)/8*21</f>
        <v>393750</v>
      </c>
      <c r="D8" s="7">
        <f>(4500000/30)/8*21</f>
        <v>393750</v>
      </c>
      <c r="E8" s="7">
        <f>(4500000/30)/8*20</f>
        <v>375000</v>
      </c>
      <c r="F8" s="7">
        <f t="shared" si="1"/>
        <v>1162500</v>
      </c>
      <c r="I8" s="26"/>
    </row>
    <row r="9" spans="1:9" x14ac:dyDescent="0.25">
      <c r="A9" s="6" t="s">
        <v>108</v>
      </c>
      <c r="B9" s="6" t="s">
        <v>113</v>
      </c>
      <c r="C9" s="7">
        <f>(70.72*4185.82)/3</f>
        <v>98673.730133333316</v>
      </c>
      <c r="D9" s="7">
        <f t="shared" ref="D9:E9" si="4">(70.72*4185.82)/3</f>
        <v>98673.730133333316</v>
      </c>
      <c r="E9" s="7">
        <f t="shared" si="4"/>
        <v>98673.730133333316</v>
      </c>
      <c r="F9" s="7">
        <f t="shared" si="1"/>
        <v>296021.19039999996</v>
      </c>
    </row>
    <row r="10" spans="1:9" x14ac:dyDescent="0.25">
      <c r="A10" s="6" t="s">
        <v>109</v>
      </c>
      <c r="B10" s="6" t="s">
        <v>113</v>
      </c>
      <c r="C10" s="7">
        <f>(87.57*4185.82)/3</f>
        <v>122184.08579999999</v>
      </c>
      <c r="D10" s="7">
        <f t="shared" ref="D10:E11" si="5">(87.57*4185.82)/3</f>
        <v>122184.08579999999</v>
      </c>
      <c r="E10" s="7">
        <f t="shared" si="5"/>
        <v>122184.08579999999</v>
      </c>
      <c r="F10" s="7">
        <f t="shared" si="1"/>
        <v>366552.25739999994</v>
      </c>
    </row>
    <row r="11" spans="1:9" x14ac:dyDescent="0.25">
      <c r="A11" s="6" t="s">
        <v>110</v>
      </c>
      <c r="B11" s="6" t="s">
        <v>113</v>
      </c>
      <c r="C11" s="7">
        <f t="shared" ref="C11" si="6">(87.57*4185.82)/3</f>
        <v>122184.08579999999</v>
      </c>
      <c r="D11" s="7">
        <f t="shared" si="5"/>
        <v>122184.08579999999</v>
      </c>
      <c r="E11" s="7">
        <f t="shared" si="5"/>
        <v>122184.08579999999</v>
      </c>
      <c r="F11" s="7">
        <f t="shared" si="1"/>
        <v>366552.25739999994</v>
      </c>
    </row>
    <row r="12" spans="1:9" x14ac:dyDescent="0.25">
      <c r="A12" s="37" t="s">
        <v>35</v>
      </c>
      <c r="B12" s="38"/>
      <c r="C12" s="5">
        <f>SUM(C5:C11)</f>
        <v>4163041.9017333332</v>
      </c>
      <c r="D12" s="5">
        <f>SUM(D5:D11)</f>
        <v>4163041.9017333332</v>
      </c>
      <c r="E12" s="5">
        <f>SUM(E5:E11)</f>
        <v>4134291.9017333332</v>
      </c>
      <c r="F12" s="5">
        <f>SUM(F5:F11)</f>
        <v>12460375.705200002</v>
      </c>
    </row>
    <row r="13" spans="1:9" x14ac:dyDescent="0.25">
      <c r="A13" s="39" t="s">
        <v>36</v>
      </c>
      <c r="B13" s="40"/>
      <c r="C13" s="40"/>
      <c r="D13" s="40"/>
      <c r="E13" s="40"/>
      <c r="F13" s="5">
        <f>F12*0.15</f>
        <v>1869056.3557800001</v>
      </c>
    </row>
    <row r="14" spans="1:9" x14ac:dyDescent="0.25">
      <c r="A14" s="39" t="s">
        <v>37</v>
      </c>
      <c r="B14" s="40"/>
      <c r="C14" s="40"/>
      <c r="D14" s="40"/>
      <c r="E14" s="40"/>
      <c r="F14" s="5">
        <f>F13+F12</f>
        <v>14329432.060980001</v>
      </c>
    </row>
  </sheetData>
  <mergeCells count="4">
    <mergeCell ref="C3:F3"/>
    <mergeCell ref="A12:B12"/>
    <mergeCell ref="A13:E13"/>
    <mergeCell ref="A14:E14"/>
  </mergeCells>
  <phoneticPr fontId="3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E67DE-9C1A-453D-83CC-D3B4403FCC98}">
  <dimension ref="A1:E7"/>
  <sheetViews>
    <sheetView workbookViewId="0">
      <selection activeCell="B6" sqref="B6"/>
    </sheetView>
  </sheetViews>
  <sheetFormatPr baseColWidth="10" defaultRowHeight="15" x14ac:dyDescent="0.25"/>
  <cols>
    <col min="1" max="1" width="30.140625" customWidth="1"/>
    <col min="4" max="5" width="11.85546875" bestFit="1" customWidth="1"/>
  </cols>
  <sheetData>
    <row r="1" spans="1:5" x14ac:dyDescent="0.25">
      <c r="A1" s="2" t="s">
        <v>39</v>
      </c>
    </row>
    <row r="3" spans="1:5" x14ac:dyDescent="0.25">
      <c r="A3" s="4" t="s">
        <v>38</v>
      </c>
      <c r="B3" s="10" t="str" cm="1">
        <f t="array" ref="B3:E3">Presupuesto!C4:F4</f>
        <v>Semana 1</v>
      </c>
      <c r="C3" s="10" t="str">
        <v>Semana 2</v>
      </c>
      <c r="D3" s="10" t="str">
        <v>Semana 3</v>
      </c>
      <c r="E3" s="10" t="str">
        <v>Total</v>
      </c>
    </row>
    <row r="4" spans="1:5" x14ac:dyDescent="0.25">
      <c r="A4" s="1" t="s">
        <v>41</v>
      </c>
      <c r="B4" s="7" cm="1">
        <f t="array" ref="B4:E4">Presupuesto!C12:F12</f>
        <v>4163041.9017333332</v>
      </c>
      <c r="C4" s="7">
        <v>4163041.9017333332</v>
      </c>
      <c r="D4" s="7">
        <v>4134291.9017333332</v>
      </c>
      <c r="E4" s="7">
        <v>12460375.705200002</v>
      </c>
    </row>
    <row r="5" spans="1:5" x14ac:dyDescent="0.25">
      <c r="A5" s="1" t="s">
        <v>42</v>
      </c>
      <c r="B5" s="7">
        <f>B4</f>
        <v>4163041.9017333332</v>
      </c>
      <c r="C5" s="7">
        <f>B5+C4</f>
        <v>8326083.8034666665</v>
      </c>
      <c r="D5" s="7">
        <f>C5+D4</f>
        <v>12460375.7052</v>
      </c>
      <c r="E5" s="7">
        <f>D5+E4</f>
        <v>24920751.410400003</v>
      </c>
    </row>
    <row r="6" spans="1:5" x14ac:dyDescent="0.25">
      <c r="A6" s="1" t="s">
        <v>40</v>
      </c>
      <c r="B6" s="8"/>
      <c r="C6" s="8"/>
      <c r="D6" s="8"/>
      <c r="E6" s="8">
        <f>SUM(B6:D6)</f>
        <v>0</v>
      </c>
    </row>
    <row r="7" spans="1:5" x14ac:dyDescent="0.25">
      <c r="A7" s="1" t="s">
        <v>43</v>
      </c>
      <c r="B7" s="7">
        <f>B6</f>
        <v>0</v>
      </c>
      <c r="C7" s="7">
        <f>B7+C6</f>
        <v>0</v>
      </c>
      <c r="D7" s="7">
        <f t="shared" ref="D7:E7" si="0">C7+D6</f>
        <v>0</v>
      </c>
      <c r="E7" s="7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PBacklog</vt:lpstr>
      <vt:lpstr>HRecursos</vt:lpstr>
      <vt:lpstr>Equipo</vt:lpstr>
      <vt:lpstr>HRuta</vt:lpstr>
      <vt:lpstr>Presupuesto</vt:lpstr>
      <vt:lpstr>Curva 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Sebastian Robles</cp:lastModifiedBy>
  <dcterms:created xsi:type="dcterms:W3CDTF">2023-04-19T23:25:27Z</dcterms:created>
  <dcterms:modified xsi:type="dcterms:W3CDTF">2024-09-05T17:07:41Z</dcterms:modified>
</cp:coreProperties>
</file>